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00" activeTab="8"/>
  </bookViews>
  <sheets>
    <sheet name="Sheet1" sheetId="1" r:id="rId1"/>
    <sheet name="2020年" sheetId="4" r:id="rId2"/>
    <sheet name="2021年" sheetId="5" r:id="rId3"/>
    <sheet name="2021年 (2)" sheetId="7" state="hidden" r:id="rId4"/>
    <sheet name="2021年11" sheetId="8" r:id="rId5"/>
    <sheet name="2021年12" sheetId="9" r:id="rId6"/>
    <sheet name="2022年" sheetId="10" r:id="rId7"/>
    <sheet name="2023年" sheetId="11" r:id="rId8"/>
    <sheet name="2023年应付" sheetId="14" r:id="rId9"/>
    <sheet name="Sheet3" sheetId="6" r:id="rId10"/>
    <sheet name="发票金额" sheetId="12" r:id="rId11"/>
    <sheet name="付款金额" sheetId="13" r:id="rId12"/>
  </sheets>
  <externalReferences>
    <externalReference r:id="rId13"/>
    <externalReference r:id="rId14"/>
  </externalReferences>
  <definedNames>
    <definedName name="_xlnm._FilterDatabase" localSheetId="1" hidden="1">'2020年'!$A$4:$CY$37</definedName>
    <definedName name="_xlnm._FilterDatabase" localSheetId="2" hidden="1">'2021年'!$A$4:$AV$47</definedName>
    <definedName name="_xlnm._FilterDatabase" localSheetId="3" hidden="1">'2021年 (2)'!$A$4:$AV$46</definedName>
    <definedName name="_xlnm._FilterDatabase" localSheetId="4" hidden="1">'2021年11'!$A$4:$AV$51</definedName>
    <definedName name="_xlnm._FilterDatabase" localSheetId="5" hidden="1">'2021年12'!$A$4:$AX$51</definedName>
    <definedName name="_xlnm._FilterDatabase" localSheetId="6" hidden="1">'2022年'!$A$4:$BH$55</definedName>
    <definedName name="_xlnm._FilterDatabase" localSheetId="8" hidden="1">'2023年应付'!$B$4:$AO$75</definedName>
    <definedName name="_xlnm._FilterDatabase" localSheetId="7" hidden="1">'2023年'!$A$4:$BQ$75</definedName>
  </definedNames>
  <calcPr calcId="144525" concurrentCalc="0"/>
</workbook>
</file>

<file path=xl/comments1.xml><?xml version="1.0" encoding="utf-8"?>
<comments xmlns="http://schemas.openxmlformats.org/spreadsheetml/2006/main">
  <authors>
    <author>xb21cn</author>
  </authors>
  <commentList>
    <comment ref="CK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3/30支付</t>
        </r>
      </text>
    </comment>
    <comment ref="CO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7月付</t>
        </r>
      </text>
    </comment>
    <comment ref="C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
</t>
        </r>
      </text>
    </comment>
    <comment ref="CR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10/30付</t>
        </r>
      </text>
    </comment>
    <comment ref="B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5月挂账00862025</t>
        </r>
      </text>
    </comment>
    <comment ref="BT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U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2020.09挂账</t>
        </r>
      </text>
    </comment>
    <comment ref="B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现金折扣
</t>
        </r>
      </text>
    </comment>
    <comment ref="BW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3/30支付
</t>
        </r>
      </text>
    </comment>
    <comment ref="C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2020.5.28支付</t>
        </r>
      </text>
    </comment>
    <comment ref="C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9/29支付</t>
        </r>
      </text>
    </comment>
    <comment ref="CS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
11/30支付75191.4
</t>
        </r>
      </text>
    </comment>
    <comment ref="CT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T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CL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</t>
        </r>
      </text>
    </comment>
    <comment ref="CO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7/31支付5万</t>
        </r>
      </text>
    </comment>
    <comment ref="CR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11/20付</t>
        </r>
      </text>
    </comment>
    <comment ref="CT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T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 </t>
        </r>
      </text>
    </comment>
    <comment ref="CL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4/28付</t>
        </r>
      </text>
    </comment>
    <comment ref="CM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7/6支付、7/30支付5万</t>
        </r>
      </text>
    </comment>
    <comment ref="CQ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BO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CL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7/9支付</t>
        </r>
      </text>
    </comment>
    <comment ref="CQ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BP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BT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V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3/10支付</t>
        </r>
      </text>
    </comment>
    <comment ref="CL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</t>
        </r>
      </text>
    </comment>
    <comment ref="CM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5.8支付</t>
        </r>
      </text>
    </comment>
    <comment ref="CO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7/2支付
7/28支付18万
</t>
        </r>
      </text>
    </comment>
    <comment ref="CQ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
9/29支付11万</t>
        </r>
      </text>
    </comment>
    <comment ref="CS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1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
12/31支付</t>
        </r>
      </text>
    </comment>
    <comment ref="B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2020年11月挂账</t>
        </r>
      </text>
    </comment>
    <comment ref="B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2020年11月挂账</t>
        </r>
      </text>
    </comment>
    <comment ref="BW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3/6支付</t>
        </r>
      </text>
    </comment>
    <comment ref="CL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4/27付157704.65
</t>
        </r>
      </text>
    </comment>
    <comment ref="C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7/9支付
7/31支付</t>
        </r>
      </text>
    </comment>
    <comment ref="C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
</t>
        </r>
      </text>
    </comment>
    <comment ref="C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11/24支付</t>
        </r>
      </text>
    </comment>
    <comment ref="CT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12/2支付
12/31</t>
        </r>
      </text>
    </comment>
    <comment ref="B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09898049、04245140</t>
        </r>
      </text>
    </comment>
    <comment ref="B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2020.9月挂账</t>
        </r>
      </text>
    </comment>
    <comment ref="B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2020.9挂账</t>
        </r>
      </text>
    </comment>
    <comment ref="BW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3/10支付</t>
        </r>
      </text>
    </comment>
    <comment ref="CL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4/24支付
4/28付30万</t>
        </r>
      </text>
    </comment>
    <comment ref="CM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</t>
        </r>
      </text>
    </comment>
    <comment ref="CO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7月支付</t>
        </r>
      </text>
    </comment>
    <comment ref="C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9/29支付</t>
        </r>
      </text>
    </comment>
    <comment ref="C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12/31支付274834.08</t>
        </r>
      </text>
    </comment>
    <comment ref="B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5月挂账户12514656</t>
        </r>
      </text>
    </comment>
    <comment ref="B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11069253 5月挂账</t>
        </r>
      </text>
    </comment>
    <comment ref="B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S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10月报销</t>
        </r>
      </text>
    </comment>
    <comment ref="B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X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Y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M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7/28支付7094</t>
        </r>
      </text>
    </comment>
    <comment ref="C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10/14付</t>
        </r>
      </text>
    </comment>
    <comment ref="CS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11/6支付</t>
        </r>
      </text>
    </comment>
    <comment ref="C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12/7支付
12/25支付10937.5</t>
        </r>
      </text>
    </comment>
    <comment ref="B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U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3/31支付</t>
        </r>
      </text>
    </comment>
    <comment ref="CL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
4/28付10万</t>
        </r>
      </text>
    </comment>
    <comment ref="C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7/1支付
7/31支付20万</t>
        </r>
      </text>
    </comment>
    <comment ref="C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9/29付15万</t>
        </r>
      </text>
    </comment>
    <comment ref="C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B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CL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O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7/7支付
7/31支付3万</t>
        </r>
      </text>
    </comment>
    <comment ref="C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9/29付3万</t>
        </r>
      </text>
    </comment>
    <comment ref="C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R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BX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CL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O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7/31支付9000</t>
        </r>
      </text>
    </comment>
    <comment ref="C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</t>
        </r>
      </text>
    </comment>
    <comment ref="CM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2020.5.14支付
2020.5.28支付17万</t>
        </r>
      </text>
    </comment>
    <comment ref="CO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7/3支付+7/31支付10万</t>
        </r>
      </text>
    </comment>
    <comment ref="CQ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
</t>
        </r>
      </text>
    </comment>
    <comment ref="CR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1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B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B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4/24付</t>
        </r>
      </text>
    </comment>
    <comment ref="C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
</t>
        </r>
      </text>
    </comment>
    <comment ref="C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7/28支付</t>
        </r>
      </text>
    </comment>
    <comment ref="C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11/2支付</t>
        </r>
      </text>
    </comment>
    <comment ref="C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</t>
        </r>
      </text>
    </comment>
    <comment ref="B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</t>
        </r>
      </text>
    </comment>
    <comment ref="BU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W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CL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4/27付</t>
        </r>
      </text>
    </comment>
    <comment ref="CM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7/30支付10万</t>
        </r>
      </text>
    </comment>
    <comment ref="CQ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
9/29付</t>
        </r>
      </text>
    </comment>
    <comment ref="CS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
12/31</t>
        </r>
      </text>
    </comment>
    <comment ref="BS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W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R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10/30支付
</t>
        </r>
      </text>
    </comment>
    <comment ref="BT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U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2020年11月</t>
        </r>
      </text>
    </comment>
    <comment ref="B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4/7付款
4/27付：80000</t>
        </r>
      </text>
    </comment>
    <comment ref="CM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7/30支付8万</t>
        </r>
      </text>
    </comment>
    <comment ref="C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9/7付款</t>
        </r>
      </text>
    </comment>
    <comment ref="C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</t>
        </r>
      </text>
    </comment>
    <comment ref="C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12/31</t>
        </r>
      </text>
    </comment>
    <comment ref="B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2月开票377048.5，3月冲红发票</t>
        </r>
      </text>
    </comment>
    <comment ref="B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2月退回的发票重开
5月挂账：01115083 140713.33</t>
        </r>
      </text>
    </comment>
    <comment ref="B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 00973268</t>
        </r>
      </text>
    </comment>
    <comment ref="B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6月挂账6</t>
        </r>
      </text>
    </comment>
    <comment ref="B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B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7月发票</t>
        </r>
      </text>
    </comment>
    <comment ref="B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4/24付845296.31
</t>
        </r>
      </text>
    </comment>
    <comment ref="C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6/28付款
大众直接回款：39737.45</t>
        </r>
      </text>
    </comment>
    <comment ref="C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B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S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BT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BV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BW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</t>
        </r>
      </text>
    </comment>
    <comment ref="C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4/7支付
4/20支付30万</t>
        </r>
      </text>
    </comment>
    <comment ref="C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N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大众直接回款
</t>
        </r>
      </text>
    </comment>
    <comment ref="CP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CS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CT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BP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6月挂账：76813.83</t>
        </r>
      </text>
    </comment>
    <comment ref="B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S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BT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 </t>
        </r>
      </text>
    </comment>
    <comment ref="B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2020年10月挂账</t>
        </r>
      </text>
    </comment>
    <comment ref="CL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4/24付</t>
        </r>
      </text>
    </comment>
    <comment ref="CO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7/6支付
7/28支付20万
</t>
        </r>
      </text>
    </comment>
    <comment ref="CP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8/31支付</t>
        </r>
      </text>
    </comment>
    <comment ref="C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9/29付</t>
        </r>
      </text>
    </comment>
    <comment ref="CS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11/20支付</t>
        </r>
      </text>
    </comment>
    <comment ref="CT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
12/31</t>
        </r>
      </text>
    </comment>
    <comment ref="CM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O3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7/7支付
7/31支付20002</t>
        </r>
      </text>
    </comment>
    <comment ref="BT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10月58534.4</t>
        </r>
      </text>
    </comment>
    <comment ref="BV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</t>
        </r>
      </text>
    </comment>
    <comment ref="CN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6/19支付</t>
        </r>
      </text>
    </comment>
    <comment ref="CO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7/28支付</t>
        </r>
      </text>
    </comment>
    <comment ref="CR3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10/13支付
退回55234.40
</t>
        </r>
      </text>
    </comment>
    <comment ref="BS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
</t>
        </r>
      </text>
    </comment>
    <comment ref="B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
12月挂10万</t>
        </r>
      </text>
    </comment>
    <comment ref="BU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
</t>
        </r>
      </text>
    </comment>
    <comment ref="C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5.28支付</t>
        </r>
      </text>
    </comment>
    <comment ref="C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12/10支付</t>
        </r>
      </text>
    </comment>
    <comment ref="CR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10/16支付
10/30支付5424</t>
        </r>
      </text>
    </comment>
    <comment ref="CT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12/1支付</t>
        </r>
      </text>
    </comment>
    <comment ref="BU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10月挂账</t>
        </r>
      </text>
    </comment>
    <comment ref="C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10/26付</t>
        </r>
      </text>
    </comment>
    <comment ref="CT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12/2支付</t>
        </r>
      </text>
    </comment>
    <comment ref="BU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V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W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X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BY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CR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10/27支付</t>
        </r>
      </text>
    </comment>
    <comment ref="CT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12月付</t>
        </r>
      </text>
    </comment>
  </commentList>
</comments>
</file>

<file path=xl/comments2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M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AE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3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O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AE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4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2021年11月挂，此单少结：8.68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P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J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K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大众直接付款21.3万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
</t>
        </r>
      </text>
    </comment>
    <comment ref="V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O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 </t>
        </r>
      </text>
    </comment>
    <comment ref="W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R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
</t>
        </r>
      </text>
    </comment>
    <comment ref="W49" authorId="0">
      <text>
        <r>
          <rPr>
            <b/>
            <sz val="9"/>
            <rFont val="宋体"/>
            <charset val="134"/>
          </rPr>
          <t xml:space="preserve">xb21cn:冲应收
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</commentList>
</comments>
</file>

<file path=xl/comments5.xml><?xml version="1.0" encoding="utf-8"?>
<comments xmlns="http://schemas.openxmlformats.org/spreadsheetml/2006/main">
  <authors>
    <author>xb21cn</author>
  </authors>
  <commentList>
    <comment ref="Q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M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
</t>
        </r>
      </text>
    </comment>
    <comment ref="R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V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V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J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2021年11月挂，此单少结：8.68</t>
        </r>
      </text>
    </comment>
    <comment ref="N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U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I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  202008发票</t>
        </r>
      </text>
    </comment>
    <comment ref="J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6月挂15.7万</t>
        </r>
      </text>
    </comment>
    <comment ref="O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X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N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
折让0.99</t>
        </r>
      </text>
    </comment>
    <comment ref="O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
</t>
        </r>
      </text>
    </comment>
    <comment ref="Q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6月挂1.3万</t>
        </r>
      </text>
    </comment>
    <comment ref="R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W1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2021年11月挂账</t>
        </r>
      </text>
    </comment>
    <comment ref="J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2021.6月挂
9月挂账：85444.78</t>
        </r>
      </text>
    </comment>
    <comment ref="K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20200723华胜的</t>
        </r>
      </text>
    </comment>
    <comment ref="M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202102</t>
        </r>
      </text>
    </comment>
    <comment ref="P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Q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1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P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J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K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T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U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2021.8挂账，发票2020.9.16</t>
        </r>
      </text>
    </comment>
    <comment ref="J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K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Q2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K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S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X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I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J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M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T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V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W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11月挂账</t>
        </r>
      </text>
    </comment>
    <comment ref="X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
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L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N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R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U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AH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
</t>
        </r>
      </text>
    </comment>
    <comment ref="AJ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K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
</t>
        </r>
      </text>
    </comment>
    <comment ref="AL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M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大众直接付款21.3万</t>
        </r>
      </text>
    </comment>
    <comment ref="AN2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应收应付对冲，大众直接付款</t>
        </r>
      </text>
    </comment>
    <comment ref="Q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R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</t>
        </r>
      </text>
    </comment>
    <comment ref="U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W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2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J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202103 328700</t>
        </r>
      </text>
    </comment>
    <comment ref="M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P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Q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</t>
        </r>
      </text>
    </comment>
    <comment ref="T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3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U3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K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O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R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S3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Q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
</t>
        </r>
      </text>
    </comment>
    <comment ref="R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S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
2021.10月挂47460</t>
        </r>
      </text>
    </comment>
    <comment ref="V3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P3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</t>
        </r>
      </text>
    </comment>
    <comment ref="Q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</t>
        </r>
      </text>
    </comment>
    <comment ref="R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2021.8月挂账</t>
        </r>
      </text>
    </comment>
    <comment ref="U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9月挂账</t>
        </r>
      </text>
    </comment>
    <comment ref="W3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V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</t>
        </r>
      </text>
    </comment>
    <comment ref="P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Q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S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V4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V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</t>
        </r>
      </text>
    </comment>
    <comment ref="X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U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2021年10月挂账</t>
        </r>
      </text>
    </comment>
    <comment ref="P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R4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
</t>
        </r>
      </text>
    </comment>
    <comment ref="V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12月挂账</t>
        </r>
      </text>
    </comment>
    <comment ref="O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 </t>
        </r>
      </text>
    </comment>
    <comment ref="W47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R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W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2021年11月挂</t>
        </r>
      </text>
    </comment>
    <comment ref="X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2021年12月挂账</t>
        </r>
      </text>
    </comment>
    <comment ref="AN4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承兑203万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O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202103</t>
        </r>
      </text>
    </comment>
    <comment ref="P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5月挂账
6月挂账11183.26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2021.6挂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7月挂账</t>
        </r>
      </text>
    </comment>
    <comment ref="T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8月挂账</t>
        </r>
      </text>
    </comment>
    <comment ref="U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2021年9月挂账</t>
        </r>
      </text>
    </comment>
    <comment ref="V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2021.10月挂
</t>
        </r>
      </text>
    </comment>
    <comment ref="W49" authorId="0">
      <text>
        <r>
          <rPr>
            <b/>
            <sz val="9"/>
            <rFont val="宋体"/>
            <charset val="134"/>
          </rPr>
          <t xml:space="preserve">xb21cn:冲应收
</t>
        </r>
      </text>
    </comment>
    <comment ref="X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12月挂，对冲应收163042.54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与应收冲抵
</t>
        </r>
      </text>
    </comment>
    <comment ref="AG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</t>
        </r>
      </text>
    </comment>
    <comment ref="AH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与应收对冲
</t>
        </r>
      </text>
    </comment>
    <comment ref="AJ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应收冲：10638.96</t>
        </r>
      </text>
    </comment>
    <comment ref="AN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西安往来支付河北90万，成都支付的15万</t>
        </r>
      </text>
    </comment>
  </commentList>
</comments>
</file>

<file path=xl/comments6.xml><?xml version="1.0" encoding="utf-8"?>
<comments xmlns="http://schemas.openxmlformats.org/spreadsheetml/2006/main">
  <authors>
    <author>xb21cn</author>
    <author>Administrator</author>
  </authors>
  <commentList>
    <comment ref="M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
</t>
        </r>
      </text>
    </comment>
    <comment ref="O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Q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R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U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V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O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T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M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P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R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T1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M1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1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</t>
        </r>
      </text>
    </comment>
    <comment ref="M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R1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M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2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T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W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M2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N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AD2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索赔费用，发票开后3月冲红</t>
        </r>
      </text>
    </comment>
    <comment ref="K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
</t>
        </r>
      </text>
    </comment>
    <comment ref="N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24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T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2022年9月挂账</t>
        </r>
      </text>
    </comment>
    <comment ref="U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25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V2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供应商退款</t>
        </r>
      </text>
    </comment>
    <comment ref="M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
4月挂账13万</t>
        </r>
      </text>
    </comment>
    <comment ref="P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R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</t>
        </r>
      </text>
    </comment>
    <comment ref="S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</t>
        </r>
      </text>
    </comment>
    <comment ref="T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D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F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G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H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I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大众直付</t>
        </r>
      </text>
    </comment>
    <comment ref="AJ2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AK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
</t>
        </r>
      </text>
    </comment>
    <comment ref="AL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U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J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K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L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N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</t>
        </r>
      </text>
    </comment>
    <comment ref="P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AD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E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AF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G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H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I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</t>
        </r>
      </text>
    </comment>
    <comment ref="AJ28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大众直接支付</t>
        </r>
      </text>
    </comment>
    <comment ref="M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3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V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3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2022年10月挂</t>
        </r>
      </text>
    </comment>
    <comment ref="M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3月挂戝</t>
        </r>
      </text>
    </comment>
    <comment ref="Q3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V3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3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M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</t>
        </r>
      </text>
    </comment>
    <comment ref="N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O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S4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4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K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O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2022年3月挂账</t>
        </r>
      </text>
    </comment>
    <comment ref="P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R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4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2022.7月挂账</t>
        </r>
      </text>
    </comment>
    <comment ref="V4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M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N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O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P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Q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S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T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4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D4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索赔款</t>
        </r>
      </text>
    </comment>
    <comment ref="M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2022年1月挂账
</t>
        </r>
      </text>
    </comment>
    <comment ref="O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P46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4月挂账</t>
        </r>
      </text>
    </comment>
    <comment ref="M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1月挂账</t>
        </r>
      </text>
    </comment>
    <comment ref="Q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S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7月挂</t>
        </r>
      </text>
    </comment>
    <comment ref="T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W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AE49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承兑汇票</t>
        </r>
      </text>
    </comment>
    <comment ref="AM4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M5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N50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Q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S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U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V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W5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N51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2月挂账</t>
        </r>
      </text>
    </comment>
    <comment ref="R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7月挂账</t>
        </r>
      </text>
    </comment>
    <comment ref="T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U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V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W5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</t>
        </r>
      </text>
    </comment>
    <comment ref="M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互冲351多万</t>
        </r>
      </text>
    </comment>
    <comment ref="O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已挂账</t>
        </r>
      </text>
    </comment>
    <comment ref="P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Q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5月挂</t>
        </r>
      </text>
    </comment>
    <comment ref="R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6月挂账
</t>
        </r>
      </text>
    </comment>
    <comment ref="S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2022年7月挂</t>
        </r>
      </text>
    </comment>
    <comment ref="T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2022年8月挂</t>
        </r>
      </text>
    </comment>
    <comment ref="U5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AE53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质量索赔：2.68万，质量索赔发票退回</t>
        </r>
      </text>
    </comment>
  </commentList>
</comments>
</file>

<file path=xl/comments7.xml><?xml version="1.0" encoding="utf-8"?>
<comments xmlns="http://schemas.openxmlformats.org/spreadsheetml/2006/main">
  <authors>
    <author>Administrator</author>
    <author>xb21cn</author>
  </authors>
  <commentList>
    <comment ref="N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V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2月开票</t>
        </r>
      </text>
    </comment>
    <comment ref="X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W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Y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N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Y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L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AM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承兑汇票</t>
        </r>
      </text>
    </comment>
    <comment ref="AN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N11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N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S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T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V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X1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Y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L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AM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AN1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O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V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2023年2月挂账</t>
        </r>
      </text>
    </comment>
    <comment ref="X1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2023年3月挂账</t>
        </r>
      </text>
    </comment>
    <comment ref="Y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L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AM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AN16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大众直接付款</t>
        </r>
      </text>
    </comment>
    <comment ref="AO1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</t>
        </r>
      </text>
    </comment>
    <comment ref="AL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O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P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11月挂账</t>
        </r>
      </text>
    </comment>
    <comment ref="V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Y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AN1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V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0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Y2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N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X22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AO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V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3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2023年3月挂</t>
        </r>
      </text>
    </comment>
    <comment ref="Y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2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N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L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AN25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承兑</t>
        </r>
      </text>
    </comment>
    <comment ref="N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Y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N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9月挂账</t>
        </r>
      </text>
    </comment>
    <comment ref="S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Y2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W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X28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2023年3月</t>
        </r>
      </text>
    </comment>
    <comment ref="Y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2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S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T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X29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Y2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V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3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W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T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V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W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成都开河北发票</t>
        </r>
      </text>
    </comment>
    <comment ref="Y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AM3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河北转成都34万</t>
        </r>
      </text>
    </comment>
    <comment ref="X3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X39" authorId="1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3月挂账</t>
        </r>
      </text>
    </comment>
    <comment ref="Y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Y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4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23年5月挂</t>
        </r>
      </text>
    </comment>
    <comment ref="X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
</t>
        </r>
      </text>
    </comment>
    <comment ref="Y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X5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X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Y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4月挂账</t>
        </r>
      </text>
    </comment>
    <comment ref="Z56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23年5月挂</t>
        </r>
      </text>
    </comment>
  </commentList>
</comments>
</file>

<file path=xl/comments8.xml><?xml version="1.0" encoding="utf-8"?>
<comments xmlns="http://schemas.openxmlformats.org/spreadsheetml/2006/main">
  <authors>
    <author>xb21cn</author>
    <author>Administrator</author>
  </authors>
  <commentList>
    <comment ref="E2" authorId="0">
      <text>
        <r>
          <rPr>
            <b/>
            <sz val="9"/>
            <rFont val="宋体"/>
            <charset val="134"/>
          </rPr>
          <t>xb21cn:</t>
        </r>
        <r>
          <rPr>
            <sz val="9"/>
            <rFont val="宋体"/>
            <charset val="134"/>
          </rPr>
          <t xml:space="preserve">
2022年6月挂</t>
        </r>
      </text>
    </comment>
    <comment ref="F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10月挂账</t>
        </r>
      </text>
    </comment>
    <comment ref="J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K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2月开票</t>
        </r>
      </text>
    </comment>
    <comment ref="K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H1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I1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J1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K1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J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K1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2023年2月挂账</t>
        </r>
      </text>
    </comment>
    <comment ref="J1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J1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J2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I2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2023年1月挂</t>
        </r>
      </text>
    </comment>
    <comment ref="K2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2月挂账</t>
        </r>
      </text>
    </comment>
    <comment ref="H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I2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J27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K2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J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2月挂</t>
        </r>
      </text>
    </comment>
    <comment ref="K30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成都开河北发票</t>
        </r>
      </text>
    </comment>
  </commentList>
</comments>
</file>

<file path=xl/comments9.xml><?xml version="1.0" encoding="utf-8"?>
<comments xmlns="http://schemas.openxmlformats.org/spreadsheetml/2006/main">
  <authors>
    <author>Administrator</author>
  </authors>
  <commentList>
    <comment ref="E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F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承兑汇票</t>
        </r>
      </text>
    </comment>
    <comment ref="E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F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E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客户直接付款</t>
        </r>
      </text>
    </comment>
    <comment ref="F1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大众直接付款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E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承兑</t>
        </r>
      </text>
    </comment>
    <comment ref="F3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河北转成都34万</t>
        </r>
      </text>
    </comment>
  </commentList>
</comments>
</file>

<file path=xl/sharedStrings.xml><?xml version="1.0" encoding="utf-8"?>
<sst xmlns="http://schemas.openxmlformats.org/spreadsheetml/2006/main" count="3460" uniqueCount="498">
  <si>
    <t>2020年2月应付帐款明细报表</t>
  </si>
  <si>
    <t>供货类别</t>
  </si>
  <si>
    <t>代码</t>
  </si>
  <si>
    <t>供应商名称</t>
  </si>
  <si>
    <t>2018年6月末应付款账面余额（元）</t>
  </si>
  <si>
    <t>2018年7月末应付款账面余额（元）</t>
  </si>
  <si>
    <t>2018年8月末应付款账面余额（元）</t>
  </si>
  <si>
    <t>2018年9月末应付款账面余额（元）</t>
  </si>
  <si>
    <t>2018年10月末应付款账面余额（元）</t>
  </si>
  <si>
    <t>2018年11月末应付款账面余额（元）</t>
  </si>
  <si>
    <t>2018年12月末应付款账面余额（元）</t>
  </si>
  <si>
    <t>2019年1月末应付款账面余额（元）</t>
  </si>
  <si>
    <t>2019年2月末应付款账面余额（元）</t>
  </si>
  <si>
    <t>2019年3月末应付款账面余额（元）</t>
  </si>
  <si>
    <t>2019年4月末应付款账面余额（元）</t>
  </si>
  <si>
    <t>2019年5月末应付款账面余额（元）</t>
  </si>
  <si>
    <t>2019年6月末应付款账面余额（元）</t>
  </si>
  <si>
    <t>2018.7月付款金额（元）</t>
  </si>
  <si>
    <t>2018.8月付款金额（元）</t>
  </si>
  <si>
    <t>2018.9月付款金额（元）</t>
  </si>
  <si>
    <t>2018.10月付款金额（元）</t>
  </si>
  <si>
    <t>2018.11月付款金额（元）</t>
  </si>
  <si>
    <t>2018.12月付款金额（元）</t>
  </si>
  <si>
    <t>2019.1月付款金额（元）</t>
  </si>
  <si>
    <t>2019.2月付款金额（元）</t>
  </si>
  <si>
    <t>2019.3月付款金额（元）</t>
  </si>
  <si>
    <t>2019.4月付款金额（元）</t>
  </si>
  <si>
    <t>2019.5月付款金额（元）</t>
  </si>
  <si>
    <t>2019.6月付款金额（元）</t>
  </si>
  <si>
    <t>2019.7月付款金额（元）</t>
  </si>
  <si>
    <t>2019.8月付款金额（元）</t>
  </si>
  <si>
    <t>2019.9月付款金额（元）</t>
  </si>
  <si>
    <t>2019.10月付款金额（元）</t>
  </si>
  <si>
    <t>2019.11月付款金额（元）</t>
  </si>
  <si>
    <t>发票挂账（元）</t>
  </si>
  <si>
    <t>扣点情况</t>
  </si>
  <si>
    <t>备注</t>
  </si>
  <si>
    <t>支付</t>
  </si>
  <si>
    <t>已支付</t>
  </si>
  <si>
    <t>待支付</t>
  </si>
  <si>
    <t>3月到期付款的</t>
  </si>
  <si>
    <t>账期</t>
  </si>
  <si>
    <t>截止2018年6月到期金额（元）</t>
  </si>
  <si>
    <t>截止2018年7月到期金额（元）</t>
  </si>
  <si>
    <t>截止2018年8月到期金额（元）</t>
  </si>
  <si>
    <t>截止2018年9月到期金额（元）</t>
  </si>
  <si>
    <t>截止2018年10月到期金额（元）</t>
  </si>
  <si>
    <t>截止2018年1月到期金额（元）</t>
  </si>
  <si>
    <t>截止2018年12月到期金额（元）</t>
  </si>
  <si>
    <t>截止2019年1月到期金额（元）</t>
  </si>
  <si>
    <t>截止2019年2月到期金额（元）</t>
  </si>
  <si>
    <t>截止2019年3月到期金额（元）</t>
  </si>
  <si>
    <t>截止2019年4月到期金额（元）</t>
  </si>
  <si>
    <t>截止2019年5月到期金额（元）</t>
  </si>
  <si>
    <t>截止2019年6月到期金额（元）</t>
  </si>
  <si>
    <t>2018年7月挂账金额（元）</t>
  </si>
  <si>
    <t>2018年8月挂账金额（元）</t>
  </si>
  <si>
    <t>2018年9月挂账金额（元）</t>
  </si>
  <si>
    <t>2018年10月挂账金额（元）</t>
  </si>
  <si>
    <t>2018年11月挂账金额（元）</t>
  </si>
  <si>
    <t>2018年12月挂账金额（元）</t>
  </si>
  <si>
    <t>2019年1月挂账金额（元）</t>
  </si>
  <si>
    <t>2019年2月挂账金额（元）</t>
  </si>
  <si>
    <t>2019年3月挂账金额（元）</t>
  </si>
  <si>
    <t>2019年4月挂账金额（元）</t>
  </si>
  <si>
    <t>2019年5月挂账金额（元）</t>
  </si>
  <si>
    <t>6月份挂账金额（元）</t>
  </si>
  <si>
    <t>7月份挂账金额（元）</t>
  </si>
  <si>
    <t>8月份挂账金额（元）</t>
  </si>
  <si>
    <t>9月份挂账金额（元）</t>
  </si>
  <si>
    <t>10月份挂账金额（元）</t>
  </si>
  <si>
    <t>11月份挂账金额（元）</t>
  </si>
  <si>
    <t>12月份挂账金额（元）</t>
  </si>
  <si>
    <t>01月份挂账金额（元）</t>
  </si>
  <si>
    <t>02月份挂账金额（元）</t>
  </si>
  <si>
    <t>合计（元）</t>
  </si>
  <si>
    <t>现金扣点</t>
  </si>
  <si>
    <t>承兑</t>
  </si>
  <si>
    <t>现金</t>
  </si>
  <si>
    <t>支付金额
（元）</t>
  </si>
  <si>
    <t>b</t>
  </si>
  <si>
    <t>货款</t>
  </si>
  <si>
    <t>1911151</t>
  </si>
  <si>
    <t>北京奇美玉隆商贸有限责任公司</t>
  </si>
  <si>
    <t>√</t>
  </si>
  <si>
    <t>60天</t>
  </si>
  <si>
    <t>1912022</t>
  </si>
  <si>
    <t>天津金发新材料有限公司</t>
  </si>
  <si>
    <t>1913118</t>
  </si>
  <si>
    <t>保定市宏腾科技有限公司</t>
  </si>
  <si>
    <t>1922339</t>
  </si>
  <si>
    <t>长春市夸克普精汽车电子有限责</t>
  </si>
  <si>
    <t>1931396A</t>
  </si>
  <si>
    <t>芜湖卓人汽车配件有限公司</t>
  </si>
  <si>
    <t>1931676</t>
  </si>
  <si>
    <t>上海普胜塑胶制品有限公司</t>
  </si>
  <si>
    <t>预付</t>
  </si>
  <si>
    <t>1931677</t>
  </si>
  <si>
    <t>上海鸿扬工贸有限公司</t>
  </si>
  <si>
    <t>1931684</t>
  </si>
  <si>
    <t>开德阜国际贸易（上海）有限公</t>
  </si>
  <si>
    <t>30天</t>
  </si>
  <si>
    <t>1932031</t>
  </si>
  <si>
    <t>江苏海德莱特汽车部件有限公司</t>
  </si>
  <si>
    <t>客户回款</t>
  </si>
  <si>
    <t>1933001</t>
  </si>
  <si>
    <t>宁波市北仑屹昌机械有限公司</t>
  </si>
  <si>
    <t>1933361</t>
  </si>
  <si>
    <t>宁波精成车业有限公司</t>
  </si>
  <si>
    <t>1933511</t>
  </si>
  <si>
    <t>温州万福机电有限公司</t>
  </si>
  <si>
    <t>票到付款</t>
  </si>
  <si>
    <t>1937045</t>
  </si>
  <si>
    <t>烟台美龙汽车部件有限公司</t>
  </si>
  <si>
    <t>1944520</t>
  </si>
  <si>
    <t>中山市华胜汽车部件有限公司</t>
  </si>
  <si>
    <t>1951014</t>
  </si>
  <si>
    <t>成都华力腾汽车部件有限公司</t>
  </si>
  <si>
    <t>L2112</t>
  </si>
  <si>
    <t>纳新塑化（上海）有限公司</t>
  </si>
  <si>
    <t>L2117</t>
  </si>
  <si>
    <t>天津利迪科技发展有限公司</t>
  </si>
  <si>
    <t>L4153</t>
  </si>
  <si>
    <t>上海发之源电器有限公司</t>
  </si>
  <si>
    <t>L4154</t>
  </si>
  <si>
    <t>抚州锐而简实业有限公司</t>
  </si>
  <si>
    <t>L4352</t>
  </si>
  <si>
    <t>上海奔流化工技术有限公司</t>
  </si>
  <si>
    <t>L4392</t>
  </si>
  <si>
    <t>阿诺德紧固件（沈阳）有限公司</t>
  </si>
  <si>
    <t>L4410</t>
  </si>
  <si>
    <t>上海坤达五金制品有限公司</t>
  </si>
  <si>
    <t>L4437</t>
  </si>
  <si>
    <t>法雷奥汽车内部控制（深圳）有</t>
  </si>
  <si>
    <t>加工费</t>
  </si>
  <si>
    <t>世纪华通</t>
  </si>
  <si>
    <t>L4617</t>
  </si>
  <si>
    <t>无锡市汇源机械科技有限公司</t>
  </si>
  <si>
    <t>L4622</t>
  </si>
  <si>
    <t>成都里恩电子科技有限公司</t>
  </si>
  <si>
    <t>1912605</t>
  </si>
  <si>
    <t>天津顺康国际</t>
  </si>
  <si>
    <t>合计</t>
  </si>
  <si>
    <t>制表：</t>
  </si>
  <si>
    <t>审核：</t>
  </si>
  <si>
    <t>已给</t>
  </si>
  <si>
    <t>基地</t>
  </si>
  <si>
    <t>差</t>
  </si>
  <si>
    <t>西安</t>
  </si>
  <si>
    <t>河北</t>
  </si>
  <si>
    <t>根据目前河北实际情况  还需另外增加  800万  因为9、10、11  三个月实际付了两个月的货款</t>
  </si>
  <si>
    <t>潍坊</t>
  </si>
  <si>
    <t>天津</t>
  </si>
  <si>
    <t>北京直接付，具体承兑与现金比例，由天津给北京输入</t>
  </si>
  <si>
    <t>总</t>
  </si>
  <si>
    <t xml:space="preserve"> </t>
  </si>
  <si>
    <t>12月份保证正常交付的前提下，按照杨总预计给河北的资金基础上需要新增800万，才能保证正常供货。</t>
  </si>
  <si>
    <t>2020年12月应付帐款明细报表</t>
  </si>
  <si>
    <t>3月付</t>
  </si>
  <si>
    <t>4月付</t>
  </si>
  <si>
    <t>5月付</t>
  </si>
  <si>
    <t>6月付</t>
  </si>
  <si>
    <t>7月付</t>
  </si>
  <si>
    <t>8月付</t>
  </si>
  <si>
    <t>9月付</t>
  </si>
  <si>
    <t>10月付</t>
  </si>
  <si>
    <t>11月付</t>
  </si>
  <si>
    <t>12月付</t>
  </si>
  <si>
    <t>12月到期付款的</t>
  </si>
  <si>
    <t>03月份挂账金额（元）</t>
  </si>
  <si>
    <t>04月份挂账金额（元）</t>
  </si>
  <si>
    <t>05月份挂账金额（元）</t>
  </si>
  <si>
    <t>06月份挂账金额（元）</t>
  </si>
  <si>
    <t>07月份挂账金额（元）</t>
  </si>
  <si>
    <t>08月份挂账金额（元）</t>
  </si>
  <si>
    <t>09月份挂账金额（元）</t>
  </si>
  <si>
    <t>成都龙洋科技有限公司（华力腾）</t>
  </si>
  <si>
    <t>L4857</t>
  </si>
  <si>
    <t>禹鹤贸易（上海）有限公司</t>
  </si>
  <si>
    <t>L4411</t>
  </si>
  <si>
    <t>北京博路荣国际贸易有限公司</t>
  </si>
  <si>
    <t>1931679</t>
  </si>
  <si>
    <t>上海金山张泾五金弹簧有限公司</t>
  </si>
  <si>
    <t xml:space="preserve">  预付</t>
  </si>
  <si>
    <t>L4878</t>
  </si>
  <si>
    <t>江阴宝曼电子科技有限公司</t>
  </si>
  <si>
    <t>1913037</t>
  </si>
  <si>
    <t>河北光华荣昌汽车部件有限公司</t>
  </si>
  <si>
    <t>2021年10月应付帐款明细报表</t>
  </si>
  <si>
    <t>2020年挂账</t>
  </si>
  <si>
    <t>2021年挂账</t>
  </si>
  <si>
    <t>2021年</t>
  </si>
  <si>
    <t>1月付</t>
  </si>
  <si>
    <t>2月付</t>
  </si>
  <si>
    <t>2020年期末挂账金额（元）</t>
  </si>
  <si>
    <t>202010月份挂账金额（元）</t>
  </si>
  <si>
    <t>202011月份挂账金额（元）</t>
  </si>
  <si>
    <t>202012月份挂账金额（元）</t>
  </si>
  <si>
    <t>2020年应付挂账金额（元）</t>
  </si>
  <si>
    <t>应付挂账金额</t>
  </si>
  <si>
    <t xml:space="preserve">  已付账款金额</t>
  </si>
  <si>
    <t>应付账款金额</t>
  </si>
  <si>
    <t>到期未支付金额</t>
  </si>
  <si>
    <t xml:space="preserve">  账期</t>
  </si>
  <si>
    <t>浙江万福机电科技有限公司</t>
  </si>
  <si>
    <t>成都龙洋科技有限公司</t>
  </si>
  <si>
    <t>成都世纪华通汽车部件有限公司</t>
  </si>
  <si>
    <t>L2076</t>
  </si>
  <si>
    <t>北京明科通业国际贸易有限责任</t>
  </si>
  <si>
    <t>1932596</t>
  </si>
  <si>
    <t>江阴市宏丰塑业有限公司</t>
  </si>
  <si>
    <t>1934710</t>
  </si>
  <si>
    <t>L4749</t>
  </si>
  <si>
    <t>麦格纳（太仓）汽车科技有限公</t>
  </si>
  <si>
    <t>苏州苏宁标准件有限公司</t>
  </si>
  <si>
    <t>1913023</t>
  </si>
  <si>
    <t>海兴中盛弹簧制品有限公司</t>
  </si>
  <si>
    <t>1951035</t>
  </si>
  <si>
    <t>长春力登维科技产业有限公司成都分公司</t>
  </si>
  <si>
    <t>东莞市瑞元工程塑料有限公司</t>
  </si>
  <si>
    <t>上海锦湖日丽</t>
  </si>
  <si>
    <t>2021年11月应付帐款明细报表</t>
  </si>
  <si>
    <t>90天</t>
  </si>
  <si>
    <t>长春力登维科技产业有限公司成</t>
  </si>
  <si>
    <t>1932034</t>
  </si>
  <si>
    <t>江苏福美汽车镜有限公司</t>
  </si>
  <si>
    <t>1912609</t>
  </si>
  <si>
    <t>多宾城汽车部件（天津）有限公</t>
  </si>
  <si>
    <t>1951047</t>
  </si>
  <si>
    <t>上海中鹏岳博实业发展有限公司</t>
  </si>
  <si>
    <t>1922009</t>
  </si>
  <si>
    <t>长春鸿德汽车照明有限公司</t>
  </si>
  <si>
    <t>客供件</t>
  </si>
  <si>
    <t>2021年12月应付帐款明细报表</t>
  </si>
  <si>
    <t>12月付款计划</t>
  </si>
  <si>
    <t>1月付款计划</t>
  </si>
  <si>
    <t>截止12月底应付金额</t>
  </si>
  <si>
    <t>1937004</t>
  </si>
  <si>
    <t>L5254</t>
  </si>
  <si>
    <t>L4409</t>
  </si>
  <si>
    <t>上海锦湖日丽塑料有限公司</t>
  </si>
  <si>
    <t>90天客供件</t>
  </si>
  <si>
    <t>2022年1月应付帐款明细报表</t>
  </si>
  <si>
    <t>2022年</t>
  </si>
  <si>
    <t>7月付款计划</t>
  </si>
  <si>
    <t>2021年期末挂账金额（元）</t>
  </si>
  <si>
    <t>202110月份挂账金额（元）</t>
  </si>
  <si>
    <t>202111月份挂账金额（元）</t>
  </si>
  <si>
    <t>202112月份挂账金额（元）</t>
  </si>
  <si>
    <t>2021年应付挂账金额（元）</t>
  </si>
  <si>
    <t>挂账金额合计</t>
  </si>
  <si>
    <t xml:space="preserve">  已付账款合计金额</t>
  </si>
  <si>
    <t>挂账款金额</t>
  </si>
  <si>
    <t>截止1月底应付金额</t>
  </si>
  <si>
    <t>截止2月底应付金额</t>
  </si>
  <si>
    <t>截止3月底应付金额</t>
  </si>
  <si>
    <t>截止4月底应付金额</t>
  </si>
  <si>
    <t>截止5月底应付金额</t>
  </si>
  <si>
    <t>截止6月底应付金额</t>
  </si>
  <si>
    <t>截止7月底应付金额</t>
  </si>
  <si>
    <t>截止8月底应付金额</t>
  </si>
  <si>
    <t>截止9月底应付金额</t>
  </si>
  <si>
    <t>截止10月底应付金额</t>
  </si>
  <si>
    <t>截止11月底应付金额</t>
  </si>
  <si>
    <r>
      <rPr>
        <sz val="10"/>
        <color theme="2"/>
        <rFont val="微软雅黑"/>
        <charset val="134"/>
      </rPr>
      <t>60天/</t>
    </r>
    <r>
      <rPr>
        <sz val="10"/>
        <rFont val="微软雅黑"/>
        <charset val="134"/>
      </rPr>
      <t>90天22年</t>
    </r>
  </si>
  <si>
    <t>41628-41628</t>
  </si>
  <si>
    <t xml:space="preserve"> 扣41628.00</t>
  </si>
  <si>
    <t>L5273</t>
  </si>
  <si>
    <t>江苏日盈电子股份有限公司</t>
  </si>
  <si>
    <t>会通新材料股份有限公司</t>
  </si>
  <si>
    <t>扣模具费：5500</t>
  </si>
  <si>
    <t>1931704</t>
  </si>
  <si>
    <t>上海努辰金属制品有限公司</t>
  </si>
  <si>
    <t>苏州智华汽车电子有限公司</t>
  </si>
  <si>
    <t>L5389</t>
  </si>
  <si>
    <t>上海博迩森汽车部件有限公司</t>
  </si>
  <si>
    <t>2023年  月应付帐款明细报表</t>
  </si>
  <si>
    <t>2022年挂账</t>
  </si>
  <si>
    <t>2023年挂账</t>
  </si>
  <si>
    <t>2023年</t>
  </si>
  <si>
    <t>月付款计划</t>
  </si>
  <si>
    <t>2022年期末挂账金额（元）</t>
  </si>
  <si>
    <t>202210月份挂账金额（元）</t>
  </si>
  <si>
    <t>202211月份挂账金额（元）</t>
  </si>
  <si>
    <t>202212月份挂账金额（元）</t>
  </si>
  <si>
    <t>2022年应付挂账金额（元）</t>
  </si>
  <si>
    <t/>
  </si>
  <si>
    <t>泉州市福兴塑料五金有限公司</t>
  </si>
  <si>
    <t>西安光华荣昌汽车部件有限公司</t>
  </si>
  <si>
    <t>西安海容塑料制品有限责任公司</t>
  </si>
  <si>
    <t>文安县恒德汽车座椅制造有限公</t>
  </si>
  <si>
    <t>北京美好生活家居用品有限公司</t>
  </si>
  <si>
    <t>北京浦东三浦标准件有限公司</t>
  </si>
  <si>
    <t>北京瑞隆祥模具有限公司</t>
  </si>
  <si>
    <t>杭州阳晨聚氨酯制品有限公司</t>
  </si>
  <si>
    <t>河北新强力机械制造有限公司</t>
  </si>
  <si>
    <t>黄骅市汇铭汽车部件有限公司</t>
  </si>
  <si>
    <t>黄骅市建昌塑料制品有限公司</t>
  </si>
  <si>
    <t>黄骅市旗锐塑料制品有限公司</t>
  </si>
  <si>
    <t>黄骅市鑫祺汽车配件有限公司</t>
  </si>
  <si>
    <t>黄骅市长生汽车灯镜有限公司</t>
  </si>
  <si>
    <t>厦门市鑫荣飞工贸有限公司</t>
  </si>
  <si>
    <t>上海绽奇汽车部件有限公司</t>
  </si>
  <si>
    <t>上锐（常州）供应链管理有限公</t>
  </si>
  <si>
    <t>天津生隆纤维材料股份有限公司</t>
  </si>
  <si>
    <t>湘乡简美新材料科技有限公司</t>
  </si>
  <si>
    <t>扬州市宏昌气动件制造有限公司</t>
  </si>
  <si>
    <t>长春光华荣昌汽车部件有限公司</t>
  </si>
  <si>
    <t>成都康鸿塑胶制品有限公司</t>
  </si>
  <si>
    <t>2023年6月付款计划</t>
  </si>
  <si>
    <t>物料</t>
  </si>
  <si>
    <t>6月30日前支付</t>
  </si>
  <si>
    <t>7月5日前支付</t>
  </si>
  <si>
    <t>7月15日前支付</t>
  </si>
  <si>
    <t>截止到2023年6月应付</t>
  </si>
  <si>
    <t>超期应付账款金额</t>
  </si>
  <si>
    <t>应付账款合计</t>
  </si>
  <si>
    <t>2021年11月应付</t>
  </si>
  <si>
    <t>2022年11月应付</t>
  </si>
  <si>
    <t>2022年2月应付</t>
  </si>
  <si>
    <t>2022年3月应付</t>
  </si>
  <si>
    <t>2022年4月应付</t>
  </si>
  <si>
    <t>2022年5月应付</t>
  </si>
  <si>
    <t>2022年6月应付</t>
  </si>
  <si>
    <t>2022年7月应付</t>
  </si>
  <si>
    <t>2022年8月应付</t>
  </si>
  <si>
    <t>2022年9月应付</t>
  </si>
  <si>
    <t>2022年10月应付</t>
  </si>
  <si>
    <t>2022年12月应付</t>
  </si>
  <si>
    <t>2023年1月应付</t>
  </si>
  <si>
    <t>2023年2月应付</t>
  </si>
  <si>
    <t>2023年3月应付</t>
  </si>
  <si>
    <t>2023年4月应付</t>
  </si>
  <si>
    <t>2023年5月应付</t>
  </si>
  <si>
    <t>2023年6月应付</t>
  </si>
  <si>
    <t>2023年7月应付</t>
  </si>
  <si>
    <t>2023年8月应付</t>
  </si>
  <si>
    <t>2023年9月应付</t>
  </si>
  <si>
    <t>2023年10月应付</t>
  </si>
  <si>
    <t>2023年11月应付</t>
  </si>
  <si>
    <t>2023年12月应付</t>
  </si>
  <si>
    <t xml:space="preserve"> 成都付款方式</t>
  </si>
  <si>
    <t>西安的付款方式</t>
  </si>
  <si>
    <t>河北的付款方式</t>
  </si>
  <si>
    <t>加热片</t>
  </si>
  <si>
    <t>三角垫</t>
  </si>
  <si>
    <t>现汇不扣点</t>
  </si>
  <si>
    <t>内镜镜杆、转轴</t>
  </si>
  <si>
    <t>商业承兑</t>
  </si>
  <si>
    <t>调节机芯</t>
  </si>
  <si>
    <t>铜螺母</t>
  </si>
  <si>
    <t>外镜镜片</t>
  </si>
  <si>
    <t>线束</t>
  </si>
  <si>
    <t>弹簧、阻尼片</t>
  </si>
  <si>
    <t xml:space="preserve"> 扣41628.00(一直未处理）</t>
  </si>
  <si>
    <t>螺钉</t>
  </si>
  <si>
    <t>球头弹卡</t>
  </si>
  <si>
    <t>转向灯照地灯LOGO灯</t>
  </si>
  <si>
    <t>客户直接付款</t>
  </si>
  <si>
    <t>摄像头</t>
  </si>
  <si>
    <t>高配转轴、三角座</t>
  </si>
  <si>
    <t>电折机芯</t>
  </si>
  <si>
    <t>弹簧</t>
  </si>
  <si>
    <t>昼夜安装弹片</t>
  </si>
  <si>
    <t>下镜壳合件</t>
  </si>
  <si>
    <t>大众指定供应商</t>
  </si>
  <si>
    <t>阻尼片、弹簧</t>
  </si>
  <si>
    <t>内镜镜片</t>
  </si>
  <si>
    <t>安全带</t>
  </si>
  <si>
    <t>座椅泡沫</t>
  </si>
  <si>
    <t>罩壳</t>
  </si>
  <si>
    <t>面罩、注塑件</t>
  </si>
  <si>
    <t xml:space="preserve"> 承兑或现汇 </t>
  </si>
  <si>
    <t>承兑/现汇</t>
  </si>
  <si>
    <t>现汇扣3%</t>
  </si>
  <si>
    <t xml:space="preserve"> 座椅底支架 </t>
  </si>
  <si>
    <t xml:space="preserve"> 现汇不折点 </t>
  </si>
  <si>
    <t>不扣点</t>
  </si>
  <si>
    <t xml:space="preserve"> 气袋腰托总成 </t>
  </si>
  <si>
    <t xml:space="preserve"> 预付款 现汇不折点 </t>
  </si>
  <si>
    <t xml:space="preserve"> 座椅标准件 </t>
  </si>
  <si>
    <t xml:space="preserve"> 卡箍 </t>
  </si>
  <si>
    <t xml:space="preserve"> 扶手 </t>
  </si>
  <si>
    <t xml:space="preserve"> 副驾靠背骨架 </t>
  </si>
  <si>
    <t xml:space="preserve"> 包装膜 </t>
  </si>
  <si>
    <t xml:space="preserve"> 调角器手柄 </t>
  </si>
  <si>
    <t xml:space="preserve"> 罩壳卡子 </t>
  </si>
  <si>
    <t xml:space="preserve"> 坐盆 </t>
  </si>
  <si>
    <t xml:space="preserve"> 滑轨总成 </t>
  </si>
  <si>
    <t xml:space="preserve"> 刺毛条 </t>
  </si>
  <si>
    <t xml:space="preserve"> 标准件 </t>
  </si>
  <si>
    <t xml:space="preserve"> 硬质棉 </t>
  </si>
  <si>
    <t>现汇扣其他点</t>
  </si>
  <si>
    <t xml:space="preserve"> 布套 </t>
  </si>
  <si>
    <t xml:space="preserve"> 气弹簧总成 </t>
  </si>
  <si>
    <t>60/9022年</t>
  </si>
  <si>
    <t>账户</t>
  </si>
  <si>
    <t>账户描述</t>
  </si>
  <si>
    <t>分账户</t>
  </si>
  <si>
    <t>单位/个人</t>
  </si>
  <si>
    <t>部门</t>
  </si>
  <si>
    <t>货币</t>
  </si>
  <si>
    <t>借/贷</t>
  </si>
  <si>
    <t>期初</t>
  </si>
  <si>
    <t>借方发生额</t>
  </si>
  <si>
    <t>贷方发生额</t>
  </si>
  <si>
    <t>借方年度</t>
  </si>
  <si>
    <t>贷方年度</t>
  </si>
  <si>
    <t>借/贷2</t>
  </si>
  <si>
    <t>期末</t>
  </si>
  <si>
    <t>2202</t>
  </si>
  <si>
    <t>应付账款</t>
  </si>
  <si>
    <t>CNY</t>
  </si>
  <si>
    <t>贷</t>
  </si>
  <si>
    <t>北京光华荣昌汽车部件有限公司</t>
  </si>
  <si>
    <t>平</t>
  </si>
  <si>
    <t>北京东方华康自动化设备有限公</t>
  </si>
  <si>
    <t>宝瑞龙高分子材料（天津）股份</t>
  </si>
  <si>
    <t>天津光华智能汽车科技有限公司</t>
  </si>
  <si>
    <t>借</t>
  </si>
  <si>
    <t>新梦顶（上海）贸易有限公司</t>
  </si>
  <si>
    <t>上海协佑国际贸易有限公司</t>
  </si>
  <si>
    <t>重庆和悦塑胶有限公司</t>
  </si>
  <si>
    <t>重庆澳普包装有限公司</t>
  </si>
  <si>
    <t>成都市鑫利环保设备有限公司</t>
  </si>
  <si>
    <t>四川创利达机械设备有限公司</t>
  </si>
  <si>
    <t>成都永鑫新材料有限公司</t>
  </si>
  <si>
    <t>成都丽锦光华包装材料有限公司</t>
  </si>
  <si>
    <t>北京长飞亚机械销售有限公</t>
  </si>
  <si>
    <t>宁波大榭开发区港盛物流有限公</t>
  </si>
  <si>
    <t>四川吉尔思金属制品有限公司</t>
  </si>
  <si>
    <t>东莞市正亚机械设备有限公司</t>
  </si>
  <si>
    <t>上海量光科技有限公司</t>
  </si>
  <si>
    <t>成都海塑机械有限公司</t>
  </si>
  <si>
    <t>天津市信易电热设备有限公司</t>
  </si>
  <si>
    <t>宁波华川物流有限公司</t>
  </si>
  <si>
    <t>成都丹珠智能仓储设备有限公司</t>
  </si>
  <si>
    <t>成都瑞特斯机电工程有限公司</t>
  </si>
  <si>
    <t>上海斯奉电子科技有限公司</t>
  </si>
  <si>
    <t>成都军航包装有限公司</t>
  </si>
  <si>
    <t>四川华宸宇建筑有限公司</t>
  </si>
  <si>
    <t>成都广泓进商贸有限公司</t>
  </si>
  <si>
    <t>成都京之东电器销售有限责任公</t>
  </si>
  <si>
    <t>成都德生源商贸有限公司</t>
  </si>
  <si>
    <t>四川顺丰速运有限公司</t>
  </si>
  <si>
    <t>成都泽奇汽车零部件有限公司</t>
  </si>
  <si>
    <t>上海华夏邓白氏商业信息咨询有</t>
  </si>
  <si>
    <t>天津融通凤达电线电缆销售有限</t>
  </si>
  <si>
    <t>龙泉驿区西河镇九彩建材商贸行</t>
  </si>
  <si>
    <t>成都森宝利商贸有限公司</t>
  </si>
  <si>
    <t>成都腾达跃电子科技有限公司</t>
  </si>
  <si>
    <t>重庆胜伟维德赫华翔汽车零部件</t>
  </si>
  <si>
    <t>东莞市樟木头瑞祥塑胶原料</t>
  </si>
  <si>
    <t>深圳市晶立泰机械配件有限公司</t>
  </si>
  <si>
    <t>上海绒彧贸易有限公司</t>
  </si>
  <si>
    <t>常州市鹏逸汽车附件有限公司</t>
  </si>
  <si>
    <t>欣瑞联电子（肇庆）有限公司</t>
  </si>
  <si>
    <t>220201</t>
  </si>
  <si>
    <t>应付账款-暂估</t>
  </si>
  <si>
    <t>BC02</t>
  </si>
  <si>
    <t>CH30</t>
  </si>
  <si>
    <t>CH33</t>
  </si>
  <si>
    <t>CH41</t>
  </si>
  <si>
    <t>CH43</t>
  </si>
  <si>
    <t>CH44</t>
  </si>
  <si>
    <t>YC02</t>
  </si>
  <si>
    <t>YC06</t>
  </si>
  <si>
    <t>YC09</t>
  </si>
  <si>
    <t>2022年8月挂账金额</t>
  </si>
  <si>
    <t>2022年9月挂账金额</t>
  </si>
  <si>
    <t>2022年10月挂账金额</t>
  </si>
  <si>
    <t>2022年11月挂账金额</t>
  </si>
  <si>
    <t>2022年12月挂账金额</t>
  </si>
  <si>
    <t>2023年1月挂账金额</t>
  </si>
  <si>
    <t>2023年2月挂账金额</t>
  </si>
  <si>
    <t>2023年3月挂账金额</t>
  </si>
  <si>
    <t>2023年4月挂账金额</t>
  </si>
  <si>
    <t>2023年5月挂账金额</t>
  </si>
  <si>
    <t>2023年6月挂账金额</t>
  </si>
  <si>
    <t>2023年7月挂账金额</t>
  </si>
  <si>
    <t>2023年8月挂账金额</t>
  </si>
  <si>
    <t>2023年9月挂账金额</t>
  </si>
  <si>
    <t>2023年10月挂账金额</t>
  </si>
  <si>
    <t>2023年11月挂账金额</t>
  </si>
  <si>
    <t>2023年12月挂账金额</t>
  </si>
  <si>
    <t>付款总金额</t>
  </si>
  <si>
    <t>2023年1月付款</t>
  </si>
  <si>
    <t>2023年2月付款</t>
  </si>
  <si>
    <t>2023年3月付款</t>
  </si>
  <si>
    <t>2023年4月付款</t>
  </si>
  <si>
    <t>2023年5月付款</t>
  </si>
  <si>
    <t>2023年6月付款</t>
  </si>
  <si>
    <t>2023年7月付款</t>
  </si>
  <si>
    <t>2023年8月付款</t>
  </si>
  <si>
    <t>2023年9月付款</t>
  </si>
  <si>
    <t>2023年10月付款</t>
  </si>
  <si>
    <t>2023年11月付款</t>
  </si>
  <si>
    <t>2023年12月付款</t>
  </si>
</sst>
</file>

<file path=xl/styles.xml><?xml version="1.0" encoding="utf-8"?>
<styleSheet xmlns="http://schemas.openxmlformats.org/spreadsheetml/2006/main">
  <numFmts count="12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##,##0.00"/>
    <numFmt numFmtId="178" formatCode="General&quot;天&quot;"/>
    <numFmt numFmtId="179" formatCode="&quot;索赔&quot;_ * #,##0.00_ ;_ * \-#,##0.00_ ;_ * &quot;-&quot;??_ ;_ @_ "/>
    <numFmt numFmtId="180" formatCode="#,##0.00_);[Red]\(#,##0.00\)"/>
    <numFmt numFmtId="181" formatCode="_-* #,##0.00_-;\-* #,##0.00_-;_-* &quot;-&quot;??_-;_-@_-"/>
    <numFmt numFmtId="182" formatCode="#,###,###,###.00"/>
  </numFmts>
  <fonts count="44">
    <font>
      <sz val="11"/>
      <color theme="1"/>
      <name val="宋体"/>
      <charset val="134"/>
      <scheme val="minor"/>
    </font>
    <font>
      <sz val="10"/>
      <name val="微软雅黑"/>
      <charset val="134"/>
    </font>
    <font>
      <sz val="10"/>
      <color theme="1"/>
      <name val="宋体"/>
      <charset val="134"/>
      <scheme val="minor"/>
    </font>
    <font>
      <sz val="10"/>
      <color indexed="0"/>
      <name val="Arial"/>
      <charset val="134"/>
    </font>
    <font>
      <sz val="8.25"/>
      <color indexed="0"/>
      <name val="Microsoft Sans Serif"/>
      <charset val="134"/>
    </font>
    <font>
      <sz val="8.25"/>
      <color indexed="4"/>
      <name val="Microsoft Sans Serif"/>
      <charset val="134"/>
    </font>
    <font>
      <sz val="8.5"/>
      <color rgb="FF0000FF"/>
      <name val="宋体"/>
      <charset val="134"/>
    </font>
    <font>
      <sz val="10"/>
      <color theme="1"/>
      <name val="微软雅黑"/>
      <charset val="134"/>
    </font>
    <font>
      <b/>
      <sz val="22"/>
      <name val="微软雅黑"/>
      <charset val="134"/>
    </font>
    <font>
      <b/>
      <sz val="10"/>
      <name val="微软雅黑"/>
      <charset val="134"/>
    </font>
    <font>
      <sz val="10"/>
      <color rgb="FFFF0000"/>
      <name val="微软雅黑"/>
      <charset val="134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rgb="FF002060"/>
      <name val="微软雅黑"/>
      <charset val="134"/>
    </font>
    <font>
      <b/>
      <sz val="10"/>
      <color rgb="FF002060"/>
      <name val="微软雅黑"/>
      <charset val="134"/>
    </font>
    <font>
      <sz val="11"/>
      <color indexed="8"/>
      <name val="宋体"/>
      <charset val="134"/>
    </font>
    <font>
      <sz val="11"/>
      <name val="微软雅黑"/>
      <charset val="134"/>
    </font>
    <font>
      <b/>
      <sz val="10"/>
      <color theme="9" tint="-0.499984740745262"/>
      <name val="微软雅黑"/>
      <charset val="134"/>
    </font>
    <font>
      <b/>
      <sz val="16"/>
      <name val="微软雅黑"/>
      <charset val="134"/>
    </font>
    <font>
      <b/>
      <sz val="10"/>
      <color rgb="FFFF0000"/>
      <name val="微软雅黑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theme="2"/>
      <name val="微软雅黑"/>
      <charset val="134"/>
    </font>
    <font>
      <sz val="9"/>
      <name val="宋体"/>
      <charset val="134"/>
    </font>
    <font>
      <b/>
      <sz val="9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7" tint="0.79985961485641"/>
        <bgColor indexed="64"/>
      </patternFill>
    </fill>
    <fill>
      <patternFill patternType="solid">
        <fgColor theme="6" tint="0.7998596148564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7" tint="0.39991454817346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theme="9" tint="0.79985961485641"/>
        <bgColor indexed="64"/>
      </patternFill>
    </fill>
    <fill>
      <patternFill patternType="solid">
        <fgColor theme="9" tint="0.399853511154515"/>
        <bgColor indexed="64"/>
      </patternFill>
    </fill>
    <fill>
      <patternFill patternType="solid">
        <fgColor rgb="FF93E31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5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9" borderId="51" applyNumberFormat="0" applyFont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52" applyNumberFormat="0" applyFill="0" applyAlignment="0" applyProtection="0">
      <alignment vertical="center"/>
    </xf>
    <xf numFmtId="0" fontId="33" fillId="0" borderId="52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0" borderId="53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34" fillId="23" borderId="54" applyNumberFormat="0" applyAlignment="0" applyProtection="0">
      <alignment vertical="center"/>
    </xf>
    <xf numFmtId="0" fontId="35" fillId="23" borderId="50" applyNumberFormat="0" applyAlignment="0" applyProtection="0">
      <alignment vertical="center"/>
    </xf>
    <xf numFmtId="0" fontId="36" fillId="24" borderId="55" applyNumberFormat="0" applyAlignment="0" applyProtection="0">
      <alignment vertical="center"/>
    </xf>
    <xf numFmtId="0" fontId="3" fillId="0" borderId="0"/>
    <xf numFmtId="0" fontId="21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7" fillId="0" borderId="56" applyNumberFormat="0" applyFill="0" applyAlignment="0" applyProtection="0">
      <alignment vertical="center"/>
    </xf>
    <xf numFmtId="0" fontId="38" fillId="0" borderId="57" applyNumberFormat="0" applyFill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5" fillId="4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1" fillId="43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" fillId="0" borderId="0"/>
    <xf numFmtId="0" fontId="3" fillId="0" borderId="0"/>
    <xf numFmtId="43" fontId="24" fillId="0" borderId="0" applyFont="0" applyFill="0" applyBorder="0" applyAlignment="0" applyProtection="0">
      <alignment vertical="center"/>
    </xf>
  </cellStyleXfs>
  <cellXfs count="295">
    <xf numFmtId="0" fontId="0" fillId="0" borderId="0" xfId="0">
      <alignment vertical="center"/>
    </xf>
    <xf numFmtId="49" fontId="1" fillId="2" borderId="1" xfId="0" applyNumberFormat="1" applyFont="1" applyFill="1" applyBorder="1" applyAlignment="1">
      <alignment vertical="center" wrapText="1" shrinkToFit="1"/>
    </xf>
    <xf numFmtId="49" fontId="1" fillId="2" borderId="1" xfId="0" applyNumberFormat="1" applyFont="1" applyFill="1" applyBorder="1" applyAlignment="1">
      <alignment vertical="center" wrapText="1"/>
    </xf>
    <xf numFmtId="0" fontId="0" fillId="0" borderId="1" xfId="0" applyBorder="1">
      <alignment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left" vertical="center"/>
    </xf>
    <xf numFmtId="176" fontId="1" fillId="0" borderId="1" xfId="0" applyNumberFormat="1" applyFont="1" applyBorder="1" applyAlignment="1">
      <alignment horizontal="left" vertical="center"/>
    </xf>
    <xf numFmtId="43" fontId="1" fillId="3" borderId="1" xfId="8" applyFont="1" applyFill="1" applyBorder="1" applyAlignment="1">
      <alignment horizontal="left" vertical="center"/>
    </xf>
    <xf numFmtId="176" fontId="2" fillId="0" borderId="1" xfId="0" applyNumberFormat="1" applyFont="1" applyBorder="1">
      <alignment vertical="center"/>
    </xf>
    <xf numFmtId="43" fontId="1" fillId="4" borderId="2" xfId="8" applyFont="1" applyFill="1" applyBorder="1" applyAlignment="1">
      <alignment horizontal="center" vertical="center" wrapText="1"/>
    </xf>
    <xf numFmtId="0" fontId="3" fillId="0" borderId="0" xfId="0" applyFont="1" applyAlignment="1"/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177" fontId="4" fillId="0" borderId="4" xfId="0" applyNumberFormat="1" applyFont="1" applyBorder="1" applyAlignment="1">
      <alignment horizontal="right" vertical="center"/>
    </xf>
    <xf numFmtId="0" fontId="4" fillId="5" borderId="4" xfId="0" applyFont="1" applyFill="1" applyBorder="1" applyAlignment="1">
      <alignment horizontal="left" vertical="center"/>
    </xf>
    <xf numFmtId="0" fontId="5" fillId="5" borderId="4" xfId="0" applyFont="1" applyFill="1" applyBorder="1" applyAlignment="1">
      <alignment horizontal="left" vertical="center"/>
    </xf>
    <xf numFmtId="177" fontId="4" fillId="5" borderId="4" xfId="0" applyNumberFormat="1" applyFont="1" applyFill="1" applyBorder="1" applyAlignment="1">
      <alignment horizontal="right" vertical="center"/>
    </xf>
    <xf numFmtId="0" fontId="6" fillId="5" borderId="4" xfId="0" applyFont="1" applyFill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 shrinkToFit="1"/>
    </xf>
    <xf numFmtId="0" fontId="1" fillId="6" borderId="0" xfId="0" applyFont="1" applyFill="1" applyAlignment="1">
      <alignment horizontal="left" vertical="center"/>
    </xf>
    <xf numFmtId="178" fontId="1" fillId="6" borderId="0" xfId="0" applyNumberFormat="1" applyFont="1" applyFill="1" applyAlignment="1">
      <alignment horizontal="left" vertical="center"/>
    </xf>
    <xf numFmtId="176" fontId="1" fillId="6" borderId="0" xfId="0" applyNumberFormat="1" applyFont="1" applyFill="1" applyAlignment="1">
      <alignment horizontal="center" vertical="center"/>
    </xf>
    <xf numFmtId="0" fontId="8" fillId="6" borderId="5" xfId="0" applyFont="1" applyFill="1" applyBorder="1" applyAlignment="1">
      <alignment horizontal="center" vertical="center"/>
    </xf>
    <xf numFmtId="0" fontId="8" fillId="6" borderId="0" xfId="0" applyFont="1" applyFill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 wrapText="1" shrinkToFit="1"/>
    </xf>
    <xf numFmtId="49" fontId="1" fillId="2" borderId="7" xfId="0" applyNumberFormat="1" applyFont="1" applyFill="1" applyBorder="1" applyAlignment="1">
      <alignment horizontal="center" vertical="center" wrapText="1"/>
    </xf>
    <xf numFmtId="49" fontId="1" fillId="2" borderId="8" xfId="0" applyNumberFormat="1" applyFont="1" applyFill="1" applyBorder="1" applyAlignment="1">
      <alignment horizontal="center" vertical="center" wrapText="1"/>
    </xf>
    <xf numFmtId="178" fontId="1" fillId="2" borderId="9" xfId="0" applyNumberFormat="1" applyFont="1" applyFill="1" applyBorder="1" applyAlignment="1">
      <alignment horizontal="center" vertical="center" wrapText="1"/>
    </xf>
    <xf numFmtId="180" fontId="1" fillId="2" borderId="10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 shrinkToFi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178" fontId="1" fillId="2" borderId="13" xfId="8" applyNumberFormat="1" applyFont="1" applyFill="1" applyBorder="1" applyAlignment="1">
      <alignment horizontal="center" vertical="center" wrapText="1"/>
    </xf>
    <xf numFmtId="180" fontId="9" fillId="7" borderId="14" xfId="0" applyNumberFormat="1" applyFont="1" applyFill="1" applyBorder="1" applyAlignment="1">
      <alignment horizontal="center" vertical="center" wrapText="1"/>
    </xf>
    <xf numFmtId="180" fontId="1" fillId="2" borderId="14" xfId="0" applyNumberFormat="1" applyFont="1" applyFill="1" applyBorder="1" applyAlignment="1">
      <alignment horizontal="center" vertical="center" wrapText="1"/>
    </xf>
    <xf numFmtId="180" fontId="9" fillId="7" borderId="15" xfId="0" applyNumberFormat="1" applyFont="1" applyFill="1" applyBorder="1" applyAlignment="1">
      <alignment horizontal="center" vertical="center" wrapText="1"/>
    </xf>
    <xf numFmtId="180" fontId="1" fillId="2" borderId="15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shrinkToFit="1"/>
    </xf>
    <xf numFmtId="0" fontId="1" fillId="0" borderId="12" xfId="0" applyFont="1" applyBorder="1" applyAlignment="1">
      <alignment horizontal="left" vertical="center"/>
    </xf>
    <xf numFmtId="178" fontId="10" fillId="0" borderId="16" xfId="0" applyNumberFormat="1" applyFont="1" applyBorder="1" applyAlignment="1">
      <alignment horizontal="left" vertical="center"/>
    </xf>
    <xf numFmtId="181" fontId="9" fillId="8" borderId="12" xfId="0" applyNumberFormat="1" applyFont="1" applyFill="1" applyBorder="1" applyAlignment="1">
      <alignment horizontal="center" vertical="center" wrapText="1"/>
    </xf>
    <xf numFmtId="181" fontId="9" fillId="0" borderId="12" xfId="0" applyNumberFormat="1" applyFont="1" applyBorder="1" applyAlignment="1">
      <alignment horizontal="center" vertical="center" wrapText="1"/>
    </xf>
    <xf numFmtId="178" fontId="1" fillId="0" borderId="16" xfId="0" applyNumberFormat="1" applyFont="1" applyBorder="1" applyAlignment="1">
      <alignment horizontal="left" vertical="center"/>
    </xf>
    <xf numFmtId="0" fontId="1" fillId="0" borderId="11" xfId="0" applyFont="1" applyBorder="1" applyAlignment="1">
      <alignment horizontal="center" vertical="center" shrinkToFit="1"/>
    </xf>
    <xf numFmtId="0" fontId="1" fillId="9" borderId="11" xfId="0" applyFont="1" applyFill="1" applyBorder="1" applyAlignment="1">
      <alignment horizontal="center" vertical="center" shrinkToFit="1"/>
    </xf>
    <xf numFmtId="0" fontId="1" fillId="9" borderId="12" xfId="0" applyFont="1" applyFill="1" applyBorder="1" applyAlignment="1">
      <alignment horizontal="left" vertical="center"/>
    </xf>
    <xf numFmtId="178" fontId="11" fillId="0" borderId="16" xfId="27" applyNumberFormat="1" applyFont="1" applyBorder="1" applyAlignment="1">
      <alignment horizontal="left" vertical="center"/>
    </xf>
    <xf numFmtId="178" fontId="12" fillId="9" borderId="16" xfId="27" applyNumberFormat="1" applyFont="1" applyFill="1" applyBorder="1" applyAlignment="1">
      <alignment vertical="center"/>
    </xf>
    <xf numFmtId="178" fontId="13" fillId="0" borderId="16" xfId="27" applyNumberFormat="1" applyFont="1" applyBorder="1" applyAlignment="1">
      <alignment horizontal="left" vertical="center"/>
    </xf>
    <xf numFmtId="178" fontId="11" fillId="0" borderId="17" xfId="27" applyNumberFormat="1" applyFont="1" applyBorder="1" applyAlignment="1">
      <alignment horizontal="left" vertical="center"/>
    </xf>
    <xf numFmtId="178" fontId="13" fillId="0" borderId="17" xfId="27" applyNumberFormat="1" applyFont="1" applyBorder="1" applyAlignment="1">
      <alignment horizontal="left" vertical="center"/>
    </xf>
    <xf numFmtId="43" fontId="1" fillId="2" borderId="18" xfId="8" applyFont="1" applyFill="1" applyBorder="1" applyAlignment="1">
      <alignment horizontal="center" vertical="center" wrapText="1"/>
    </xf>
    <xf numFmtId="181" fontId="1" fillId="0" borderId="12" xfId="0" applyNumberFormat="1" applyFont="1" applyBorder="1" applyAlignment="1">
      <alignment horizontal="center" vertical="center" wrapText="1"/>
    </xf>
    <xf numFmtId="43" fontId="1" fillId="0" borderId="12" xfId="0" applyNumberFormat="1" applyFont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 wrapText="1"/>
    </xf>
    <xf numFmtId="43" fontId="1" fillId="10" borderId="18" xfId="8" applyFont="1" applyFill="1" applyBorder="1" applyAlignment="1">
      <alignment horizontal="center" vertical="center" wrapText="1"/>
    </xf>
    <xf numFmtId="43" fontId="14" fillId="10" borderId="12" xfId="0" applyNumberFormat="1" applyFont="1" applyFill="1" applyBorder="1" applyAlignment="1">
      <alignment horizontal="left" vertical="center"/>
    </xf>
    <xf numFmtId="43" fontId="15" fillId="10" borderId="12" xfId="0" applyNumberFormat="1" applyFont="1" applyFill="1" applyBorder="1" applyAlignment="1">
      <alignment horizontal="left" vertical="center"/>
    </xf>
    <xf numFmtId="180" fontId="1" fillId="2" borderId="7" xfId="0" applyNumberFormat="1" applyFont="1" applyFill="1" applyBorder="1" applyAlignment="1">
      <alignment horizontal="center" vertical="center" wrapText="1"/>
    </xf>
    <xf numFmtId="180" fontId="1" fillId="2" borderId="19" xfId="0" applyNumberFormat="1" applyFont="1" applyFill="1" applyBorder="1" applyAlignment="1">
      <alignment horizontal="center" vertical="center" wrapText="1"/>
    </xf>
    <xf numFmtId="180" fontId="1" fillId="2" borderId="20" xfId="0" applyNumberFormat="1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176" fontId="1" fillId="2" borderId="21" xfId="0" applyNumberFormat="1" applyFont="1" applyFill="1" applyBorder="1" applyAlignment="1">
      <alignment horizontal="center" vertical="center"/>
    </xf>
    <xf numFmtId="43" fontId="1" fillId="2" borderId="22" xfId="8" applyFont="1" applyFill="1" applyBorder="1" applyAlignment="1">
      <alignment horizontal="center" vertical="center" wrapText="1"/>
    </xf>
    <xf numFmtId="180" fontId="1" fillId="2" borderId="2" xfId="0" applyNumberFormat="1" applyFont="1" applyFill="1" applyBorder="1" applyAlignment="1">
      <alignment horizontal="center" vertical="center" wrapText="1"/>
    </xf>
    <xf numFmtId="180" fontId="1" fillId="2" borderId="23" xfId="0" applyNumberFormat="1" applyFont="1" applyFill="1" applyBorder="1" applyAlignment="1">
      <alignment horizontal="center" vertical="center" wrapText="1"/>
    </xf>
    <xf numFmtId="180" fontId="1" fillId="2" borderId="17" xfId="0" applyNumberFormat="1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176" fontId="1" fillId="2" borderId="24" xfId="0" applyNumberFormat="1" applyFont="1" applyFill="1" applyBorder="1" applyAlignment="1">
      <alignment horizontal="center" vertical="center"/>
    </xf>
    <xf numFmtId="180" fontId="1" fillId="2" borderId="25" xfId="0" applyNumberFormat="1" applyFont="1" applyFill="1" applyBorder="1" applyAlignment="1">
      <alignment horizontal="center" vertical="center" wrapText="1"/>
    </xf>
    <xf numFmtId="180" fontId="1" fillId="2" borderId="26" xfId="0" applyNumberFormat="1" applyFont="1" applyFill="1" applyBorder="1" applyAlignment="1">
      <alignment horizontal="center" vertical="center" wrapText="1"/>
    </xf>
    <xf numFmtId="181" fontId="9" fillId="0" borderId="2" xfId="0" applyNumberFormat="1" applyFont="1" applyBorder="1" applyAlignment="1">
      <alignment horizontal="center" vertical="center" wrapText="1"/>
    </xf>
    <xf numFmtId="181" fontId="9" fillId="0" borderId="1" xfId="0" applyNumberFormat="1" applyFont="1" applyBorder="1" applyAlignment="1">
      <alignment horizontal="center" vertical="center" wrapText="1"/>
    </xf>
    <xf numFmtId="181" fontId="9" fillId="0" borderId="16" xfId="0" applyNumberFormat="1" applyFont="1" applyBorder="1" applyAlignment="1">
      <alignment horizontal="center" vertical="center" wrapText="1"/>
    </xf>
    <xf numFmtId="181" fontId="9" fillId="0" borderId="22" xfId="0" applyNumberFormat="1" applyFont="1" applyBorder="1" applyAlignment="1">
      <alignment horizontal="center" vertical="center" wrapText="1"/>
    </xf>
    <xf numFmtId="43" fontId="1" fillId="0" borderId="11" xfId="0" applyNumberFormat="1" applyFont="1" applyBorder="1" applyAlignment="1">
      <alignment horizontal="center" vertical="center"/>
    </xf>
    <xf numFmtId="176" fontId="1" fillId="11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81" fontId="9" fillId="0" borderId="23" xfId="0" applyNumberFormat="1" applyFont="1" applyBorder="1" applyAlignment="1">
      <alignment horizontal="center" vertical="center" wrapText="1"/>
    </xf>
    <xf numFmtId="181" fontId="9" fillId="0" borderId="27" xfId="0" applyNumberFormat="1" applyFont="1" applyBorder="1" applyAlignment="1">
      <alignment horizontal="center" vertical="center" wrapText="1"/>
    </xf>
    <xf numFmtId="43" fontId="1" fillId="0" borderId="28" xfId="0" applyNumberFormat="1" applyFont="1" applyBorder="1" applyAlignment="1">
      <alignment horizontal="center" vertical="center"/>
    </xf>
    <xf numFmtId="181" fontId="9" fillId="0" borderId="29" xfId="0" applyNumberFormat="1" applyFont="1" applyBorder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49" fontId="16" fillId="0" borderId="29" xfId="0" applyNumberFormat="1" applyFont="1" applyBorder="1" applyAlignment="1">
      <alignment horizontal="left" vertical="center"/>
    </xf>
    <xf numFmtId="49" fontId="1" fillId="0" borderId="29" xfId="0" applyNumberFormat="1" applyFont="1" applyBorder="1" applyAlignment="1">
      <alignment horizontal="left" vertical="center"/>
    </xf>
    <xf numFmtId="0" fontId="7" fillId="0" borderId="30" xfId="0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left" vertical="center"/>
    </xf>
    <xf numFmtId="178" fontId="7" fillId="0" borderId="33" xfId="0" applyNumberFormat="1" applyFont="1" applyBorder="1" applyAlignment="1">
      <alignment horizontal="left" vertical="center"/>
    </xf>
    <xf numFmtId="181" fontId="7" fillId="8" borderId="32" xfId="8" applyNumberFormat="1" applyFont="1" applyFill="1" applyBorder="1" applyAlignment="1">
      <alignment horizontal="center" vertical="center" wrapText="1"/>
    </xf>
    <xf numFmtId="181" fontId="7" fillId="0" borderId="32" xfId="8" applyNumberFormat="1" applyFont="1" applyFill="1" applyBorder="1" applyAlignment="1">
      <alignment horizontal="center" vertical="center" wrapText="1"/>
    </xf>
    <xf numFmtId="178" fontId="1" fillId="6" borderId="0" xfId="8" applyNumberFormat="1" applyFont="1" applyFill="1" applyBorder="1" applyAlignment="1">
      <alignment horizontal="center" vertical="center" wrapText="1"/>
    </xf>
    <xf numFmtId="43" fontId="1" fillId="6" borderId="0" xfId="8" applyFont="1" applyFill="1" applyBorder="1" applyAlignment="1">
      <alignment horizontal="center" vertical="center" wrapText="1"/>
    </xf>
    <xf numFmtId="0" fontId="17" fillId="6" borderId="0" xfId="0" applyFont="1" applyFill="1" applyAlignment="1">
      <alignment horizontal="left" vertical="center"/>
    </xf>
    <xf numFmtId="178" fontId="17" fillId="6" borderId="0" xfId="0" applyNumberFormat="1" applyFont="1" applyFill="1" applyAlignment="1">
      <alignment horizontal="left" vertical="center"/>
    </xf>
    <xf numFmtId="178" fontId="1" fillId="6" borderId="0" xfId="0" applyNumberFormat="1" applyFont="1" applyFill="1" applyAlignment="1">
      <alignment horizontal="center" vertical="center"/>
    </xf>
    <xf numFmtId="181" fontId="9" fillId="0" borderId="34" xfId="0" applyNumberFormat="1" applyFont="1" applyBorder="1" applyAlignment="1">
      <alignment horizontal="center" vertical="center" wrapText="1"/>
    </xf>
    <xf numFmtId="43" fontId="18" fillId="0" borderId="32" xfId="0" applyNumberFormat="1" applyFont="1" applyBorder="1" applyAlignment="1">
      <alignment horizontal="left" vertical="center"/>
    </xf>
    <xf numFmtId="43" fontId="1" fillId="10" borderId="0" xfId="8" applyFont="1" applyFill="1" applyBorder="1" applyAlignment="1">
      <alignment horizontal="center" vertical="center" wrapText="1"/>
    </xf>
    <xf numFmtId="43" fontId="1" fillId="6" borderId="0" xfId="0" applyNumberFormat="1" applyFont="1" applyFill="1" applyAlignment="1">
      <alignment horizontal="left" vertical="center"/>
    </xf>
    <xf numFmtId="43" fontId="15" fillId="0" borderId="34" xfId="0" applyNumberFormat="1" applyFont="1" applyBorder="1" applyAlignment="1">
      <alignment horizontal="left" vertical="center"/>
    </xf>
    <xf numFmtId="43" fontId="15" fillId="0" borderId="12" xfId="0" applyNumberFormat="1" applyFont="1" applyBorder="1" applyAlignment="1">
      <alignment horizontal="left" vertical="center"/>
    </xf>
    <xf numFmtId="181" fontId="9" fillId="0" borderId="17" xfId="0" applyNumberFormat="1" applyFont="1" applyBorder="1" applyAlignment="1">
      <alignment horizontal="center" vertical="center" wrapText="1"/>
    </xf>
    <xf numFmtId="43" fontId="1" fillId="6" borderId="0" xfId="8" applyFont="1" applyFill="1" applyAlignment="1">
      <alignment horizontal="center" vertical="center" wrapText="1"/>
    </xf>
    <xf numFmtId="43" fontId="1" fillId="6" borderId="0" xfId="8" applyFont="1" applyFill="1" applyAlignment="1">
      <alignment horizontal="center" vertical="center"/>
    </xf>
    <xf numFmtId="43" fontId="1" fillId="6" borderId="0" xfId="8" applyFont="1" applyFill="1" applyAlignment="1">
      <alignment horizontal="left" vertical="center"/>
    </xf>
    <xf numFmtId="0" fontId="19" fillId="6" borderId="5" xfId="0" applyFont="1" applyFill="1" applyBorder="1" applyAlignment="1">
      <alignment horizontal="center" vertical="center"/>
    </xf>
    <xf numFmtId="0" fontId="19" fillId="6" borderId="0" xfId="0" applyFont="1" applyFill="1" applyAlignment="1">
      <alignment horizontal="center" vertical="center"/>
    </xf>
    <xf numFmtId="43" fontId="9" fillId="6" borderId="0" xfId="8" applyFont="1" applyFill="1" applyBorder="1" applyAlignment="1">
      <alignment horizontal="center" vertical="center"/>
    </xf>
    <xf numFmtId="43" fontId="1" fillId="2" borderId="6" xfId="8" applyFont="1" applyFill="1" applyBorder="1" applyAlignment="1">
      <alignment horizontal="center" vertical="center" wrapText="1"/>
    </xf>
    <xf numFmtId="43" fontId="1" fillId="2" borderId="10" xfId="8" applyFont="1" applyFill="1" applyBorder="1" applyAlignment="1">
      <alignment horizontal="center" vertical="center" wrapText="1"/>
    </xf>
    <xf numFmtId="43" fontId="1" fillId="2" borderId="29" xfId="8" applyFont="1" applyFill="1" applyBorder="1" applyAlignment="1">
      <alignment horizontal="center" vertical="center" wrapText="1"/>
    </xf>
    <xf numFmtId="43" fontId="1" fillId="2" borderId="23" xfId="8" applyFont="1" applyFill="1" applyBorder="1" applyAlignment="1">
      <alignment horizontal="center" vertical="center" wrapText="1"/>
    </xf>
    <xf numFmtId="43" fontId="1" fillId="2" borderId="35" xfId="8" applyFont="1" applyFill="1" applyBorder="1" applyAlignment="1">
      <alignment horizontal="center" vertical="center" wrapText="1"/>
    </xf>
    <xf numFmtId="43" fontId="1" fillId="2" borderId="25" xfId="8" applyFont="1" applyFill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left" vertical="center"/>
    </xf>
    <xf numFmtId="43" fontId="1" fillId="11" borderId="2" xfId="8" applyFont="1" applyFill="1" applyBorder="1" applyAlignment="1">
      <alignment horizontal="center" vertical="center" wrapText="1"/>
    </xf>
    <xf numFmtId="43" fontId="1" fillId="4" borderId="1" xfId="8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left" vertical="center"/>
    </xf>
    <xf numFmtId="0" fontId="13" fillId="0" borderId="12" xfId="27" applyFont="1" applyBorder="1" applyAlignment="1">
      <alignment horizontal="left" vertical="center"/>
    </xf>
    <xf numFmtId="0" fontId="13" fillId="0" borderId="34" xfId="27" applyFont="1" applyBorder="1" applyAlignment="1">
      <alignment horizontal="left" vertical="center"/>
    </xf>
    <xf numFmtId="43" fontId="1" fillId="11" borderId="29" xfId="8" applyFont="1" applyFill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shrinkToFit="1"/>
    </xf>
    <xf numFmtId="0" fontId="1" fillId="0" borderId="27" xfId="0" applyFont="1" applyBorder="1" applyAlignment="1">
      <alignment horizontal="center" vertical="center" shrinkToFit="1"/>
    </xf>
    <xf numFmtId="43" fontId="1" fillId="4" borderId="18" xfId="8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43" fontId="1" fillId="4" borderId="29" xfId="8" applyFont="1" applyFill="1" applyBorder="1" applyAlignment="1">
      <alignment horizontal="center" vertical="center" wrapText="1"/>
    </xf>
    <xf numFmtId="43" fontId="1" fillId="4" borderId="23" xfId="8" applyFont="1" applyFill="1" applyBorder="1" applyAlignment="1">
      <alignment horizontal="center" vertical="center" wrapText="1"/>
    </xf>
    <xf numFmtId="43" fontId="1" fillId="11" borderId="18" xfId="8" applyFont="1" applyFill="1" applyBorder="1" applyAlignment="1">
      <alignment horizontal="center" vertical="center" wrapText="1"/>
    </xf>
    <xf numFmtId="43" fontId="1" fillId="11" borderId="1" xfId="8" applyFont="1" applyFill="1" applyBorder="1" applyAlignment="1">
      <alignment horizontal="center" vertical="center" wrapText="1"/>
    </xf>
    <xf numFmtId="43" fontId="1" fillId="11" borderId="14" xfId="8" applyFont="1" applyFill="1" applyBorder="1" applyAlignment="1">
      <alignment horizontal="center" vertical="center" wrapText="1"/>
    </xf>
    <xf numFmtId="43" fontId="1" fillId="11" borderId="23" xfId="8" applyFont="1" applyFill="1" applyBorder="1" applyAlignment="1">
      <alignment horizontal="center" vertical="center" wrapText="1"/>
    </xf>
    <xf numFmtId="43" fontId="10" fillId="4" borderId="23" xfId="8" applyFont="1" applyFill="1" applyBorder="1" applyAlignment="1">
      <alignment horizontal="center" vertical="center" wrapText="1"/>
    </xf>
    <xf numFmtId="43" fontId="1" fillId="2" borderId="36" xfId="8" applyFont="1" applyFill="1" applyBorder="1" applyAlignment="1">
      <alignment horizontal="center" vertical="center" wrapText="1"/>
    </xf>
    <xf numFmtId="43" fontId="1" fillId="2" borderId="37" xfId="8" applyFont="1" applyFill="1" applyBorder="1" applyAlignment="1">
      <alignment horizontal="center" vertical="center" wrapText="1"/>
    </xf>
    <xf numFmtId="43" fontId="1" fillId="2" borderId="38" xfId="8" applyFont="1" applyFill="1" applyBorder="1" applyAlignment="1">
      <alignment horizontal="center" vertical="center" wrapText="1"/>
    </xf>
    <xf numFmtId="43" fontId="1" fillId="2" borderId="39" xfId="8" applyFont="1" applyFill="1" applyBorder="1" applyAlignment="1">
      <alignment horizontal="center" vertical="center" wrapText="1"/>
    </xf>
    <xf numFmtId="43" fontId="1" fillId="2" borderId="26" xfId="8" applyFont="1" applyFill="1" applyBorder="1" applyAlignment="1">
      <alignment horizontal="center" vertical="center" wrapText="1"/>
    </xf>
    <xf numFmtId="43" fontId="1" fillId="11" borderId="16" xfId="8" applyFont="1" applyFill="1" applyBorder="1" applyAlignment="1">
      <alignment horizontal="center" vertical="center" wrapText="1"/>
    </xf>
    <xf numFmtId="43" fontId="10" fillId="11" borderId="1" xfId="8" applyFont="1" applyFill="1" applyBorder="1" applyAlignment="1">
      <alignment horizontal="center" vertical="center" wrapText="1"/>
    </xf>
    <xf numFmtId="182" fontId="4" fillId="11" borderId="1" xfId="0" applyNumberFormat="1" applyFont="1" applyFill="1" applyBorder="1" applyAlignment="1">
      <alignment horizontal="right" vertical="center"/>
    </xf>
    <xf numFmtId="182" fontId="4" fillId="11" borderId="23" xfId="0" applyNumberFormat="1" applyFont="1" applyFill="1" applyBorder="1" applyAlignment="1">
      <alignment horizontal="right" vertical="center"/>
    </xf>
    <xf numFmtId="43" fontId="20" fillId="4" borderId="1" xfId="8" applyFont="1" applyFill="1" applyBorder="1" applyAlignment="1">
      <alignment horizontal="center" vertical="center" wrapText="1"/>
    </xf>
    <xf numFmtId="43" fontId="10" fillId="4" borderId="1" xfId="8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3" fontId="1" fillId="2" borderId="19" xfId="8" applyFont="1" applyFill="1" applyBorder="1" applyAlignment="1">
      <alignment horizontal="center" vertical="center"/>
    </xf>
    <xf numFmtId="49" fontId="1" fillId="2" borderId="18" xfId="0" applyNumberFormat="1" applyFont="1" applyFill="1" applyBorder="1" applyAlignment="1">
      <alignment horizontal="center" vertical="center" wrapText="1"/>
    </xf>
    <xf numFmtId="180" fontId="1" fillId="2" borderId="1" xfId="0" applyNumberFormat="1" applyFont="1" applyFill="1" applyBorder="1" applyAlignment="1">
      <alignment horizontal="center" vertical="center" wrapText="1"/>
    </xf>
    <xf numFmtId="43" fontId="1" fillId="2" borderId="1" xfId="8" applyFont="1" applyFill="1" applyBorder="1" applyAlignment="1">
      <alignment horizontal="center" vertical="center"/>
    </xf>
    <xf numFmtId="0" fontId="17" fillId="0" borderId="18" xfId="0" applyFont="1" applyBorder="1">
      <alignment vertical="center"/>
    </xf>
    <xf numFmtId="43" fontId="10" fillId="3" borderId="1" xfId="8" applyFont="1" applyFill="1" applyBorder="1" applyAlignment="1">
      <alignment horizontal="left" vertical="center"/>
    </xf>
    <xf numFmtId="0" fontId="17" fillId="0" borderId="14" xfId="0" applyFont="1" applyBorder="1">
      <alignment vertical="center"/>
    </xf>
    <xf numFmtId="43" fontId="1" fillId="3" borderId="23" xfId="8" applyFont="1" applyFill="1" applyBorder="1" applyAlignment="1">
      <alignment horizontal="left" vertical="center"/>
    </xf>
    <xf numFmtId="43" fontId="10" fillId="3" borderId="23" xfId="8" applyFont="1" applyFill="1" applyBorder="1" applyAlignment="1">
      <alignment horizontal="left" vertical="center"/>
    </xf>
    <xf numFmtId="179" fontId="1" fillId="3" borderId="23" xfId="8" applyNumberFormat="1" applyFont="1" applyFill="1" applyBorder="1" applyAlignment="1">
      <alignment horizontal="left" vertical="center"/>
    </xf>
    <xf numFmtId="0" fontId="17" fillId="0" borderId="1" xfId="0" applyFont="1" applyBorder="1">
      <alignment vertical="center"/>
    </xf>
    <xf numFmtId="43" fontId="1" fillId="2" borderId="20" xfId="8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 wrapText="1"/>
    </xf>
    <xf numFmtId="43" fontId="1" fillId="2" borderId="16" xfId="8" applyFont="1" applyFill="1" applyBorder="1" applyAlignment="1">
      <alignment horizontal="center" vertical="center"/>
    </xf>
    <xf numFmtId="43" fontId="1" fillId="2" borderId="2" xfId="8" applyFont="1" applyFill="1" applyBorder="1" applyAlignment="1">
      <alignment horizontal="center" vertical="center" wrapText="1"/>
    </xf>
    <xf numFmtId="43" fontId="18" fillId="2" borderId="18" xfId="8" applyFont="1" applyFill="1" applyBorder="1" applyAlignment="1">
      <alignment horizontal="center" vertical="center" wrapText="1"/>
    </xf>
    <xf numFmtId="43" fontId="1" fillId="3" borderId="16" xfId="8" applyFont="1" applyFill="1" applyBorder="1" applyAlignment="1">
      <alignment horizontal="left" vertical="center"/>
    </xf>
    <xf numFmtId="43" fontId="1" fillId="4" borderId="2" xfId="0" applyNumberFormat="1" applyFont="1" applyFill="1" applyBorder="1" applyAlignment="1">
      <alignment horizontal="left" vertical="center"/>
    </xf>
    <xf numFmtId="43" fontId="1" fillId="3" borderId="1" xfId="0" applyNumberFormat="1" applyFont="1" applyFill="1" applyBorder="1" applyAlignment="1">
      <alignment horizontal="left" vertical="center"/>
    </xf>
    <xf numFmtId="43" fontId="18" fillId="12" borderId="12" xfId="0" applyNumberFormat="1" applyFont="1" applyFill="1" applyBorder="1" applyAlignment="1">
      <alignment horizontal="left" vertical="center"/>
    </xf>
    <xf numFmtId="43" fontId="18" fillId="0" borderId="12" xfId="0" applyNumberFormat="1" applyFont="1" applyBorder="1" applyAlignment="1">
      <alignment horizontal="left" vertical="center"/>
    </xf>
    <xf numFmtId="43" fontId="1" fillId="0" borderId="12" xfId="0" applyNumberFormat="1" applyFont="1" applyBorder="1" applyAlignment="1">
      <alignment horizontal="left" vertical="center"/>
    </xf>
    <xf numFmtId="43" fontId="1" fillId="3" borderId="17" xfId="8" applyFont="1" applyFill="1" applyBorder="1" applyAlignment="1">
      <alignment horizontal="left" vertical="center"/>
    </xf>
    <xf numFmtId="49" fontId="1" fillId="2" borderId="9" xfId="0" applyNumberFormat="1" applyFont="1" applyFill="1" applyBorder="1" applyAlignment="1">
      <alignment horizontal="center" vertical="center" wrapText="1"/>
    </xf>
    <xf numFmtId="43" fontId="1" fillId="2" borderId="13" xfId="8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left" vertical="center"/>
    </xf>
    <xf numFmtId="43" fontId="1" fillId="0" borderId="24" xfId="0" applyNumberFormat="1" applyFont="1" applyBorder="1" applyAlignment="1">
      <alignment horizontal="center" vertical="center"/>
    </xf>
    <xf numFmtId="43" fontId="1" fillId="11" borderId="1" xfId="0" applyNumberFormat="1" applyFont="1" applyFill="1" applyBorder="1" applyAlignment="1">
      <alignment horizontal="center" vertical="center"/>
    </xf>
    <xf numFmtId="43" fontId="1" fillId="0" borderId="0" xfId="0" applyNumberFormat="1" applyFont="1" applyAlignment="1">
      <alignment horizontal="center" vertical="center"/>
    </xf>
    <xf numFmtId="0" fontId="13" fillId="0" borderId="16" xfId="27" applyFont="1" applyBorder="1" applyAlignment="1">
      <alignment horizontal="left" vertical="center"/>
    </xf>
    <xf numFmtId="43" fontId="1" fillId="0" borderId="41" xfId="0" applyNumberFormat="1" applyFont="1" applyBorder="1" applyAlignment="1">
      <alignment horizontal="center" vertical="center"/>
    </xf>
    <xf numFmtId="0" fontId="12" fillId="9" borderId="16" xfId="27" applyFont="1" applyFill="1" applyBorder="1" applyAlignment="1">
      <alignment vertical="center"/>
    </xf>
    <xf numFmtId="0" fontId="13" fillId="0" borderId="17" xfId="27" applyFont="1" applyBorder="1" applyAlignment="1">
      <alignment horizontal="left" vertical="center"/>
    </xf>
    <xf numFmtId="181" fontId="7" fillId="4" borderId="31" xfId="8" applyNumberFormat="1" applyFont="1" applyFill="1" applyBorder="1" applyAlignment="1">
      <alignment horizontal="center" vertical="center" wrapText="1"/>
    </xf>
    <xf numFmtId="181" fontId="7" fillId="4" borderId="42" xfId="8" applyNumberFormat="1" applyFont="1" applyFill="1" applyBorder="1" applyAlignment="1">
      <alignment horizontal="center" vertical="center" wrapText="1"/>
    </xf>
    <xf numFmtId="181" fontId="7" fillId="11" borderId="31" xfId="8" applyNumberFormat="1" applyFont="1" applyFill="1" applyBorder="1" applyAlignment="1">
      <alignment horizontal="center" vertical="center" wrapText="1"/>
    </xf>
    <xf numFmtId="181" fontId="7" fillId="11" borderId="43" xfId="8" applyNumberFormat="1" applyFont="1" applyFill="1" applyBorder="1" applyAlignment="1">
      <alignment horizontal="center" vertical="center" wrapText="1"/>
    </xf>
    <xf numFmtId="181" fontId="7" fillId="11" borderId="42" xfId="8" applyNumberFormat="1" applyFont="1" applyFill="1" applyBorder="1" applyAlignment="1">
      <alignment horizontal="center" vertical="center" wrapText="1"/>
    </xf>
    <xf numFmtId="181" fontId="7" fillId="11" borderId="33" xfId="8" applyNumberFormat="1" applyFont="1" applyFill="1" applyBorder="1" applyAlignment="1">
      <alignment horizontal="center" vertical="center" wrapText="1"/>
    </xf>
    <xf numFmtId="181" fontId="7" fillId="0" borderId="43" xfId="8" applyNumberFormat="1" applyFont="1" applyFill="1" applyBorder="1" applyAlignment="1">
      <alignment horizontal="center" vertical="center" wrapText="1"/>
    </xf>
    <xf numFmtId="181" fontId="7" fillId="0" borderId="42" xfId="8" applyNumberFormat="1" applyFont="1" applyFill="1" applyBorder="1" applyAlignment="1">
      <alignment horizontal="center" vertical="center" wrapText="1"/>
    </xf>
    <xf numFmtId="43" fontId="1" fillId="6" borderId="0" xfId="0" applyNumberFormat="1" applyFont="1" applyFill="1" applyAlignment="1">
      <alignment horizontal="center" vertical="center"/>
    </xf>
    <xf numFmtId="43" fontId="1" fillId="0" borderId="34" xfId="0" applyNumberFormat="1" applyFont="1" applyBorder="1" applyAlignment="1">
      <alignment horizontal="left" vertical="center"/>
    </xf>
    <xf numFmtId="181" fontId="7" fillId="0" borderId="33" xfId="8" applyNumberFormat="1" applyFont="1" applyFill="1" applyBorder="1" applyAlignment="1">
      <alignment horizontal="center" vertical="center" wrapText="1"/>
    </xf>
    <xf numFmtId="43" fontId="7" fillId="4" borderId="31" xfId="0" applyNumberFormat="1" applyFont="1" applyFill="1" applyBorder="1" applyAlignment="1">
      <alignment horizontal="left" vertical="center"/>
    </xf>
    <xf numFmtId="43" fontId="7" fillId="3" borderId="42" xfId="0" applyNumberFormat="1" applyFont="1" applyFill="1" applyBorder="1" applyAlignment="1">
      <alignment horizontal="left" vertical="center"/>
    </xf>
    <xf numFmtId="43" fontId="18" fillId="12" borderId="32" xfId="0" applyNumberFormat="1" applyFont="1" applyFill="1" applyBorder="1" applyAlignment="1">
      <alignment horizontal="left" vertical="center"/>
    </xf>
    <xf numFmtId="0" fontId="7" fillId="0" borderId="33" xfId="0" applyFont="1" applyBorder="1" applyAlignment="1">
      <alignment horizontal="left" vertical="center"/>
    </xf>
    <xf numFmtId="181" fontId="7" fillId="0" borderId="44" xfId="8" applyNumberFormat="1" applyFont="1" applyFill="1" applyBorder="1" applyAlignment="1">
      <alignment horizontal="center" vertical="center" wrapText="1"/>
    </xf>
    <xf numFmtId="43" fontId="1" fillId="11" borderId="42" xfId="0" applyNumberFormat="1" applyFont="1" applyFill="1" applyBorder="1" applyAlignment="1">
      <alignment horizontal="center" vertical="center"/>
    </xf>
    <xf numFmtId="43" fontId="1" fillId="2" borderId="45" xfId="8" applyFont="1" applyFill="1" applyBorder="1" applyAlignment="1">
      <alignment horizontal="center" vertical="center" wrapText="1"/>
    </xf>
    <xf numFmtId="43" fontId="1" fillId="11" borderId="17" xfId="8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/>
    </xf>
    <xf numFmtId="4" fontId="1" fillId="11" borderId="1" xfId="0" applyNumberFormat="1" applyFont="1" applyFill="1" applyBorder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1" fillId="6" borderId="0" xfId="0" applyNumberFormat="1" applyFont="1" applyFill="1" applyAlignment="1">
      <alignment horizontal="center" vertical="center"/>
    </xf>
    <xf numFmtId="43" fontId="18" fillId="0" borderId="34" xfId="0" applyNumberFormat="1" applyFont="1" applyBorder="1" applyAlignment="1">
      <alignment horizontal="left" vertical="center"/>
    </xf>
    <xf numFmtId="43" fontId="7" fillId="0" borderId="32" xfId="0" applyNumberFormat="1" applyFont="1" applyBorder="1" applyAlignment="1">
      <alignment horizontal="left" vertical="center"/>
    </xf>
    <xf numFmtId="43" fontId="1" fillId="0" borderId="0" xfId="8" applyFont="1" applyFill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 wrapText="1" shrinkToFit="1"/>
    </xf>
    <xf numFmtId="49" fontId="1" fillId="2" borderId="19" xfId="0" applyNumberFormat="1" applyFont="1" applyFill="1" applyBorder="1" applyAlignment="1">
      <alignment horizontal="center" vertical="center" wrapText="1"/>
    </xf>
    <xf numFmtId="176" fontId="1" fillId="2" borderId="19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43" fontId="1" fillId="2" borderId="1" xfId="8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/>
    </xf>
    <xf numFmtId="4" fontId="1" fillId="0" borderId="1" xfId="0" applyNumberFormat="1" applyFont="1" applyBorder="1" applyAlignment="1">
      <alignment horizontal="center" vertical="center"/>
    </xf>
    <xf numFmtId="181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0" fontId="1" fillId="9" borderId="1" xfId="0" applyFont="1" applyFill="1" applyBorder="1" applyAlignment="1">
      <alignment horizontal="left" vertical="center"/>
    </xf>
    <xf numFmtId="49" fontId="16" fillId="0" borderId="1" xfId="0" applyNumberFormat="1" applyFont="1" applyBorder="1" applyAlignment="1">
      <alignment horizontal="left" vertical="center"/>
    </xf>
    <xf numFmtId="0" fontId="13" fillId="0" borderId="1" xfId="27" applyFont="1" applyBorder="1" applyAlignment="1">
      <alignment horizontal="left" vertical="center"/>
    </xf>
    <xf numFmtId="49" fontId="16" fillId="0" borderId="23" xfId="0" applyNumberFormat="1" applyFont="1" applyBorder="1" applyAlignment="1">
      <alignment horizontal="left" vertical="center"/>
    </xf>
    <xf numFmtId="0" fontId="1" fillId="0" borderId="29" xfId="0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 shrinkToFit="1"/>
    </xf>
    <xf numFmtId="0" fontId="7" fillId="0" borderId="42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181" fontId="7" fillId="0" borderId="1" xfId="8" applyNumberFormat="1" applyFont="1" applyFill="1" applyBorder="1" applyAlignment="1">
      <alignment horizontal="center" vertical="center" wrapText="1"/>
    </xf>
    <xf numFmtId="181" fontId="1" fillId="6" borderId="0" xfId="8" applyNumberFormat="1" applyFont="1" applyFill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 wrapText="1"/>
    </xf>
    <xf numFmtId="43" fontId="1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181" fontId="1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176" fontId="1" fillId="0" borderId="19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vertical="center" wrapText="1"/>
    </xf>
    <xf numFmtId="43" fontId="1" fillId="0" borderId="1" xfId="8" applyFont="1" applyFill="1" applyBorder="1" applyAlignment="1">
      <alignment horizontal="center" vertical="center" wrapText="1"/>
    </xf>
    <xf numFmtId="176" fontId="1" fillId="0" borderId="19" xfId="0" applyNumberFormat="1" applyFont="1" applyBorder="1" applyAlignment="1">
      <alignment vertical="center" wrapText="1"/>
    </xf>
    <xf numFmtId="181" fontId="7" fillId="0" borderId="1" xfId="0" applyNumberFormat="1" applyFont="1" applyBorder="1" applyAlignment="1">
      <alignment horizontal="center" vertical="center" wrapText="1"/>
    </xf>
    <xf numFmtId="43" fontId="9" fillId="0" borderId="0" xfId="8" applyFont="1" applyFill="1" applyBorder="1" applyAlignment="1">
      <alignment horizontal="center" vertical="center"/>
    </xf>
    <xf numFmtId="43" fontId="1" fillId="0" borderId="19" xfId="8" applyFont="1" applyFill="1" applyBorder="1" applyAlignment="1">
      <alignment horizontal="center" vertical="center"/>
    </xf>
    <xf numFmtId="43" fontId="1" fillId="0" borderId="0" xfId="8" applyFont="1" applyFill="1" applyBorder="1" applyAlignment="1">
      <alignment horizontal="center" vertical="center" wrapText="1"/>
    </xf>
    <xf numFmtId="43" fontId="1" fillId="2" borderId="19" xfId="8" applyFont="1" applyFill="1" applyBorder="1" applyAlignment="1">
      <alignment horizontal="center" vertical="center" wrapText="1"/>
    </xf>
    <xf numFmtId="43" fontId="1" fillId="0" borderId="1" xfId="8" applyFont="1" applyFill="1" applyBorder="1" applyAlignment="1">
      <alignment horizontal="center" vertical="center"/>
    </xf>
    <xf numFmtId="43" fontId="1" fillId="9" borderId="1" xfId="8" applyFont="1" applyFill="1" applyBorder="1" applyAlignment="1">
      <alignment horizontal="center" vertical="center" wrapText="1"/>
    </xf>
    <xf numFmtId="43" fontId="1" fillId="6" borderId="1" xfId="8" applyFont="1" applyFill="1" applyBorder="1" applyAlignment="1">
      <alignment horizontal="center" vertical="center"/>
    </xf>
    <xf numFmtId="43" fontId="1" fillId="6" borderId="12" xfId="8" applyFont="1" applyFill="1" applyBorder="1" applyAlignment="1">
      <alignment horizontal="center" vertical="center"/>
    </xf>
    <xf numFmtId="43" fontId="1" fillId="6" borderId="1" xfId="8" applyFont="1" applyFill="1" applyBorder="1" applyAlignment="1">
      <alignment vertical="center"/>
    </xf>
    <xf numFmtId="43" fontId="1" fillId="6" borderId="34" xfId="8" applyFont="1" applyFill="1" applyBorder="1" applyAlignment="1">
      <alignment horizontal="center" vertical="center"/>
    </xf>
    <xf numFmtId="43" fontId="1" fillId="6" borderId="5" xfId="8" applyFont="1" applyFill="1" applyBorder="1" applyAlignment="1">
      <alignment horizontal="center" vertical="center"/>
    </xf>
    <xf numFmtId="43" fontId="1" fillId="6" borderId="46" xfId="8" applyFont="1" applyFill="1" applyBorder="1" applyAlignment="1">
      <alignment horizontal="center" vertical="center"/>
    </xf>
    <xf numFmtId="43" fontId="1" fillId="6" borderId="1" xfId="8" applyFont="1" applyFill="1" applyBorder="1" applyAlignment="1">
      <alignment horizontal="left" vertical="center"/>
    </xf>
    <xf numFmtId="43" fontId="10" fillId="6" borderId="34" xfId="8" applyFont="1" applyFill="1" applyBorder="1" applyAlignment="1">
      <alignment horizontal="center" vertical="center"/>
    </xf>
    <xf numFmtId="43" fontId="10" fillId="6" borderId="27" xfId="8" applyFont="1" applyFill="1" applyBorder="1" applyAlignment="1">
      <alignment horizontal="center" vertical="center"/>
    </xf>
    <xf numFmtId="43" fontId="10" fillId="6" borderId="46" xfId="8" applyFont="1" applyFill="1" applyBorder="1" applyAlignment="1">
      <alignment horizontal="center" vertical="center"/>
    </xf>
    <xf numFmtId="43" fontId="10" fillId="6" borderId="47" xfId="8" applyFont="1" applyFill="1" applyBorder="1" applyAlignment="1">
      <alignment horizontal="center" vertical="center"/>
    </xf>
    <xf numFmtId="182" fontId="4" fillId="0" borderId="1" xfId="0" applyNumberFormat="1" applyFont="1" applyBorder="1" applyAlignment="1">
      <alignment horizontal="right" vertical="center"/>
    </xf>
    <xf numFmtId="43" fontId="1" fillId="0" borderId="1" xfId="0" applyNumberFormat="1" applyFont="1" applyBorder="1">
      <alignment vertical="center"/>
    </xf>
    <xf numFmtId="43" fontId="1" fillId="0" borderId="23" xfId="8" applyFont="1" applyFill="1" applyBorder="1" applyAlignment="1">
      <alignment horizontal="center" vertical="center" wrapText="1"/>
    </xf>
    <xf numFmtId="43" fontId="1" fillId="6" borderId="22" xfId="8" applyFont="1" applyFill="1" applyBorder="1" applyAlignment="1">
      <alignment horizontal="center" vertical="center"/>
    </xf>
    <xf numFmtId="43" fontId="1" fillId="13" borderId="34" xfId="8" applyFont="1" applyFill="1" applyBorder="1" applyAlignment="1">
      <alignment horizontal="center" vertical="center" wrapText="1"/>
    </xf>
    <xf numFmtId="43" fontId="1" fillId="13" borderId="27" xfId="8" applyFont="1" applyFill="1" applyBorder="1" applyAlignment="1">
      <alignment horizontal="center" vertical="center" wrapText="1"/>
    </xf>
    <xf numFmtId="43" fontId="1" fillId="13" borderId="5" xfId="8" applyFont="1" applyFill="1" applyBorder="1" applyAlignment="1">
      <alignment horizontal="center" vertical="center" wrapText="1"/>
    </xf>
    <xf numFmtId="43" fontId="1" fillId="13" borderId="0" xfId="8" applyFont="1" applyFill="1" applyBorder="1" applyAlignment="1">
      <alignment horizontal="center" vertical="center" wrapText="1"/>
    </xf>
    <xf numFmtId="43" fontId="1" fillId="13" borderId="46" xfId="8" applyFont="1" applyFill="1" applyBorder="1" applyAlignment="1">
      <alignment horizontal="center" vertical="center" wrapText="1"/>
    </xf>
    <xf numFmtId="43" fontId="1" fillId="13" borderId="47" xfId="8" applyFont="1" applyFill="1" applyBorder="1" applyAlignment="1">
      <alignment horizontal="center" vertical="center" wrapText="1"/>
    </xf>
    <xf numFmtId="43" fontId="1" fillId="2" borderId="1" xfId="8" applyFont="1" applyFill="1" applyBorder="1" applyAlignment="1">
      <alignment horizontal="left" vertical="center" wrapText="1"/>
    </xf>
    <xf numFmtId="43" fontId="1" fillId="2" borderId="1" xfId="8" applyFont="1" applyFill="1" applyBorder="1" applyAlignment="1">
      <alignment horizontal="left" vertical="center"/>
    </xf>
    <xf numFmtId="43" fontId="1" fillId="0" borderId="1" xfId="8" applyFont="1" applyFill="1" applyBorder="1" applyAlignment="1">
      <alignment horizontal="left" vertical="center"/>
    </xf>
    <xf numFmtId="0" fontId="17" fillId="0" borderId="23" xfId="0" applyFont="1" applyBorder="1">
      <alignment vertical="center"/>
    </xf>
    <xf numFmtId="43" fontId="1" fillId="0" borderId="23" xfId="8" applyFont="1" applyFill="1" applyBorder="1" applyAlignment="1">
      <alignment horizontal="left" vertical="center"/>
    </xf>
    <xf numFmtId="180" fontId="1" fillId="6" borderId="0" xfId="0" applyNumberFormat="1" applyFont="1" applyFill="1" applyAlignment="1">
      <alignment horizontal="center" vertical="center" wrapText="1"/>
    </xf>
    <xf numFmtId="43" fontId="1" fillId="6" borderId="18" xfId="8" applyFont="1" applyFill="1" applyBorder="1" applyAlignment="1">
      <alignment horizontal="center" vertical="center"/>
    </xf>
    <xf numFmtId="43" fontId="1" fillId="13" borderId="14" xfId="8" applyFont="1" applyFill="1" applyBorder="1" applyAlignment="1">
      <alignment horizontal="center" vertical="center" wrapText="1"/>
    </xf>
    <xf numFmtId="43" fontId="1" fillId="13" borderId="48" xfId="8" applyFont="1" applyFill="1" applyBorder="1" applyAlignment="1">
      <alignment horizontal="center" vertical="center" wrapText="1"/>
    </xf>
    <xf numFmtId="43" fontId="1" fillId="13" borderId="15" xfId="8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43" fontId="10" fillId="6" borderId="14" xfId="8" applyFont="1" applyFill="1" applyBorder="1" applyAlignment="1">
      <alignment horizontal="center" vertical="center"/>
    </xf>
    <xf numFmtId="43" fontId="10" fillId="6" borderId="15" xfId="8" applyFont="1" applyFill="1" applyBorder="1" applyAlignment="1">
      <alignment horizontal="center" vertical="center"/>
    </xf>
    <xf numFmtId="0" fontId="1" fillId="2" borderId="4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/>
    </xf>
    <xf numFmtId="43" fontId="1" fillId="0" borderId="16" xfId="0" applyNumberFormat="1" applyFont="1" applyBorder="1" applyAlignment="1">
      <alignment horizontal="center" vertical="center"/>
    </xf>
    <xf numFmtId="43" fontId="1" fillId="0" borderId="17" xfId="0" applyNumberFormat="1" applyFont="1" applyBorder="1" applyAlignment="1">
      <alignment horizontal="center" vertical="center"/>
    </xf>
    <xf numFmtId="180" fontId="1" fillId="6" borderId="0" xfId="0" applyNumberFormat="1" applyFont="1" applyFill="1" applyAlignment="1">
      <alignment horizontal="center" vertical="center"/>
    </xf>
    <xf numFmtId="7" fontId="1" fillId="6" borderId="0" xfId="0" applyNumberFormat="1" applyFont="1" applyFill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 2 94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千位分隔 5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2.xml"/><Relationship Id="rId13" Type="http://schemas.openxmlformats.org/officeDocument/2006/relationships/externalLink" Target="externalLinks/externalLink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Documents%20and%20Settings\Administrator\&#26700;&#38754;\5-11&#2637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Administrator\AppData\Local\Temp\Shell\tmp752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核算项目余额表"/>
      <sheetName val="Sheet3"/>
      <sheetName val="Sheet1"/>
      <sheetName val="6期末"/>
      <sheetName val="10付款"/>
      <sheetName val="11付款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期间</v>
          </cell>
          <cell r="B1" t="str">
            <v>2019.6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  <cell r="C4" t="str">
            <v>求和项:本期贷方</v>
          </cell>
          <cell r="D4" t="str">
            <v>求和项:期末贷方余额</v>
          </cell>
        </row>
        <row r="5">
          <cell r="A5" t="str">
            <v>SMC（中国）有限公司</v>
          </cell>
          <cell r="B5">
            <v>0</v>
          </cell>
          <cell r="C5">
            <v>0</v>
          </cell>
          <cell r="D5">
            <v>0</v>
          </cell>
        </row>
        <row r="6">
          <cell r="A6" t="str">
            <v>阿克苏诺贝尔涂料（天津）有限公司</v>
          </cell>
          <cell r="B6">
            <v>0</v>
          </cell>
          <cell r="C6">
            <v>84210.99</v>
          </cell>
          <cell r="D6">
            <v>243405.56</v>
          </cell>
        </row>
        <row r="7">
          <cell r="A7" t="str">
            <v>艾马斯润滑科技（天津）有限公司</v>
          </cell>
          <cell r="B7">
            <v>0</v>
          </cell>
          <cell r="C7">
            <v>0</v>
          </cell>
          <cell r="D7">
            <v>0</v>
          </cell>
        </row>
        <row r="8">
          <cell r="A8" t="str">
            <v>安徽博朗凯德织物有限公司</v>
          </cell>
          <cell r="B8">
            <v>0</v>
          </cell>
          <cell r="C8">
            <v>0</v>
          </cell>
          <cell r="D8">
            <v>3646.55</v>
          </cell>
        </row>
        <row r="9">
          <cell r="A9" t="str">
            <v>安徽汉升工业部件股份有限公司</v>
          </cell>
          <cell r="B9">
            <v>16000</v>
          </cell>
          <cell r="C9">
            <v>17479.28</v>
          </cell>
          <cell r="D9">
            <v>40939.3</v>
          </cell>
        </row>
        <row r="10">
          <cell r="A10" t="str">
            <v>安徽汉升新金属技术有限公司</v>
          </cell>
          <cell r="B10">
            <v>0</v>
          </cell>
          <cell r="C10">
            <v>0</v>
          </cell>
          <cell r="D10">
            <v>0</v>
          </cell>
        </row>
        <row r="11">
          <cell r="A11" t="str">
            <v>安徽力鼎机械设备有限公司</v>
          </cell>
          <cell r="B11">
            <v>0</v>
          </cell>
          <cell r="C11">
            <v>0</v>
          </cell>
          <cell r="D11">
            <v>0</v>
          </cell>
        </row>
        <row r="12">
          <cell r="A12" t="str">
            <v>安吉县创鸿家具有限公司</v>
          </cell>
          <cell r="B12">
            <v>0</v>
          </cell>
          <cell r="C12">
            <v>0</v>
          </cell>
          <cell r="D12">
            <v>900</v>
          </cell>
        </row>
        <row r="13">
          <cell r="A13" t="str">
            <v>安路普（北京）汽车技术有限公司昌平分公司</v>
          </cell>
          <cell r="B13">
            <v>0</v>
          </cell>
          <cell r="C13">
            <v>551815.62</v>
          </cell>
          <cell r="D13">
            <v>7026328.29</v>
          </cell>
        </row>
        <row r="14">
          <cell r="A14" t="str">
            <v>霸州市广生冷弯机械有限公司</v>
          </cell>
          <cell r="B14">
            <v>0</v>
          </cell>
          <cell r="C14">
            <v>0</v>
          </cell>
          <cell r="D14">
            <v>0</v>
          </cell>
        </row>
        <row r="15">
          <cell r="A15" t="str">
            <v>霸州市宏海塑料制品有限公司</v>
          </cell>
          <cell r="B15">
            <v>0</v>
          </cell>
          <cell r="C15">
            <v>0</v>
          </cell>
          <cell r="D15">
            <v>5579.03</v>
          </cell>
        </row>
        <row r="16">
          <cell r="A16" t="str">
            <v>霸州市自强汽车零部件厂</v>
          </cell>
          <cell r="B16">
            <v>0</v>
          </cell>
          <cell r="C16">
            <v>0</v>
          </cell>
          <cell r="D16">
            <v>0</v>
          </cell>
        </row>
        <row r="17">
          <cell r="A17" t="str">
            <v>百事腾（天津）国际贸易有限公司</v>
          </cell>
          <cell r="B17">
            <v>0</v>
          </cell>
          <cell r="C17">
            <v>0</v>
          </cell>
          <cell r="D17">
            <v>4600</v>
          </cell>
        </row>
        <row r="18">
          <cell r="A18" t="str">
            <v>包头市万佳信息工程有限公司</v>
          </cell>
          <cell r="B18">
            <v>0</v>
          </cell>
          <cell r="C18">
            <v>0</v>
          </cell>
          <cell r="D18">
            <v>0</v>
          </cell>
        </row>
        <row r="19">
          <cell r="A19" t="str">
            <v>保定市枞彬商贸有限公司</v>
          </cell>
          <cell r="B19">
            <v>0</v>
          </cell>
          <cell r="C19">
            <v>0</v>
          </cell>
          <cell r="D19">
            <v>0</v>
          </cell>
        </row>
        <row r="20">
          <cell r="A20" t="str">
            <v>保定市佳奇整流器制造有限公司</v>
          </cell>
          <cell r="B20">
            <v>0</v>
          </cell>
          <cell r="C20">
            <v>0</v>
          </cell>
          <cell r="D20">
            <v>0</v>
          </cell>
        </row>
        <row r="21">
          <cell r="A21" t="str">
            <v>保定市京苑汽车装饰配件厂</v>
          </cell>
          <cell r="B21">
            <v>0</v>
          </cell>
          <cell r="C21">
            <v>0</v>
          </cell>
          <cell r="D21">
            <v>308985.57</v>
          </cell>
        </row>
        <row r="22">
          <cell r="A22" t="str">
            <v>保定市源之枝商贸有限公司</v>
          </cell>
          <cell r="B22">
            <v>0</v>
          </cell>
          <cell r="C22">
            <v>0</v>
          </cell>
          <cell r="D22">
            <v>370000</v>
          </cell>
        </row>
        <row r="23">
          <cell r="A23" t="str">
            <v>北京百联星纸业有限公司</v>
          </cell>
          <cell r="B23">
            <v>0</v>
          </cell>
          <cell r="C23">
            <v>0</v>
          </cell>
          <cell r="D23">
            <v>0</v>
          </cell>
        </row>
        <row r="24">
          <cell r="A24" t="str">
            <v>北京百仕特非织造布有限公司</v>
          </cell>
          <cell r="B24">
            <v>0</v>
          </cell>
          <cell r="C24">
            <v>0</v>
          </cell>
          <cell r="D24">
            <v>48092.95</v>
          </cell>
        </row>
        <row r="25">
          <cell r="A25" t="str">
            <v>北京北鸿科科技发展有限公司</v>
          </cell>
          <cell r="B25">
            <v>0</v>
          </cell>
          <cell r="C25">
            <v>36000</v>
          </cell>
          <cell r="D25">
            <v>36000</v>
          </cell>
        </row>
        <row r="26">
          <cell r="A26" t="str">
            <v>北京博雅恒欣贸易有限公司</v>
          </cell>
          <cell r="B26">
            <v>0</v>
          </cell>
          <cell r="C26">
            <v>0</v>
          </cell>
          <cell r="D26">
            <v>0</v>
          </cell>
        </row>
        <row r="27">
          <cell r="A27" t="str">
            <v>北京昌隆永顺物资有限公司</v>
          </cell>
          <cell r="B27">
            <v>0</v>
          </cell>
          <cell r="C27">
            <v>0</v>
          </cell>
          <cell r="D27">
            <v>0</v>
          </cell>
        </row>
        <row r="28">
          <cell r="A28" t="str">
            <v>北京长宏建翔科技发展有限公司</v>
          </cell>
          <cell r="B28">
            <v>0</v>
          </cell>
          <cell r="C28">
            <v>0</v>
          </cell>
          <cell r="D28">
            <v>0</v>
          </cell>
        </row>
        <row r="29">
          <cell r="A29" t="str">
            <v>北京超凡志成知识产权代理事务所（普通合伙）</v>
          </cell>
          <cell r="B29">
            <v>0</v>
          </cell>
          <cell r="C29">
            <v>0</v>
          </cell>
          <cell r="D29">
            <v>0</v>
          </cell>
        </row>
        <row r="30">
          <cell r="A30" t="str">
            <v>北京朝阳隆华电线电缆有限公司</v>
          </cell>
          <cell r="B30">
            <v>0</v>
          </cell>
          <cell r="C30">
            <v>0</v>
          </cell>
          <cell r="D30">
            <v>0</v>
          </cell>
        </row>
        <row r="31">
          <cell r="A31" t="str">
            <v>北京德实汽车饰件有限公司</v>
          </cell>
          <cell r="B31">
            <v>180000</v>
          </cell>
          <cell r="C31">
            <v>0</v>
          </cell>
          <cell r="D31">
            <v>617701.63</v>
          </cell>
        </row>
        <row r="32">
          <cell r="A32" t="str">
            <v>北京迪阳自动化设备有限公司</v>
          </cell>
          <cell r="B32">
            <v>0</v>
          </cell>
          <cell r="C32">
            <v>0</v>
          </cell>
          <cell r="D32">
            <v>1950</v>
          </cell>
        </row>
        <row r="33">
          <cell r="A33" t="str">
            <v>北京东方华康自动化有限公司</v>
          </cell>
          <cell r="B33">
            <v>0</v>
          </cell>
          <cell r="C33">
            <v>0</v>
          </cell>
          <cell r="D33">
            <v>0</v>
          </cell>
        </row>
        <row r="34">
          <cell r="A34" t="str">
            <v>北京多宾城建筑机械有限公司</v>
          </cell>
          <cell r="B34">
            <v>250000</v>
          </cell>
          <cell r="C34">
            <v>180858.35</v>
          </cell>
          <cell r="D34">
            <v>1332552.93</v>
          </cell>
        </row>
        <row r="35">
          <cell r="A35" t="str">
            <v>北京伏牛山纸业有限公司</v>
          </cell>
          <cell r="B35">
            <v>0</v>
          </cell>
          <cell r="C35">
            <v>0</v>
          </cell>
          <cell r="D35">
            <v>0</v>
          </cell>
        </row>
        <row r="36">
          <cell r="A36" t="str">
            <v>北京福田戴姆勒汽车有限公司</v>
          </cell>
          <cell r="B36">
            <v>0</v>
          </cell>
          <cell r="C36">
            <v>0</v>
          </cell>
          <cell r="D36">
            <v>0</v>
          </cell>
        </row>
        <row r="37">
          <cell r="A37" t="str">
            <v>北京格兰力士机电技术有限责任公司</v>
          </cell>
          <cell r="B37">
            <v>0</v>
          </cell>
          <cell r="C37">
            <v>0</v>
          </cell>
          <cell r="D37">
            <v>0</v>
          </cell>
        </row>
        <row r="38">
          <cell r="A38" t="str">
            <v>北京光华荣昌汽车部件有限公司</v>
          </cell>
          <cell r="B38">
            <v>0</v>
          </cell>
          <cell r="C38">
            <v>0</v>
          </cell>
          <cell r="D38">
            <v>0</v>
          </cell>
        </row>
        <row r="39">
          <cell r="A39" t="str">
            <v>北京国大联创科技发展有限公司</v>
          </cell>
          <cell r="B39">
            <v>0</v>
          </cell>
          <cell r="C39">
            <v>0</v>
          </cell>
          <cell r="D39">
            <v>33800</v>
          </cell>
        </row>
        <row r="40">
          <cell r="A40" t="str">
            <v>北京航天融合环境科技发展有限公司</v>
          </cell>
          <cell r="B40">
            <v>0</v>
          </cell>
          <cell r="C40">
            <v>0</v>
          </cell>
          <cell r="D40">
            <v>0</v>
          </cell>
        </row>
        <row r="41">
          <cell r="A41" t="str">
            <v>北京航源鑫物资有限公司</v>
          </cell>
          <cell r="B41">
            <v>0</v>
          </cell>
          <cell r="C41">
            <v>0</v>
          </cell>
          <cell r="D41">
            <v>0</v>
          </cell>
        </row>
        <row r="42">
          <cell r="A42" t="str">
            <v>北京好伯特科技有限公司</v>
          </cell>
          <cell r="B42">
            <v>2000</v>
          </cell>
          <cell r="C42">
            <v>2000</v>
          </cell>
          <cell r="D42">
            <v>0</v>
          </cell>
        </row>
        <row r="43">
          <cell r="A43" t="str">
            <v>北京恒大隆压缩机制造厂</v>
          </cell>
          <cell r="B43">
            <v>0</v>
          </cell>
          <cell r="C43">
            <v>0</v>
          </cell>
          <cell r="D43">
            <v>0</v>
          </cell>
        </row>
        <row r="44">
          <cell r="A44" t="str">
            <v>北京宏达佳诚劳务派遣有限公司</v>
          </cell>
          <cell r="B44">
            <v>0</v>
          </cell>
          <cell r="C44">
            <v>0</v>
          </cell>
          <cell r="D44">
            <v>0</v>
          </cell>
        </row>
        <row r="45">
          <cell r="A45" t="str">
            <v>北京宏达翔科技有限公司</v>
          </cell>
          <cell r="B45">
            <v>75259.5</v>
          </cell>
          <cell r="C45">
            <v>75259.5</v>
          </cell>
          <cell r="D45">
            <v>0</v>
          </cell>
        </row>
        <row r="46">
          <cell r="A46" t="str">
            <v>北京华北轻合金有限公司</v>
          </cell>
          <cell r="B46">
            <v>0</v>
          </cell>
          <cell r="C46">
            <v>0</v>
          </cell>
          <cell r="D46">
            <v>17534.44</v>
          </cell>
        </row>
        <row r="47">
          <cell r="A47" t="str">
            <v>北京华伟汇腾汽车部件有限公司</v>
          </cell>
          <cell r="B47">
            <v>0</v>
          </cell>
          <cell r="C47">
            <v>0</v>
          </cell>
          <cell r="D47">
            <v>0</v>
          </cell>
        </row>
        <row r="48">
          <cell r="A48" t="str">
            <v>北京机电研究所</v>
          </cell>
          <cell r="B48">
            <v>0</v>
          </cell>
          <cell r="C48">
            <v>0</v>
          </cell>
          <cell r="D48">
            <v>0</v>
          </cell>
        </row>
        <row r="49">
          <cell r="A49" t="str">
            <v>北京吉泰基业科技有限公司</v>
          </cell>
          <cell r="B49">
            <v>0</v>
          </cell>
          <cell r="C49">
            <v>0</v>
          </cell>
          <cell r="D49">
            <v>0</v>
          </cell>
        </row>
        <row r="50">
          <cell r="A50" t="str">
            <v>北京佳伟广源商贸有限公司</v>
          </cell>
          <cell r="B50">
            <v>0</v>
          </cell>
          <cell r="C50">
            <v>0</v>
          </cell>
          <cell r="D50">
            <v>0</v>
          </cell>
        </row>
        <row r="51">
          <cell r="A51" t="str">
            <v>北京嘉威达商贸有限公司</v>
          </cell>
          <cell r="B51">
            <v>0</v>
          </cell>
          <cell r="C51">
            <v>0</v>
          </cell>
          <cell r="D51">
            <v>3020</v>
          </cell>
        </row>
        <row r="52">
          <cell r="A52" t="str">
            <v>北京捷安思丽技术开发有限公司</v>
          </cell>
          <cell r="B52">
            <v>50000</v>
          </cell>
          <cell r="C52">
            <v>13622.4</v>
          </cell>
          <cell r="D52">
            <v>134635.83</v>
          </cell>
        </row>
        <row r="53">
          <cell r="A53" t="str">
            <v>北京科创京成科技股份有限公司</v>
          </cell>
          <cell r="B53">
            <v>0</v>
          </cell>
          <cell r="C53">
            <v>0</v>
          </cell>
          <cell r="D53">
            <v>0</v>
          </cell>
        </row>
        <row r="54">
          <cell r="A54" t="str">
            <v>北京跨越速递有限公司</v>
          </cell>
          <cell r="B54">
            <v>0</v>
          </cell>
          <cell r="C54">
            <v>0</v>
          </cell>
          <cell r="D54">
            <v>0</v>
          </cell>
        </row>
        <row r="55">
          <cell r="A55" t="str">
            <v>北京力源恒胜仓储设备有限公司</v>
          </cell>
          <cell r="B55">
            <v>0</v>
          </cell>
          <cell r="C55">
            <v>0</v>
          </cell>
          <cell r="D55">
            <v>0</v>
          </cell>
        </row>
        <row r="56">
          <cell r="A56" t="str">
            <v>北京流遍润滑机械销售有限公司</v>
          </cell>
          <cell r="B56">
            <v>0</v>
          </cell>
          <cell r="C56">
            <v>0</v>
          </cell>
          <cell r="D56">
            <v>0</v>
          </cell>
        </row>
        <row r="57">
          <cell r="A57" t="str">
            <v>北京龙利弘达机械设备起重搬运有限公司</v>
          </cell>
          <cell r="B57">
            <v>0</v>
          </cell>
          <cell r="C57">
            <v>0</v>
          </cell>
          <cell r="D57">
            <v>0</v>
          </cell>
        </row>
        <row r="58">
          <cell r="A58" t="str">
            <v>北京浦东三浦标准件有限公司</v>
          </cell>
          <cell r="B58">
            <v>120000</v>
          </cell>
          <cell r="C58">
            <v>156904.39</v>
          </cell>
          <cell r="D58">
            <v>1066783.5</v>
          </cell>
        </row>
        <row r="59">
          <cell r="A59" t="str">
            <v>北京奇美玉隆商贸有限公司</v>
          </cell>
          <cell r="B59">
            <v>0</v>
          </cell>
          <cell r="C59">
            <v>0</v>
          </cell>
          <cell r="D59">
            <v>0</v>
          </cell>
        </row>
        <row r="60">
          <cell r="A60" t="str">
            <v>北京奇美玉隆商贸有限责任公司</v>
          </cell>
          <cell r="B60">
            <v>570000</v>
          </cell>
          <cell r="C60">
            <v>185000</v>
          </cell>
          <cell r="D60">
            <v>367125</v>
          </cell>
        </row>
        <row r="61">
          <cell r="A61" t="str">
            <v>北京前哨青业科技发展有限公司</v>
          </cell>
          <cell r="B61">
            <v>0</v>
          </cell>
          <cell r="C61">
            <v>0</v>
          </cell>
          <cell r="D61">
            <v>0</v>
          </cell>
        </row>
        <row r="62">
          <cell r="A62" t="str">
            <v>北京瑞德佑业经贸有限责任公司</v>
          </cell>
          <cell r="B62">
            <v>0</v>
          </cell>
          <cell r="C62">
            <v>0</v>
          </cell>
          <cell r="D62">
            <v>0</v>
          </cell>
        </row>
        <row r="63">
          <cell r="A63" t="str">
            <v>北京瑞德佑业科技有限公司</v>
          </cell>
          <cell r="B63">
            <v>0</v>
          </cell>
          <cell r="C63">
            <v>0</v>
          </cell>
          <cell r="D63">
            <v>0</v>
          </cell>
        </row>
        <row r="64">
          <cell r="A64" t="str">
            <v>北京瑞林兴物资有限公司</v>
          </cell>
          <cell r="B64">
            <v>0</v>
          </cell>
          <cell r="C64">
            <v>0</v>
          </cell>
          <cell r="D64">
            <v>0</v>
          </cell>
        </row>
        <row r="65">
          <cell r="A65" t="str">
            <v>北京瑞隆祥科技有限公司</v>
          </cell>
          <cell r="B65">
            <v>0</v>
          </cell>
          <cell r="C65">
            <v>0</v>
          </cell>
          <cell r="D65">
            <v>0</v>
          </cell>
        </row>
        <row r="66">
          <cell r="A66" t="str">
            <v>北京瑞隆祥模具有限公司</v>
          </cell>
          <cell r="B66">
            <v>0</v>
          </cell>
          <cell r="C66">
            <v>0</v>
          </cell>
          <cell r="D66">
            <v>576021.76</v>
          </cell>
        </row>
        <row r="67">
          <cell r="A67" t="str">
            <v>北京赛奥讯电梯安装工程有限公司</v>
          </cell>
          <cell r="B67">
            <v>0</v>
          </cell>
          <cell r="C67">
            <v>0</v>
          </cell>
          <cell r="D67">
            <v>0</v>
          </cell>
        </row>
        <row r="68">
          <cell r="A68" t="str">
            <v>北京赛博瑞鑫科技有限公司</v>
          </cell>
          <cell r="B68">
            <v>0</v>
          </cell>
          <cell r="C68">
            <v>0</v>
          </cell>
          <cell r="D68">
            <v>0</v>
          </cell>
        </row>
        <row r="69">
          <cell r="A69" t="str">
            <v>北京申汉机电设备有限公司</v>
          </cell>
          <cell r="B69">
            <v>0</v>
          </cell>
          <cell r="C69">
            <v>0</v>
          </cell>
          <cell r="D69">
            <v>0</v>
          </cell>
        </row>
        <row r="70">
          <cell r="A70" t="str">
            <v>北京盛奥金华包装有限公司</v>
          </cell>
          <cell r="B70">
            <v>0</v>
          </cell>
          <cell r="C70">
            <v>0</v>
          </cell>
          <cell r="D70">
            <v>0</v>
          </cell>
        </row>
        <row r="71">
          <cell r="A71" t="str">
            <v>北京盛大利诚科技有限公司</v>
          </cell>
          <cell r="B71">
            <v>0</v>
          </cell>
          <cell r="C71">
            <v>0</v>
          </cell>
          <cell r="D71">
            <v>0</v>
          </cell>
        </row>
        <row r="72">
          <cell r="A72" t="str">
            <v>北京世松机械制造有限公司</v>
          </cell>
          <cell r="B72">
            <v>0</v>
          </cell>
          <cell r="C72">
            <v>0</v>
          </cell>
          <cell r="D72">
            <v>3000</v>
          </cell>
        </row>
        <row r="73">
          <cell r="A73" t="str">
            <v>北京市金京成条码印刷有限公司</v>
          </cell>
          <cell r="B73">
            <v>0</v>
          </cell>
          <cell r="C73">
            <v>0</v>
          </cell>
          <cell r="D73">
            <v>0</v>
          </cell>
        </row>
        <row r="74">
          <cell r="A74" t="str">
            <v>北京市橡塑减震器材厂</v>
          </cell>
          <cell r="B74">
            <v>0</v>
          </cell>
          <cell r="C74">
            <v>0</v>
          </cell>
          <cell r="D74">
            <v>2369.86</v>
          </cell>
        </row>
        <row r="75">
          <cell r="A75" t="str">
            <v>北京泰双英商贸有限公司</v>
          </cell>
          <cell r="B75">
            <v>0</v>
          </cell>
          <cell r="C75">
            <v>0</v>
          </cell>
          <cell r="D75">
            <v>0</v>
          </cell>
        </row>
        <row r="76">
          <cell r="A76" t="str">
            <v>北京腾达新秀科技有限公司</v>
          </cell>
          <cell r="B76">
            <v>0</v>
          </cell>
          <cell r="C76">
            <v>0</v>
          </cell>
          <cell r="D76">
            <v>0</v>
          </cell>
        </row>
        <row r="77">
          <cell r="A77" t="str">
            <v>北京喜得利自动门技术有限公司</v>
          </cell>
          <cell r="B77">
            <v>0</v>
          </cell>
          <cell r="C77">
            <v>0</v>
          </cell>
          <cell r="D77">
            <v>0</v>
          </cell>
        </row>
        <row r="78">
          <cell r="A78" t="str">
            <v>北京小箱环保科技有限公司</v>
          </cell>
          <cell r="B78">
            <v>0</v>
          </cell>
          <cell r="C78">
            <v>0</v>
          </cell>
          <cell r="D78">
            <v>0</v>
          </cell>
        </row>
        <row r="79">
          <cell r="A79" t="str">
            <v>北京新天兴业科技有限公司</v>
          </cell>
          <cell r="B79">
            <v>0</v>
          </cell>
          <cell r="C79">
            <v>0</v>
          </cell>
          <cell r="D79">
            <v>0</v>
          </cell>
        </row>
        <row r="80">
          <cell r="A80" t="str">
            <v>北京鑫葆海商贸有限公司</v>
          </cell>
          <cell r="B80">
            <v>0</v>
          </cell>
          <cell r="C80">
            <v>0</v>
          </cell>
          <cell r="D80">
            <v>0</v>
          </cell>
        </row>
        <row r="81">
          <cell r="A81" t="str">
            <v>北京鑫乐工服装设备有限公司</v>
          </cell>
          <cell r="B81">
            <v>0</v>
          </cell>
          <cell r="C81">
            <v>0</v>
          </cell>
          <cell r="D81">
            <v>0</v>
          </cell>
        </row>
        <row r="82">
          <cell r="A82" t="str">
            <v>北京鑫隆仁景塑胶材料科技有限公司</v>
          </cell>
          <cell r="B82">
            <v>0</v>
          </cell>
          <cell r="C82">
            <v>0</v>
          </cell>
          <cell r="D82">
            <v>297502.8</v>
          </cell>
        </row>
        <row r="83">
          <cell r="A83" t="str">
            <v>北京信恒佳诚商贸有限公司</v>
          </cell>
          <cell r="B83">
            <v>0</v>
          </cell>
          <cell r="C83">
            <v>0</v>
          </cell>
          <cell r="D83">
            <v>0</v>
          </cell>
        </row>
        <row r="84">
          <cell r="A84" t="str">
            <v>北京兴达恒源商贸有限公司</v>
          </cell>
          <cell r="B84">
            <v>0</v>
          </cell>
          <cell r="C84">
            <v>0</v>
          </cell>
          <cell r="D84">
            <v>0</v>
          </cell>
        </row>
        <row r="85">
          <cell r="A85" t="str">
            <v>北京逸伦众程自动化控制设备有限公司</v>
          </cell>
          <cell r="B85">
            <v>0</v>
          </cell>
          <cell r="C85">
            <v>0</v>
          </cell>
          <cell r="D85">
            <v>88805.97</v>
          </cell>
        </row>
        <row r="86">
          <cell r="A86" t="str">
            <v>北京永安城机电设备有限公司</v>
          </cell>
          <cell r="B86">
            <v>0</v>
          </cell>
          <cell r="C86">
            <v>0</v>
          </cell>
          <cell r="D86">
            <v>0</v>
          </cell>
        </row>
        <row r="87">
          <cell r="A87" t="str">
            <v>北京正保远见教育科技有限公司</v>
          </cell>
          <cell r="B87">
            <v>0</v>
          </cell>
          <cell r="C87">
            <v>0</v>
          </cell>
          <cell r="D87">
            <v>0</v>
          </cell>
        </row>
        <row r="88">
          <cell r="A88" t="str">
            <v>北京中恒海润金铭科技设备有限公司</v>
          </cell>
          <cell r="B88">
            <v>0</v>
          </cell>
          <cell r="C88">
            <v>0</v>
          </cell>
          <cell r="D88">
            <v>0</v>
          </cell>
        </row>
        <row r="89">
          <cell r="A89" t="str">
            <v>北汽福田汽车股份有限公司诸城奥铃汽车厂</v>
          </cell>
          <cell r="B89">
            <v>0</v>
          </cell>
          <cell r="C89">
            <v>0</v>
          </cell>
          <cell r="D89">
            <v>0</v>
          </cell>
        </row>
        <row r="90">
          <cell r="A90" t="str">
            <v>滨州炬能电源有限公司</v>
          </cell>
          <cell r="B90">
            <v>0</v>
          </cell>
          <cell r="C90">
            <v>0</v>
          </cell>
          <cell r="D90">
            <v>0</v>
          </cell>
        </row>
        <row r="91">
          <cell r="A91" t="str">
            <v>泊头市路通机床工具有限公司</v>
          </cell>
          <cell r="B91">
            <v>0</v>
          </cell>
          <cell r="C91">
            <v>0</v>
          </cell>
          <cell r="D91">
            <v>0</v>
          </cell>
        </row>
        <row r="92">
          <cell r="A92" t="str">
            <v>泊头市如意五金冲压有限公司</v>
          </cell>
          <cell r="B92">
            <v>0</v>
          </cell>
          <cell r="C92">
            <v>0</v>
          </cell>
          <cell r="D92">
            <v>0</v>
          </cell>
        </row>
        <row r="93">
          <cell r="A93" t="str">
            <v>泊头市胜宏五金冲压有限公司</v>
          </cell>
          <cell r="B93">
            <v>0</v>
          </cell>
          <cell r="C93">
            <v>0</v>
          </cell>
          <cell r="D93">
            <v>0</v>
          </cell>
        </row>
        <row r="94">
          <cell r="A94" t="str">
            <v>泊头市通科机械设备有限公司</v>
          </cell>
          <cell r="B94">
            <v>0</v>
          </cell>
          <cell r="C94">
            <v>0</v>
          </cell>
          <cell r="D94">
            <v>0</v>
          </cell>
        </row>
        <row r="95">
          <cell r="A95" t="str">
            <v>泊头市鑫洪金属制品有限公司</v>
          </cell>
          <cell r="B95">
            <v>0</v>
          </cell>
          <cell r="C95">
            <v>0</v>
          </cell>
          <cell r="D95">
            <v>63202.7</v>
          </cell>
        </row>
        <row r="96">
          <cell r="A96" t="str">
            <v>泊头市志诚模具厂</v>
          </cell>
          <cell r="B96">
            <v>0</v>
          </cell>
          <cell r="C96">
            <v>0</v>
          </cell>
          <cell r="D96">
            <v>0</v>
          </cell>
        </row>
        <row r="97">
          <cell r="A97" t="str">
            <v>博山供水泵厂</v>
          </cell>
          <cell r="B97">
            <v>0</v>
          </cell>
          <cell r="C97">
            <v>0</v>
          </cell>
          <cell r="D97">
            <v>0</v>
          </cell>
        </row>
        <row r="98">
          <cell r="A98" t="str">
            <v>沧县同硕焊接安装门市部</v>
          </cell>
          <cell r="B98">
            <v>0</v>
          </cell>
          <cell r="C98">
            <v>0</v>
          </cell>
          <cell r="D98">
            <v>0</v>
          </cell>
        </row>
        <row r="99">
          <cell r="A99" t="str">
            <v>沧县星宇精密铸造有限公司</v>
          </cell>
          <cell r="B99">
            <v>0</v>
          </cell>
          <cell r="C99">
            <v>0</v>
          </cell>
          <cell r="D99">
            <v>0</v>
          </cell>
        </row>
        <row r="100">
          <cell r="A100" t="str">
            <v>沧州澳航电子有限公司</v>
          </cell>
          <cell r="B100">
            <v>0</v>
          </cell>
          <cell r="C100">
            <v>0</v>
          </cell>
          <cell r="D100">
            <v>0</v>
          </cell>
        </row>
        <row r="101">
          <cell r="A101" t="str">
            <v>沧州渤海新区长宏货物运输有限公司</v>
          </cell>
          <cell r="B101">
            <v>0</v>
          </cell>
          <cell r="C101">
            <v>0</v>
          </cell>
          <cell r="D101">
            <v>0</v>
          </cell>
        </row>
        <row r="102">
          <cell r="A102" t="str">
            <v>沧州长河机电设备安装工程有限公司</v>
          </cell>
          <cell r="B102">
            <v>0</v>
          </cell>
          <cell r="C102">
            <v>0</v>
          </cell>
          <cell r="D102">
            <v>0</v>
          </cell>
        </row>
        <row r="103">
          <cell r="A103" t="str">
            <v>沧州超杰纺织品有限公司</v>
          </cell>
          <cell r="B103">
            <v>0</v>
          </cell>
          <cell r="C103">
            <v>0</v>
          </cell>
          <cell r="D103">
            <v>7405.95</v>
          </cell>
        </row>
        <row r="104">
          <cell r="A104" t="str">
            <v>沧州鼎辉五金制造有限公司</v>
          </cell>
          <cell r="B104">
            <v>300000</v>
          </cell>
          <cell r="C104">
            <v>0</v>
          </cell>
          <cell r="D104">
            <v>72290.61</v>
          </cell>
        </row>
        <row r="105">
          <cell r="A105" t="str">
            <v>沧州广洋模具配件有限公司</v>
          </cell>
          <cell r="B105">
            <v>50000</v>
          </cell>
          <cell r="C105">
            <v>0</v>
          </cell>
          <cell r="D105">
            <v>68496.71</v>
          </cell>
        </row>
        <row r="106">
          <cell r="A106" t="str">
            <v>沧州华通电器部件有限公司</v>
          </cell>
          <cell r="B106">
            <v>0</v>
          </cell>
          <cell r="C106">
            <v>0</v>
          </cell>
          <cell r="D106">
            <v>0</v>
          </cell>
        </row>
        <row r="107">
          <cell r="A107" t="str">
            <v>沧州冀道商贸有限公司</v>
          </cell>
          <cell r="B107">
            <v>0</v>
          </cell>
          <cell r="C107">
            <v>0</v>
          </cell>
          <cell r="D107">
            <v>0</v>
          </cell>
        </row>
        <row r="108">
          <cell r="A108" t="str">
            <v>沧州经济开发区起点办公用品商行</v>
          </cell>
          <cell r="B108">
            <v>0</v>
          </cell>
          <cell r="C108">
            <v>0</v>
          </cell>
          <cell r="D108">
            <v>0</v>
          </cell>
        </row>
        <row r="109">
          <cell r="A109" t="str">
            <v>沧州靖丰塑料有限公司</v>
          </cell>
          <cell r="B109">
            <v>0</v>
          </cell>
          <cell r="C109">
            <v>0</v>
          </cell>
          <cell r="D109">
            <v>0</v>
          </cell>
        </row>
        <row r="110">
          <cell r="A110" t="str">
            <v>沧州坤翔化工机电有限公司</v>
          </cell>
          <cell r="B110">
            <v>4226</v>
          </cell>
          <cell r="C110">
            <v>0</v>
          </cell>
          <cell r="D110">
            <v>0</v>
          </cell>
        </row>
        <row r="111">
          <cell r="A111" t="str">
            <v>沧州临港京捷金属材料热处理厂</v>
          </cell>
          <cell r="B111">
            <v>0</v>
          </cell>
          <cell r="C111">
            <v>0</v>
          </cell>
          <cell r="D111">
            <v>0</v>
          </cell>
        </row>
        <row r="112">
          <cell r="A112" t="str">
            <v>沧州临港明康汽车配件有限公司</v>
          </cell>
          <cell r="B112">
            <v>250000</v>
          </cell>
          <cell r="C112">
            <v>31114.7</v>
          </cell>
          <cell r="D112">
            <v>221593.89</v>
          </cell>
        </row>
        <row r="113">
          <cell r="A113" t="str">
            <v>沧州茂源电器部件有限公司</v>
          </cell>
          <cell r="B113">
            <v>0</v>
          </cell>
          <cell r="C113">
            <v>0</v>
          </cell>
          <cell r="D113">
            <v>0</v>
          </cell>
        </row>
        <row r="114">
          <cell r="A114" t="str">
            <v>沧州梦依恋商贸有限公司</v>
          </cell>
          <cell r="B114">
            <v>0</v>
          </cell>
          <cell r="C114">
            <v>0</v>
          </cell>
          <cell r="D114">
            <v>40</v>
          </cell>
        </row>
        <row r="115">
          <cell r="A115" t="str">
            <v>沧州其源盛环保设备有限公司</v>
          </cell>
          <cell r="B115">
            <v>0</v>
          </cell>
          <cell r="C115">
            <v>0</v>
          </cell>
          <cell r="D115">
            <v>0</v>
          </cell>
        </row>
        <row r="116">
          <cell r="A116" t="str">
            <v>沧州强宇五金制造有限公司</v>
          </cell>
          <cell r="B116">
            <v>555000</v>
          </cell>
          <cell r="C116">
            <v>313004.6</v>
          </cell>
          <cell r="D116">
            <v>1821267.89</v>
          </cell>
        </row>
        <row r="117">
          <cell r="A117" t="str">
            <v>沧州瑞海油脂化工有限公司</v>
          </cell>
          <cell r="B117">
            <v>0</v>
          </cell>
          <cell r="C117">
            <v>0</v>
          </cell>
          <cell r="D117">
            <v>0</v>
          </cell>
        </row>
        <row r="118">
          <cell r="A118" t="str">
            <v>沧州施普模具制造有限公司</v>
          </cell>
          <cell r="B118">
            <v>0</v>
          </cell>
          <cell r="C118">
            <v>0</v>
          </cell>
          <cell r="D118">
            <v>21800</v>
          </cell>
        </row>
        <row r="119">
          <cell r="A119" t="str">
            <v>沧州市长隆金属制品有限公司</v>
          </cell>
          <cell r="B119">
            <v>0</v>
          </cell>
          <cell r="C119">
            <v>0</v>
          </cell>
          <cell r="D119">
            <v>0</v>
          </cell>
        </row>
        <row r="120">
          <cell r="A120" t="str">
            <v>沧州市达盛化工产品有限公司</v>
          </cell>
          <cell r="B120">
            <v>0</v>
          </cell>
          <cell r="C120">
            <v>0</v>
          </cell>
          <cell r="D120">
            <v>0</v>
          </cell>
        </row>
        <row r="121">
          <cell r="A121" t="str">
            <v>沧州市华联钢管有限公司</v>
          </cell>
          <cell r="B121">
            <v>0</v>
          </cell>
          <cell r="C121">
            <v>0</v>
          </cell>
          <cell r="D121">
            <v>0</v>
          </cell>
        </row>
        <row r="122">
          <cell r="A122" t="str">
            <v>沧州市利昌汽车部件有限公司</v>
          </cell>
          <cell r="B122">
            <v>100000</v>
          </cell>
          <cell r="C122">
            <v>4715.21</v>
          </cell>
          <cell r="D122">
            <v>351347.26</v>
          </cell>
        </row>
        <row r="123">
          <cell r="A123" t="str">
            <v>沧州市任沧机电有限公司</v>
          </cell>
          <cell r="B123">
            <v>86050</v>
          </cell>
          <cell r="C123">
            <v>16762.5</v>
          </cell>
          <cell r="D123">
            <v>210173.68</v>
          </cell>
        </row>
        <row r="124">
          <cell r="A124" t="str">
            <v>沧州市润泽建筑涂装有限公司</v>
          </cell>
          <cell r="B124">
            <v>0</v>
          </cell>
          <cell r="C124">
            <v>0</v>
          </cell>
          <cell r="D124">
            <v>0</v>
          </cell>
        </row>
        <row r="125">
          <cell r="A125" t="str">
            <v>沧州市顺通五金有限公司</v>
          </cell>
          <cell r="B125">
            <v>0</v>
          </cell>
          <cell r="C125">
            <v>0</v>
          </cell>
          <cell r="D125">
            <v>0</v>
          </cell>
        </row>
        <row r="126">
          <cell r="A126" t="str">
            <v>沧州市万威物流有限公司</v>
          </cell>
          <cell r="B126">
            <v>0</v>
          </cell>
          <cell r="C126">
            <v>0</v>
          </cell>
          <cell r="D126">
            <v>0</v>
          </cell>
        </row>
        <row r="127">
          <cell r="A127" t="str">
            <v>沧州市维克机械设备有限公司</v>
          </cell>
          <cell r="B127">
            <v>0</v>
          </cell>
          <cell r="C127">
            <v>0</v>
          </cell>
          <cell r="D127">
            <v>28470</v>
          </cell>
        </row>
        <row r="128">
          <cell r="A128" t="str">
            <v>沧州市翔圣会计服务有限公司</v>
          </cell>
          <cell r="B128">
            <v>0</v>
          </cell>
          <cell r="C128">
            <v>0</v>
          </cell>
          <cell r="D128">
            <v>0</v>
          </cell>
        </row>
        <row r="129">
          <cell r="A129" t="str">
            <v>沧州市鑫发缝纫机有限公司</v>
          </cell>
          <cell r="B129">
            <v>30701</v>
          </cell>
          <cell r="C129">
            <v>0</v>
          </cell>
          <cell r="D129">
            <v>0</v>
          </cell>
        </row>
        <row r="130">
          <cell r="A130" t="str">
            <v>沧州市徐锻机床销售有限公司</v>
          </cell>
          <cell r="B130">
            <v>0</v>
          </cell>
          <cell r="C130">
            <v>0</v>
          </cell>
          <cell r="D130">
            <v>0</v>
          </cell>
        </row>
        <row r="131">
          <cell r="A131" t="str">
            <v>沧州市永佳物业服务有限公司</v>
          </cell>
          <cell r="B131">
            <v>0</v>
          </cell>
          <cell r="C131">
            <v>0</v>
          </cell>
          <cell r="D131">
            <v>0</v>
          </cell>
        </row>
        <row r="132">
          <cell r="A132" t="str">
            <v>沧州市远东缝纫机有限公司</v>
          </cell>
          <cell r="B132">
            <v>0</v>
          </cell>
          <cell r="C132">
            <v>0</v>
          </cell>
          <cell r="D132">
            <v>0</v>
          </cell>
        </row>
        <row r="133">
          <cell r="A133" t="str">
            <v>沧州市运河区建新广告装饰文化传媒中心</v>
          </cell>
          <cell r="B133">
            <v>0</v>
          </cell>
          <cell r="C133">
            <v>0</v>
          </cell>
          <cell r="D133">
            <v>0</v>
          </cell>
        </row>
        <row r="134">
          <cell r="A134" t="str">
            <v>沧州斯克艾商贸有限公司</v>
          </cell>
          <cell r="B134">
            <v>0</v>
          </cell>
          <cell r="C134">
            <v>0</v>
          </cell>
          <cell r="D134">
            <v>0</v>
          </cell>
        </row>
        <row r="135">
          <cell r="A135" t="str">
            <v>沧州天祥塑料制品有限公司</v>
          </cell>
          <cell r="B135">
            <v>0</v>
          </cell>
          <cell r="C135">
            <v>0</v>
          </cell>
          <cell r="D135">
            <v>33078.67</v>
          </cell>
        </row>
        <row r="136">
          <cell r="A136" t="str">
            <v>沧州同城信息技术有限公司</v>
          </cell>
          <cell r="B136">
            <v>0</v>
          </cell>
          <cell r="C136">
            <v>0</v>
          </cell>
          <cell r="D136">
            <v>0</v>
          </cell>
        </row>
        <row r="137">
          <cell r="A137" t="str">
            <v>沧州威达聚氨酯高科股份有限公司</v>
          </cell>
          <cell r="B137">
            <v>0</v>
          </cell>
          <cell r="C137">
            <v>0</v>
          </cell>
          <cell r="D137">
            <v>0</v>
          </cell>
        </row>
        <row r="138">
          <cell r="A138" t="str">
            <v>沧州鑫晟纸制品有限公司</v>
          </cell>
          <cell r="B138">
            <v>30000</v>
          </cell>
          <cell r="C138">
            <v>0</v>
          </cell>
          <cell r="D138">
            <v>187558.06</v>
          </cell>
        </row>
        <row r="139">
          <cell r="A139" t="str">
            <v>沧州益昌汽车销售服务有限公司</v>
          </cell>
          <cell r="B139">
            <v>0</v>
          </cell>
          <cell r="C139">
            <v>0</v>
          </cell>
          <cell r="D139">
            <v>0</v>
          </cell>
        </row>
        <row r="140">
          <cell r="A140" t="str">
            <v>沧州宇诺五金制造有限公司</v>
          </cell>
          <cell r="B140">
            <v>180000</v>
          </cell>
          <cell r="C140">
            <v>71383.26</v>
          </cell>
          <cell r="D140">
            <v>419082.81</v>
          </cell>
        </row>
        <row r="141">
          <cell r="A141" t="str">
            <v>沧州云庆标准件有限公司</v>
          </cell>
          <cell r="B141">
            <v>0</v>
          </cell>
          <cell r="C141">
            <v>0</v>
          </cell>
          <cell r="D141">
            <v>0</v>
          </cell>
        </row>
        <row r="142">
          <cell r="A142" t="str">
            <v>沧州众智鑫成人力资源服务有限公司</v>
          </cell>
          <cell r="B142">
            <v>144115.43</v>
          </cell>
          <cell r="C142">
            <v>144115.43</v>
          </cell>
          <cell r="D142">
            <v>0</v>
          </cell>
        </row>
        <row r="143">
          <cell r="A143" t="str">
            <v>昌乐天齐色织布有限公司</v>
          </cell>
          <cell r="B143">
            <v>0</v>
          </cell>
          <cell r="C143">
            <v>0</v>
          </cell>
          <cell r="D143">
            <v>206017.7</v>
          </cell>
        </row>
        <row r="144">
          <cell r="A144" t="str">
            <v>昌乐县天源色织布有限公司</v>
          </cell>
          <cell r="B144">
            <v>0</v>
          </cell>
          <cell r="C144">
            <v>0</v>
          </cell>
          <cell r="D144">
            <v>0</v>
          </cell>
        </row>
        <row r="145">
          <cell r="A145" t="str">
            <v>长春旷达汽车织物有限公司</v>
          </cell>
          <cell r="B145">
            <v>0</v>
          </cell>
          <cell r="C145">
            <v>0</v>
          </cell>
          <cell r="D145">
            <v>0</v>
          </cell>
        </row>
        <row r="146">
          <cell r="A146" t="str">
            <v>长春市新科试验仪器设备有限公司</v>
          </cell>
          <cell r="B146">
            <v>0</v>
          </cell>
          <cell r="C146">
            <v>0</v>
          </cell>
          <cell r="D146">
            <v>0</v>
          </cell>
        </row>
        <row r="147">
          <cell r="A147" t="str">
            <v>长春市沅呈汽车饰件有限公司</v>
          </cell>
          <cell r="B147">
            <v>0</v>
          </cell>
          <cell r="C147">
            <v>0</v>
          </cell>
          <cell r="D147">
            <v>0</v>
          </cell>
        </row>
        <row r="148">
          <cell r="A148" t="str">
            <v>长春天利得科技有限公司</v>
          </cell>
          <cell r="B148">
            <v>250000</v>
          </cell>
          <cell r="C148">
            <v>0</v>
          </cell>
          <cell r="D148">
            <v>955722.41</v>
          </cell>
        </row>
        <row r="149">
          <cell r="A149" t="str">
            <v>长春亚大汽车零件制造有限公司</v>
          </cell>
          <cell r="B149">
            <v>0</v>
          </cell>
          <cell r="C149">
            <v>0</v>
          </cell>
          <cell r="D149">
            <v>0</v>
          </cell>
        </row>
        <row r="150">
          <cell r="A150" t="str">
            <v>长沙皓翰贸易有限公司</v>
          </cell>
          <cell r="B150">
            <v>0</v>
          </cell>
          <cell r="C150">
            <v>0</v>
          </cell>
          <cell r="D150">
            <v>0</v>
          </cell>
        </row>
        <row r="151">
          <cell r="A151" t="str">
            <v>长园和鹰智能设备有限公司</v>
          </cell>
          <cell r="B151">
            <v>0</v>
          </cell>
          <cell r="C151">
            <v>0</v>
          </cell>
          <cell r="D151">
            <v>0</v>
          </cell>
        </row>
        <row r="152">
          <cell r="A152" t="str">
            <v>常熟市创新电器厂</v>
          </cell>
          <cell r="B152">
            <v>3747.2</v>
          </cell>
          <cell r="C152">
            <v>3747.2</v>
          </cell>
          <cell r="D152">
            <v>0</v>
          </cell>
        </row>
        <row r="153">
          <cell r="A153" t="str">
            <v>常州国誉减速机厂</v>
          </cell>
          <cell r="B153">
            <v>0</v>
          </cell>
          <cell r="C153">
            <v>0</v>
          </cell>
          <cell r="D153">
            <v>0</v>
          </cell>
        </row>
        <row r="154">
          <cell r="A154" t="str">
            <v>常州华阳万联汽车附件有限公司</v>
          </cell>
          <cell r="B154">
            <v>600000</v>
          </cell>
          <cell r="C154">
            <v>363135.69</v>
          </cell>
          <cell r="D154">
            <v>2641841.15</v>
          </cell>
        </row>
        <row r="155">
          <cell r="A155" t="str">
            <v>常州恺杰塑料模具有限公司</v>
          </cell>
          <cell r="B155">
            <v>0</v>
          </cell>
          <cell r="C155">
            <v>0</v>
          </cell>
          <cell r="D155">
            <v>0</v>
          </cell>
        </row>
        <row r="156">
          <cell r="A156" t="str">
            <v>常州市拓洋减速机厂</v>
          </cell>
          <cell r="B156">
            <v>0</v>
          </cell>
          <cell r="C156">
            <v>0</v>
          </cell>
          <cell r="D156">
            <v>0</v>
          </cell>
        </row>
        <row r="157">
          <cell r="A157" t="str">
            <v>常州市武进创新模具注塑有限公司</v>
          </cell>
          <cell r="B157">
            <v>250000</v>
          </cell>
          <cell r="C157">
            <v>82022.93</v>
          </cell>
          <cell r="D157">
            <v>1097130.86</v>
          </cell>
        </row>
        <row r="158">
          <cell r="A158" t="str">
            <v>春雨（东莞）五金制品有限公司</v>
          </cell>
          <cell r="B158">
            <v>52884</v>
          </cell>
          <cell r="C158">
            <v>52884</v>
          </cell>
          <cell r="D158">
            <v>0</v>
          </cell>
        </row>
        <row r="159">
          <cell r="A159" t="str">
            <v>大连吉田拉链有限公司北京分公司</v>
          </cell>
          <cell r="B159">
            <v>0</v>
          </cell>
          <cell r="C159">
            <v>0</v>
          </cell>
          <cell r="D159">
            <v>0</v>
          </cell>
        </row>
        <row r="160">
          <cell r="A160" t="str">
            <v>丹阳市神州电器部件厂</v>
          </cell>
          <cell r="B160">
            <v>0</v>
          </cell>
          <cell r="C160">
            <v>0</v>
          </cell>
          <cell r="D160">
            <v>0</v>
          </cell>
        </row>
        <row r="161">
          <cell r="A161" t="str">
            <v>德清三和塑胶有限公司</v>
          </cell>
          <cell r="B161">
            <v>0</v>
          </cell>
          <cell r="C161">
            <v>0</v>
          </cell>
          <cell r="D161">
            <v>6723.98</v>
          </cell>
        </row>
        <row r="162">
          <cell r="A162" t="str">
            <v>德州三志塑胶有限公司</v>
          </cell>
          <cell r="B162">
            <v>0</v>
          </cell>
          <cell r="C162">
            <v>0</v>
          </cell>
          <cell r="D162">
            <v>0</v>
          </cell>
        </row>
        <row r="163">
          <cell r="A163" t="str">
            <v>德州志鹏海绵制品有限公司</v>
          </cell>
          <cell r="B163">
            <v>70000</v>
          </cell>
          <cell r="C163">
            <v>0</v>
          </cell>
          <cell r="D163">
            <v>436319</v>
          </cell>
        </row>
        <row r="164">
          <cell r="A164" t="str">
            <v>邓景亮</v>
          </cell>
          <cell r="B164">
            <v>1000000</v>
          </cell>
          <cell r="C164">
            <v>0</v>
          </cell>
          <cell r="D164">
            <v>559318</v>
          </cell>
        </row>
        <row r="165">
          <cell r="A165" t="str">
            <v>东光县汽车减震器厂</v>
          </cell>
          <cell r="B165">
            <v>0</v>
          </cell>
          <cell r="C165">
            <v>0</v>
          </cell>
          <cell r="D165">
            <v>18714.75</v>
          </cell>
        </row>
        <row r="166">
          <cell r="A166" t="str">
            <v>东来涂料技术（上海）股份有限公司</v>
          </cell>
          <cell r="B166">
            <v>0</v>
          </cell>
          <cell r="C166">
            <v>70060.6</v>
          </cell>
          <cell r="D166">
            <v>70060.6</v>
          </cell>
        </row>
        <row r="167">
          <cell r="A167" t="str">
            <v>东莞市嘉刚机电科技发展有限公司</v>
          </cell>
          <cell r="B167">
            <v>0</v>
          </cell>
          <cell r="C167">
            <v>0</v>
          </cell>
          <cell r="D167">
            <v>0</v>
          </cell>
        </row>
        <row r="168">
          <cell r="A168" t="str">
            <v>东莞市卡索电子科技有限公司</v>
          </cell>
          <cell r="B168">
            <v>16000</v>
          </cell>
          <cell r="C168">
            <v>16000</v>
          </cell>
          <cell r="D168">
            <v>0</v>
          </cell>
        </row>
        <row r="169">
          <cell r="A169" t="str">
            <v>东莞市联恒自动化设备有限公司</v>
          </cell>
          <cell r="B169">
            <v>0</v>
          </cell>
          <cell r="C169">
            <v>0</v>
          </cell>
          <cell r="D169">
            <v>0</v>
          </cell>
        </row>
        <row r="170">
          <cell r="A170" t="str">
            <v>东莞市瑞辉机械制造有限公司</v>
          </cell>
          <cell r="B170">
            <v>0</v>
          </cell>
          <cell r="C170">
            <v>0</v>
          </cell>
          <cell r="D170">
            <v>0</v>
          </cell>
        </row>
        <row r="171">
          <cell r="A171" t="str">
            <v>东莞市深川工业设备有限公司</v>
          </cell>
          <cell r="B171">
            <v>3087326.6</v>
          </cell>
          <cell r="C171">
            <v>3087326.6</v>
          </cell>
          <cell r="D171">
            <v>0</v>
          </cell>
        </row>
        <row r="172">
          <cell r="A172" t="str">
            <v>东莞市双和机车拉索有限公司</v>
          </cell>
          <cell r="B172">
            <v>0</v>
          </cell>
          <cell r="C172">
            <v>0</v>
          </cell>
          <cell r="D172">
            <v>1615.32</v>
          </cell>
        </row>
        <row r="173">
          <cell r="A173" t="str">
            <v>杜奥尔汽车技术（上海）有限公司</v>
          </cell>
          <cell r="B173">
            <v>0</v>
          </cell>
          <cell r="C173">
            <v>0</v>
          </cell>
          <cell r="D173">
            <v>0</v>
          </cell>
        </row>
        <row r="174">
          <cell r="A174" t="str">
            <v>杜倍汽车技术（上海）有限公司</v>
          </cell>
          <cell r="B174">
            <v>0</v>
          </cell>
          <cell r="C174">
            <v>0</v>
          </cell>
          <cell r="D174">
            <v>3374.75</v>
          </cell>
        </row>
        <row r="175">
          <cell r="A175" t="str">
            <v>多科迪（北京）塑胶颜料有限公司</v>
          </cell>
          <cell r="B175">
            <v>4400</v>
          </cell>
          <cell r="C175">
            <v>4400</v>
          </cell>
          <cell r="D175">
            <v>0</v>
          </cell>
        </row>
        <row r="176">
          <cell r="A176" t="str">
            <v>丰电科技集团股份有限公司</v>
          </cell>
          <cell r="B176">
            <v>0</v>
          </cell>
          <cell r="C176">
            <v>0</v>
          </cell>
          <cell r="D176">
            <v>0</v>
          </cell>
        </row>
        <row r="177">
          <cell r="A177" t="str">
            <v>佛吉亚（无锡）座椅部件有限公司</v>
          </cell>
          <cell r="B177">
            <v>0</v>
          </cell>
          <cell r="C177">
            <v>1060473.36</v>
          </cell>
          <cell r="D177">
            <v>2281849.77</v>
          </cell>
        </row>
        <row r="178">
          <cell r="A178" t="str">
            <v>佛山冈联汽车模具配件有限公司</v>
          </cell>
          <cell r="B178">
            <v>0</v>
          </cell>
          <cell r="C178">
            <v>0</v>
          </cell>
          <cell r="D178">
            <v>0.01</v>
          </cell>
        </row>
        <row r="179">
          <cell r="A179" t="str">
            <v>佛山市立久光电科技有限公司</v>
          </cell>
          <cell r="B179">
            <v>43900.5</v>
          </cell>
          <cell r="C179">
            <v>43900.5</v>
          </cell>
          <cell r="D179">
            <v>0</v>
          </cell>
        </row>
        <row r="180">
          <cell r="A180" t="str">
            <v>佛山市顺德区聚达汽车部件有限公司</v>
          </cell>
          <cell r="B180">
            <v>50000</v>
          </cell>
          <cell r="C180">
            <v>87254.08</v>
          </cell>
          <cell r="D180">
            <v>252700.4</v>
          </cell>
        </row>
        <row r="181">
          <cell r="A181" t="str">
            <v>佛山市益鑫禾机械自动化装备有限公司</v>
          </cell>
          <cell r="B181">
            <v>0</v>
          </cell>
          <cell r="C181">
            <v>0</v>
          </cell>
          <cell r="D181">
            <v>0</v>
          </cell>
        </row>
        <row r="182">
          <cell r="A182" t="str">
            <v>福跃五金制品厂</v>
          </cell>
          <cell r="B182">
            <v>0</v>
          </cell>
          <cell r="C182">
            <v>0</v>
          </cell>
          <cell r="D182">
            <v>0</v>
          </cell>
        </row>
        <row r="183">
          <cell r="A183" t="str">
            <v>福州聚博机电设备有限公司</v>
          </cell>
          <cell r="B183">
            <v>0</v>
          </cell>
          <cell r="C183">
            <v>0</v>
          </cell>
          <cell r="D183">
            <v>0</v>
          </cell>
        </row>
        <row r="184">
          <cell r="A184" t="str">
            <v>富港科技天津有限公司</v>
          </cell>
          <cell r="B184">
            <v>0</v>
          </cell>
          <cell r="C184">
            <v>0</v>
          </cell>
          <cell r="D184">
            <v>0</v>
          </cell>
        </row>
        <row r="185">
          <cell r="A185" t="str">
            <v>高碑店市晨奥汽车部件有限公司</v>
          </cell>
          <cell r="B185">
            <v>0</v>
          </cell>
          <cell r="C185">
            <v>0</v>
          </cell>
          <cell r="D185">
            <v>0</v>
          </cell>
        </row>
        <row r="186">
          <cell r="A186" t="str">
            <v>高碑店市晨奥五金制品有限公司</v>
          </cell>
          <cell r="B186">
            <v>0</v>
          </cell>
          <cell r="C186">
            <v>0</v>
          </cell>
          <cell r="D186">
            <v>0</v>
          </cell>
        </row>
        <row r="187">
          <cell r="A187" t="str">
            <v>高碑店市信德百利革业有限公司</v>
          </cell>
          <cell r="B187">
            <v>0</v>
          </cell>
          <cell r="C187">
            <v>0</v>
          </cell>
          <cell r="D187">
            <v>100034.53</v>
          </cell>
        </row>
        <row r="188">
          <cell r="A188" t="str">
            <v>高唐强盛机械有限公司</v>
          </cell>
          <cell r="B188">
            <v>0</v>
          </cell>
          <cell r="C188">
            <v>86849</v>
          </cell>
          <cell r="D188">
            <v>722033.35</v>
          </cell>
        </row>
        <row r="189">
          <cell r="A189" t="str">
            <v>共和兴塑胶（廊坊）有限公司</v>
          </cell>
          <cell r="B189">
            <v>0</v>
          </cell>
          <cell r="C189">
            <v>0</v>
          </cell>
          <cell r="D189">
            <v>0</v>
          </cell>
        </row>
        <row r="190">
          <cell r="A190" t="str">
            <v>古特曼商贸（上海）有限公司</v>
          </cell>
          <cell r="B190">
            <v>0</v>
          </cell>
          <cell r="C190">
            <v>0</v>
          </cell>
          <cell r="D190">
            <v>0</v>
          </cell>
        </row>
        <row r="191">
          <cell r="A191" t="str">
            <v>固安县乐通塑料中空板有限公司</v>
          </cell>
          <cell r="B191">
            <v>0</v>
          </cell>
          <cell r="C191">
            <v>0</v>
          </cell>
          <cell r="D191">
            <v>0</v>
          </cell>
        </row>
        <row r="192">
          <cell r="A192" t="str">
            <v>故城县智华再生海绵有限公司</v>
          </cell>
          <cell r="B192">
            <v>0</v>
          </cell>
          <cell r="C192">
            <v>0</v>
          </cell>
          <cell r="D192">
            <v>0</v>
          </cell>
        </row>
        <row r="193">
          <cell r="A193" t="str">
            <v>广东新金山环保材料股份有限公司</v>
          </cell>
          <cell r="B193">
            <v>500000</v>
          </cell>
          <cell r="C193">
            <v>0</v>
          </cell>
          <cell r="D193">
            <v>170802.26</v>
          </cell>
        </row>
        <row r="194">
          <cell r="A194" t="str">
            <v>广州富士机工汽车部件有限公司</v>
          </cell>
          <cell r="B194">
            <v>800000</v>
          </cell>
          <cell r="C194">
            <v>0</v>
          </cell>
          <cell r="D194">
            <v>0</v>
          </cell>
        </row>
        <row r="195">
          <cell r="A195" t="str">
            <v>广州吉中汽车内饰系统有限公司</v>
          </cell>
          <cell r="B195">
            <v>0</v>
          </cell>
          <cell r="C195">
            <v>0</v>
          </cell>
          <cell r="D195">
            <v>0</v>
          </cell>
        </row>
        <row r="196">
          <cell r="A196" t="str">
            <v>广州欧尼克焊接科技有限公司</v>
          </cell>
          <cell r="B196">
            <v>0</v>
          </cell>
          <cell r="C196">
            <v>0</v>
          </cell>
          <cell r="D196">
            <v>400</v>
          </cell>
        </row>
        <row r="197">
          <cell r="A197" t="str">
            <v>广州普华灵动机器人技术有限公司</v>
          </cell>
          <cell r="B197">
            <v>0</v>
          </cell>
          <cell r="C197">
            <v>0</v>
          </cell>
          <cell r="D197">
            <v>4000</v>
          </cell>
        </row>
        <row r="198">
          <cell r="A198" t="str">
            <v>广州市奔途尔商贸有限公司</v>
          </cell>
          <cell r="B198">
            <v>0</v>
          </cell>
          <cell r="C198">
            <v>0</v>
          </cell>
          <cell r="D198">
            <v>0</v>
          </cell>
        </row>
        <row r="199">
          <cell r="A199" t="str">
            <v>广州市火龙焊接设备有限公司</v>
          </cell>
          <cell r="B199">
            <v>0</v>
          </cell>
          <cell r="C199">
            <v>0</v>
          </cell>
          <cell r="D199">
            <v>0</v>
          </cell>
        </row>
        <row r="200">
          <cell r="A200" t="str">
            <v>广州市盟力线业有限公司</v>
          </cell>
          <cell r="B200">
            <v>0</v>
          </cell>
          <cell r="C200">
            <v>249.4</v>
          </cell>
          <cell r="D200">
            <v>61267.77</v>
          </cell>
        </row>
        <row r="201">
          <cell r="A201" t="str">
            <v>广州市朋普机电技术有限公司</v>
          </cell>
          <cell r="B201">
            <v>0</v>
          </cell>
          <cell r="C201">
            <v>0</v>
          </cell>
          <cell r="D201">
            <v>0</v>
          </cell>
        </row>
        <row r="202">
          <cell r="A202" t="str">
            <v>广州熙锐自动化设备有限公司</v>
          </cell>
          <cell r="B202">
            <v>0</v>
          </cell>
          <cell r="C202">
            <v>0</v>
          </cell>
          <cell r="D202">
            <v>0</v>
          </cell>
        </row>
        <row r="203">
          <cell r="A203" t="str">
            <v>圭尔夫(天津)工业门有限公司</v>
          </cell>
          <cell r="B203">
            <v>18550</v>
          </cell>
          <cell r="C203">
            <v>0</v>
          </cell>
          <cell r="D203">
            <v>3065</v>
          </cell>
        </row>
        <row r="204">
          <cell r="A204" t="str">
            <v>国网河北省电力有限公司沧州供电分公司</v>
          </cell>
          <cell r="B204">
            <v>0</v>
          </cell>
          <cell r="C204">
            <v>0</v>
          </cell>
          <cell r="D204">
            <v>0</v>
          </cell>
        </row>
        <row r="205">
          <cell r="A205" t="str">
            <v>海安县绿色清洗剂厂</v>
          </cell>
          <cell r="B205">
            <v>0</v>
          </cell>
          <cell r="C205">
            <v>0</v>
          </cell>
          <cell r="D205">
            <v>0</v>
          </cell>
        </row>
        <row r="206">
          <cell r="A206" t="str">
            <v>海天塑机集团有限公司</v>
          </cell>
          <cell r="B206">
            <v>0</v>
          </cell>
          <cell r="C206">
            <v>0</v>
          </cell>
          <cell r="D206">
            <v>0</v>
          </cell>
        </row>
        <row r="207">
          <cell r="A207" t="str">
            <v>海兴中盛弹簧有限公司</v>
          </cell>
          <cell r="B207">
            <v>250000</v>
          </cell>
          <cell r="C207">
            <v>130024.76</v>
          </cell>
          <cell r="D207">
            <v>1467824.44</v>
          </cell>
        </row>
        <row r="208">
          <cell r="A208" t="str">
            <v>韩竹林</v>
          </cell>
          <cell r="B208">
            <v>0</v>
          </cell>
          <cell r="C208">
            <v>0</v>
          </cell>
          <cell r="D208">
            <v>0</v>
          </cell>
        </row>
        <row r="209">
          <cell r="A209" t="str">
            <v>杭州金士顿实业有限公司</v>
          </cell>
          <cell r="B209">
            <v>0</v>
          </cell>
          <cell r="C209">
            <v>0</v>
          </cell>
          <cell r="D209">
            <v>0</v>
          </cell>
        </row>
        <row r="210">
          <cell r="A210" t="str">
            <v>杭州迈斯嘉电子科技有限公司</v>
          </cell>
          <cell r="B210">
            <v>0</v>
          </cell>
          <cell r="C210">
            <v>0</v>
          </cell>
          <cell r="D210">
            <v>0</v>
          </cell>
        </row>
        <row r="211">
          <cell r="A211" t="str">
            <v>杭州迈图贸易有限公司</v>
          </cell>
          <cell r="B211">
            <v>0</v>
          </cell>
          <cell r="C211">
            <v>0</v>
          </cell>
          <cell r="D211">
            <v>0</v>
          </cell>
        </row>
        <row r="212">
          <cell r="A212" t="str">
            <v>合肥光码商贸有限公司</v>
          </cell>
          <cell r="B212">
            <v>0</v>
          </cell>
          <cell r="C212">
            <v>0</v>
          </cell>
          <cell r="D212">
            <v>41192.5</v>
          </cell>
        </row>
        <row r="213">
          <cell r="A213" t="str">
            <v>合肥洁邦清洁设备有限公司</v>
          </cell>
          <cell r="B213">
            <v>0</v>
          </cell>
          <cell r="C213">
            <v>0</v>
          </cell>
          <cell r="D213">
            <v>0</v>
          </cell>
        </row>
        <row r="214">
          <cell r="A214" t="str">
            <v>何香存</v>
          </cell>
          <cell r="B214">
            <v>0</v>
          </cell>
          <cell r="C214">
            <v>0</v>
          </cell>
          <cell r="D214">
            <v>0</v>
          </cell>
        </row>
        <row r="215">
          <cell r="A215" t="str">
            <v>和和机械（张家港）有限公司</v>
          </cell>
          <cell r="B215">
            <v>0</v>
          </cell>
          <cell r="C215">
            <v>0</v>
          </cell>
          <cell r="D215">
            <v>0</v>
          </cell>
        </row>
        <row r="216">
          <cell r="A216" t="str">
            <v>河北安闻汽车零部件有限公司</v>
          </cell>
          <cell r="B216">
            <v>0</v>
          </cell>
          <cell r="C216">
            <v>0</v>
          </cell>
          <cell r="D216">
            <v>0</v>
          </cell>
        </row>
        <row r="217">
          <cell r="A217" t="str">
            <v>河北长河税务师事务所有限公司</v>
          </cell>
          <cell r="B217">
            <v>0</v>
          </cell>
          <cell r="C217">
            <v>0</v>
          </cell>
          <cell r="D217">
            <v>0</v>
          </cell>
        </row>
        <row r="218">
          <cell r="A218" t="str">
            <v>河北辰丰制管有限公司</v>
          </cell>
          <cell r="B218">
            <v>750000</v>
          </cell>
          <cell r="C218">
            <v>307809.4</v>
          </cell>
          <cell r="D218">
            <v>970967.72</v>
          </cell>
        </row>
        <row r="219">
          <cell r="A219" t="str">
            <v>河北宏广橡塑金属制品有限公司</v>
          </cell>
          <cell r="B219">
            <v>0</v>
          </cell>
          <cell r="C219">
            <v>0</v>
          </cell>
          <cell r="D219">
            <v>0</v>
          </cell>
        </row>
        <row r="220">
          <cell r="A220" t="str">
            <v>河北互通网络技术有限公司</v>
          </cell>
          <cell r="B220">
            <v>0</v>
          </cell>
          <cell r="C220">
            <v>0</v>
          </cell>
          <cell r="D220">
            <v>0</v>
          </cell>
        </row>
        <row r="221">
          <cell r="A221" t="str">
            <v>河北佳佰工程咨询有限公司</v>
          </cell>
          <cell r="B221">
            <v>0</v>
          </cell>
          <cell r="C221">
            <v>0</v>
          </cell>
          <cell r="D221">
            <v>0</v>
          </cell>
        </row>
        <row r="222">
          <cell r="A222" t="str">
            <v>河北聚福家用电器有限公司</v>
          </cell>
          <cell r="B222">
            <v>0</v>
          </cell>
          <cell r="C222">
            <v>0</v>
          </cell>
          <cell r="D222">
            <v>0</v>
          </cell>
        </row>
        <row r="223">
          <cell r="A223" t="str">
            <v>河北联庆五金制品有限公司</v>
          </cell>
          <cell r="B223">
            <v>113588.64</v>
          </cell>
          <cell r="C223">
            <v>123947.84</v>
          </cell>
          <cell r="D223">
            <v>93631.21</v>
          </cell>
        </row>
        <row r="224">
          <cell r="A224" t="str">
            <v>河北量子环境检测有限公司</v>
          </cell>
          <cell r="B224">
            <v>0</v>
          </cell>
          <cell r="C224">
            <v>0</v>
          </cell>
          <cell r="D224">
            <v>0</v>
          </cell>
        </row>
        <row r="225">
          <cell r="A225" t="str">
            <v>河北美杭电梯安装有限公司</v>
          </cell>
          <cell r="B225">
            <v>0</v>
          </cell>
          <cell r="C225">
            <v>0</v>
          </cell>
          <cell r="D225">
            <v>0</v>
          </cell>
        </row>
        <row r="226">
          <cell r="A226" t="str">
            <v>河北耐力驰地坪装饰工程有限公司</v>
          </cell>
          <cell r="B226">
            <v>12943</v>
          </cell>
          <cell r="C226">
            <v>0</v>
          </cell>
          <cell r="D226">
            <v>0</v>
          </cell>
        </row>
        <row r="227">
          <cell r="A227" t="str">
            <v>河北锐翰汽车零部件有限公司</v>
          </cell>
          <cell r="B227">
            <v>450000</v>
          </cell>
          <cell r="C227">
            <v>377213.75</v>
          </cell>
          <cell r="D227">
            <v>1560168.6</v>
          </cell>
        </row>
        <row r="228">
          <cell r="A228" t="str">
            <v>河北润辉化工有限公司</v>
          </cell>
          <cell r="B228">
            <v>0</v>
          </cell>
          <cell r="C228">
            <v>0</v>
          </cell>
          <cell r="D228">
            <v>0</v>
          </cell>
        </row>
        <row r="229">
          <cell r="A229" t="str">
            <v>河北森凯环保科技有限公司</v>
          </cell>
          <cell r="B229">
            <v>0</v>
          </cell>
          <cell r="C229">
            <v>0</v>
          </cell>
          <cell r="D229">
            <v>0</v>
          </cell>
        </row>
        <row r="230">
          <cell r="A230" t="str">
            <v>河北圣洁环境生物科技工程有限公司</v>
          </cell>
          <cell r="B230">
            <v>0</v>
          </cell>
          <cell r="C230">
            <v>0</v>
          </cell>
          <cell r="D230">
            <v>82800</v>
          </cell>
        </row>
        <row r="231">
          <cell r="A231" t="str">
            <v>河北盛德燃气有限公司</v>
          </cell>
          <cell r="B231">
            <v>0</v>
          </cell>
          <cell r="C231">
            <v>0</v>
          </cell>
          <cell r="D231">
            <v>1.2</v>
          </cell>
        </row>
        <row r="232">
          <cell r="A232" t="str">
            <v>河北双力起重机械有限公司</v>
          </cell>
          <cell r="B232">
            <v>0</v>
          </cell>
          <cell r="C232">
            <v>0</v>
          </cell>
          <cell r="D232">
            <v>17700</v>
          </cell>
        </row>
        <row r="233">
          <cell r="A233" t="str">
            <v>河北顺和职业卫生技术服务有限公司</v>
          </cell>
          <cell r="B233">
            <v>0</v>
          </cell>
          <cell r="C233">
            <v>0</v>
          </cell>
          <cell r="D233">
            <v>0</v>
          </cell>
        </row>
        <row r="234">
          <cell r="A234" t="str">
            <v>河北伟业聚氨酯泡绵有限公司</v>
          </cell>
          <cell r="B234">
            <v>0</v>
          </cell>
          <cell r="C234">
            <v>0</v>
          </cell>
          <cell r="D234">
            <v>0</v>
          </cell>
        </row>
        <row r="235">
          <cell r="A235" t="str">
            <v>河北新强力机械制造有限公司</v>
          </cell>
          <cell r="B235">
            <v>800000</v>
          </cell>
          <cell r="C235">
            <v>0</v>
          </cell>
          <cell r="D235">
            <v>4106238.14</v>
          </cell>
        </row>
        <row r="236">
          <cell r="A236" t="str">
            <v>河北新世泰机械有限公司</v>
          </cell>
          <cell r="B236">
            <v>0</v>
          </cell>
          <cell r="C236">
            <v>0</v>
          </cell>
          <cell r="D236">
            <v>0</v>
          </cell>
        </row>
        <row r="237">
          <cell r="A237" t="str">
            <v>河北艺能锅炉有限责任公司</v>
          </cell>
          <cell r="B237">
            <v>50000</v>
          </cell>
          <cell r="C237">
            <v>0</v>
          </cell>
          <cell r="D237">
            <v>0</v>
          </cell>
        </row>
        <row r="238">
          <cell r="A238" t="str">
            <v>河北媛皓建筑机械科技有限公司</v>
          </cell>
          <cell r="B238">
            <v>0</v>
          </cell>
          <cell r="C238">
            <v>0</v>
          </cell>
          <cell r="D238">
            <v>0</v>
          </cell>
        </row>
        <row r="239">
          <cell r="A239" t="str">
            <v>河北岳钢数控设备有限公司</v>
          </cell>
          <cell r="B239">
            <v>523000</v>
          </cell>
          <cell r="C239">
            <v>1522060.39</v>
          </cell>
          <cell r="D239">
            <v>0</v>
          </cell>
        </row>
        <row r="240">
          <cell r="A240" t="str">
            <v>河北泽沃钢管制造有限公司</v>
          </cell>
          <cell r="B240">
            <v>0</v>
          </cell>
          <cell r="C240">
            <v>0</v>
          </cell>
          <cell r="D240">
            <v>0</v>
          </cell>
        </row>
        <row r="241">
          <cell r="A241" t="str">
            <v>河北智友机电制造有限公司</v>
          </cell>
          <cell r="B241">
            <v>0</v>
          </cell>
          <cell r="C241">
            <v>0</v>
          </cell>
          <cell r="D241">
            <v>0</v>
          </cell>
        </row>
        <row r="242">
          <cell r="A242" t="str">
            <v>河间市祥龙崇光电缆厂</v>
          </cell>
          <cell r="B242">
            <v>0</v>
          </cell>
          <cell r="C242">
            <v>0</v>
          </cell>
          <cell r="D242">
            <v>0</v>
          </cell>
        </row>
        <row r="243">
          <cell r="A243" t="str">
            <v>河间市正邦橡胶制品有限公司</v>
          </cell>
          <cell r="B243">
            <v>0</v>
          </cell>
          <cell r="C243">
            <v>0</v>
          </cell>
          <cell r="D243">
            <v>0</v>
          </cell>
        </row>
        <row r="244">
          <cell r="A244" t="str">
            <v>鹤壁市天星电器厂</v>
          </cell>
          <cell r="B244">
            <v>0</v>
          </cell>
          <cell r="C244">
            <v>0</v>
          </cell>
          <cell r="D244">
            <v>0</v>
          </cell>
        </row>
        <row r="245">
          <cell r="A245" t="str">
            <v>鹤山市润源化工有限公司</v>
          </cell>
          <cell r="B245">
            <v>0</v>
          </cell>
          <cell r="C245">
            <v>0</v>
          </cell>
          <cell r="D245">
            <v>0</v>
          </cell>
        </row>
        <row r="246">
          <cell r="A246" t="str">
            <v>恒华包装材料销售有限公司</v>
          </cell>
          <cell r="B246">
            <v>0</v>
          </cell>
          <cell r="C246">
            <v>0</v>
          </cell>
          <cell r="D246">
            <v>0</v>
          </cell>
        </row>
        <row r="247">
          <cell r="A247" t="str">
            <v>衡水鑫智汽车零部件有限公司</v>
          </cell>
          <cell r="B247">
            <v>0</v>
          </cell>
          <cell r="C247">
            <v>0</v>
          </cell>
          <cell r="D247">
            <v>0</v>
          </cell>
        </row>
        <row r="248">
          <cell r="A248" t="str">
            <v>湖北航嘉麦格纳座椅系统有限公司</v>
          </cell>
          <cell r="B248">
            <v>0</v>
          </cell>
          <cell r="C248">
            <v>0</v>
          </cell>
          <cell r="D248">
            <v>0</v>
          </cell>
        </row>
        <row r="249">
          <cell r="A249" t="str">
            <v>湖北中航精机科技有限公司</v>
          </cell>
          <cell r="B249">
            <v>0</v>
          </cell>
          <cell r="C249">
            <v>0</v>
          </cell>
          <cell r="D249">
            <v>0</v>
          </cell>
        </row>
        <row r="250">
          <cell r="A250" t="str">
            <v>湖北钟祥市正宏玻璃制品厂</v>
          </cell>
          <cell r="B250">
            <v>0</v>
          </cell>
          <cell r="C250">
            <v>0</v>
          </cell>
          <cell r="D250">
            <v>0</v>
          </cell>
        </row>
        <row r="251">
          <cell r="A251" t="str">
            <v>湖南光华荣昌汽车部件有限公司</v>
          </cell>
          <cell r="B251">
            <v>0</v>
          </cell>
          <cell r="C251">
            <v>0</v>
          </cell>
          <cell r="D251">
            <v>0</v>
          </cell>
        </row>
        <row r="252">
          <cell r="A252" t="str">
            <v>湖南精正设备制造有限公司</v>
          </cell>
          <cell r="B252">
            <v>0</v>
          </cell>
          <cell r="C252">
            <v>0</v>
          </cell>
          <cell r="D252">
            <v>948500</v>
          </cell>
        </row>
        <row r="253">
          <cell r="A253" t="str">
            <v>华瑞志勤科技发展（北京）有限公司</v>
          </cell>
          <cell r="B253">
            <v>0</v>
          </cell>
          <cell r="C253">
            <v>0</v>
          </cell>
          <cell r="D253">
            <v>37000</v>
          </cell>
        </row>
        <row r="254">
          <cell r="A254" t="str">
            <v>淮铭机械设备(上海)有限公司</v>
          </cell>
          <cell r="B254">
            <v>0</v>
          </cell>
          <cell r="C254">
            <v>0</v>
          </cell>
          <cell r="D254">
            <v>0</v>
          </cell>
        </row>
        <row r="255">
          <cell r="A255" t="str">
            <v>黄骅骅泰机动车配件有限公司</v>
          </cell>
          <cell r="B255">
            <v>0</v>
          </cell>
          <cell r="C255">
            <v>0</v>
          </cell>
          <cell r="D255">
            <v>0</v>
          </cell>
        </row>
        <row r="256">
          <cell r="A256" t="str">
            <v>黄骅市邦博五金电料经销部</v>
          </cell>
          <cell r="B256">
            <v>0</v>
          </cell>
          <cell r="C256">
            <v>0</v>
          </cell>
          <cell r="D256">
            <v>0</v>
          </cell>
        </row>
        <row r="257">
          <cell r="A257" t="str">
            <v>黄骅市宝丽洁家政有限公司</v>
          </cell>
          <cell r="B257">
            <v>0</v>
          </cell>
          <cell r="C257">
            <v>0</v>
          </cell>
          <cell r="D257">
            <v>0</v>
          </cell>
        </row>
        <row r="258">
          <cell r="A258" t="str">
            <v>黄骅市保俊成复合彩印厂</v>
          </cell>
          <cell r="B258">
            <v>0</v>
          </cell>
          <cell r="C258">
            <v>1283.54</v>
          </cell>
          <cell r="D258">
            <v>29568.13</v>
          </cell>
        </row>
        <row r="259">
          <cell r="A259" t="str">
            <v>黄骅市斌盛包装制品厂</v>
          </cell>
          <cell r="B259">
            <v>0</v>
          </cell>
          <cell r="C259">
            <v>0</v>
          </cell>
          <cell r="D259">
            <v>0</v>
          </cell>
        </row>
        <row r="260">
          <cell r="A260" t="str">
            <v>黄骅市滨海车业有限公司</v>
          </cell>
          <cell r="B260">
            <v>0</v>
          </cell>
          <cell r="C260">
            <v>0</v>
          </cell>
          <cell r="D260">
            <v>3500</v>
          </cell>
        </row>
        <row r="261">
          <cell r="A261" t="str">
            <v>黄骅市博杰汽车部件有限公司</v>
          </cell>
          <cell r="B261">
            <v>120000</v>
          </cell>
          <cell r="C261">
            <v>0</v>
          </cell>
          <cell r="D261">
            <v>110289.99</v>
          </cell>
        </row>
        <row r="262">
          <cell r="A262" t="str">
            <v>黄骅市渤海汽车摩托车配件有限公司</v>
          </cell>
          <cell r="B262">
            <v>0</v>
          </cell>
          <cell r="C262">
            <v>0</v>
          </cell>
          <cell r="D262">
            <v>0</v>
          </cell>
        </row>
        <row r="263">
          <cell r="A263" t="str">
            <v>黄骅市渤海庆丰车辆灯镜厂</v>
          </cell>
          <cell r="B263">
            <v>90000</v>
          </cell>
          <cell r="C263">
            <v>57754.65</v>
          </cell>
          <cell r="D263">
            <v>429968.51</v>
          </cell>
        </row>
        <row r="264">
          <cell r="A264" t="str">
            <v>黄骅市昌城网子经销部</v>
          </cell>
          <cell r="B264">
            <v>0</v>
          </cell>
          <cell r="C264">
            <v>0</v>
          </cell>
          <cell r="D264">
            <v>0</v>
          </cell>
        </row>
        <row r="265">
          <cell r="A265" t="str">
            <v>黄骅市长江塑料制品有限公司</v>
          </cell>
          <cell r="B265">
            <v>0</v>
          </cell>
          <cell r="C265">
            <v>0</v>
          </cell>
          <cell r="D265">
            <v>0</v>
          </cell>
        </row>
        <row r="266">
          <cell r="A266" t="str">
            <v>黄骅市长生汽车灯镜有限公司</v>
          </cell>
          <cell r="B266">
            <v>90000</v>
          </cell>
          <cell r="C266">
            <v>326330.53</v>
          </cell>
          <cell r="D266">
            <v>1864831.82</v>
          </cell>
        </row>
        <row r="267">
          <cell r="A267" t="str">
            <v>黄骅市常郭镇街西纸箱厂</v>
          </cell>
          <cell r="B267">
            <v>180000</v>
          </cell>
          <cell r="C267">
            <v>72231.45</v>
          </cell>
          <cell r="D267">
            <v>1203797.31</v>
          </cell>
        </row>
        <row r="268">
          <cell r="A268" t="str">
            <v>黄骅市常郭镇前尚永胜五金加工厂</v>
          </cell>
          <cell r="B268">
            <v>0</v>
          </cell>
          <cell r="C268">
            <v>0</v>
          </cell>
          <cell r="D268">
            <v>0</v>
          </cell>
        </row>
        <row r="269">
          <cell r="A269" t="str">
            <v>黄骅市超飞商贸有限公司有限公司</v>
          </cell>
          <cell r="B269">
            <v>0</v>
          </cell>
          <cell r="C269">
            <v>0</v>
          </cell>
          <cell r="D269">
            <v>0</v>
          </cell>
        </row>
        <row r="270">
          <cell r="A270" t="str">
            <v>黄骅市成卓汽车部件厂</v>
          </cell>
          <cell r="B270">
            <v>350000</v>
          </cell>
          <cell r="C270">
            <v>177068.9</v>
          </cell>
          <cell r="D270">
            <v>1683846.38</v>
          </cell>
        </row>
        <row r="271">
          <cell r="A271" t="str">
            <v>黄骅市达旺机动车配件厂</v>
          </cell>
          <cell r="B271">
            <v>0</v>
          </cell>
          <cell r="C271">
            <v>0</v>
          </cell>
          <cell r="D271">
            <v>0</v>
          </cell>
        </row>
        <row r="272">
          <cell r="A272" t="str">
            <v>黄骅市大新模具有限公司</v>
          </cell>
          <cell r="B272">
            <v>0</v>
          </cell>
          <cell r="C272">
            <v>0</v>
          </cell>
          <cell r="D272">
            <v>0</v>
          </cell>
        </row>
        <row r="273">
          <cell r="A273" t="str">
            <v>黄骅市弹簧厂</v>
          </cell>
          <cell r="B273">
            <v>0</v>
          </cell>
          <cell r="C273">
            <v>0</v>
          </cell>
          <cell r="D273">
            <v>0</v>
          </cell>
        </row>
        <row r="274">
          <cell r="A274" t="str">
            <v>黄骅市德信成家具经销部</v>
          </cell>
          <cell r="B274">
            <v>0</v>
          </cell>
          <cell r="C274">
            <v>0</v>
          </cell>
          <cell r="D274">
            <v>0</v>
          </cell>
        </row>
        <row r="275">
          <cell r="A275" t="str">
            <v>黄骅市鼎盾电力工程有限公司</v>
          </cell>
          <cell r="B275">
            <v>0</v>
          </cell>
          <cell r="C275">
            <v>0</v>
          </cell>
          <cell r="D275">
            <v>0</v>
          </cell>
        </row>
        <row r="276">
          <cell r="A276" t="str">
            <v>黄骅市方达泵阀有限公司</v>
          </cell>
          <cell r="B276">
            <v>0</v>
          </cell>
          <cell r="C276">
            <v>0</v>
          </cell>
          <cell r="D276">
            <v>0</v>
          </cell>
        </row>
        <row r="277">
          <cell r="A277" t="str">
            <v>黄骅市方正五金机电责任有限公司</v>
          </cell>
          <cell r="B277">
            <v>0</v>
          </cell>
          <cell r="C277">
            <v>0</v>
          </cell>
          <cell r="D277">
            <v>0</v>
          </cell>
        </row>
        <row r="278">
          <cell r="A278" t="str">
            <v>黄骅市飞扬办公用品经营部</v>
          </cell>
          <cell r="B278">
            <v>0</v>
          </cell>
          <cell r="C278">
            <v>0</v>
          </cell>
          <cell r="D278">
            <v>0</v>
          </cell>
        </row>
        <row r="279">
          <cell r="A279" t="str">
            <v>黄骅市富康静电喷涂厂</v>
          </cell>
          <cell r="B279">
            <v>0</v>
          </cell>
          <cell r="C279">
            <v>0</v>
          </cell>
          <cell r="D279">
            <v>0</v>
          </cell>
        </row>
        <row r="280">
          <cell r="A280" t="str">
            <v>黄骅市富丽达不锈钢制品经销处</v>
          </cell>
          <cell r="B280">
            <v>0</v>
          </cell>
          <cell r="C280">
            <v>0</v>
          </cell>
          <cell r="D280">
            <v>0</v>
          </cell>
        </row>
        <row r="281">
          <cell r="A281" t="str">
            <v>黄骅市港骅工业气体销售有限公司</v>
          </cell>
          <cell r="B281">
            <v>0</v>
          </cell>
          <cell r="C281">
            <v>0</v>
          </cell>
          <cell r="D281">
            <v>0</v>
          </cell>
        </row>
        <row r="282">
          <cell r="A282" t="str">
            <v>黄骅市功盛五金电料经销处</v>
          </cell>
          <cell r="B282">
            <v>0</v>
          </cell>
          <cell r="C282">
            <v>0</v>
          </cell>
          <cell r="D282">
            <v>0</v>
          </cell>
        </row>
        <row r="283">
          <cell r="A283" t="str">
            <v>黄骅市固诺装饰工程有限公司</v>
          </cell>
          <cell r="B283">
            <v>0</v>
          </cell>
          <cell r="C283">
            <v>0</v>
          </cell>
          <cell r="D283">
            <v>9435.25</v>
          </cell>
        </row>
        <row r="284">
          <cell r="A284" t="str">
            <v>黄骅市故县国福汽车灯厂</v>
          </cell>
          <cell r="B284">
            <v>0</v>
          </cell>
          <cell r="C284">
            <v>0</v>
          </cell>
          <cell r="D284">
            <v>0</v>
          </cell>
        </row>
        <row r="285">
          <cell r="A285" t="str">
            <v>黄骅市光大橡胶制品厂</v>
          </cell>
          <cell r="B285">
            <v>0</v>
          </cell>
          <cell r="C285">
            <v>0</v>
          </cell>
          <cell r="D285">
            <v>0</v>
          </cell>
        </row>
        <row r="286">
          <cell r="A286" t="str">
            <v>黄骅市广际五金产品销售有限公司</v>
          </cell>
          <cell r="B286">
            <v>0</v>
          </cell>
          <cell r="C286">
            <v>0</v>
          </cell>
          <cell r="D286">
            <v>0</v>
          </cell>
        </row>
        <row r="287">
          <cell r="A287" t="str">
            <v>黄骅市广亿汽车部件有限公司</v>
          </cell>
          <cell r="B287">
            <v>1400000</v>
          </cell>
          <cell r="C287">
            <v>210215.11</v>
          </cell>
          <cell r="D287">
            <v>4351997.25</v>
          </cell>
        </row>
        <row r="288">
          <cell r="A288" t="str">
            <v>黄骅市国贸物资有限公司</v>
          </cell>
          <cell r="B288">
            <v>0</v>
          </cell>
          <cell r="C288">
            <v>0</v>
          </cell>
          <cell r="D288">
            <v>0</v>
          </cell>
        </row>
        <row r="289">
          <cell r="A289" t="str">
            <v>黄骅市海举五金加工厂</v>
          </cell>
          <cell r="B289">
            <v>0</v>
          </cell>
          <cell r="C289">
            <v>0</v>
          </cell>
          <cell r="D289">
            <v>0</v>
          </cell>
        </row>
        <row r="290">
          <cell r="A290" t="str">
            <v>黄骅市海良汽车摩托车配件有限公司</v>
          </cell>
          <cell r="B290">
            <v>0</v>
          </cell>
          <cell r="C290">
            <v>0</v>
          </cell>
          <cell r="D290">
            <v>0</v>
          </cell>
        </row>
        <row r="291">
          <cell r="A291" t="str">
            <v>黄骅市海生五金模具厂</v>
          </cell>
          <cell r="B291">
            <v>0</v>
          </cell>
          <cell r="C291">
            <v>0</v>
          </cell>
          <cell r="D291">
            <v>0</v>
          </cell>
        </row>
        <row r="292">
          <cell r="A292" t="str">
            <v>黄骅市海泰祥钢材贸易有限公司</v>
          </cell>
          <cell r="B292">
            <v>0</v>
          </cell>
          <cell r="C292">
            <v>0</v>
          </cell>
          <cell r="D292">
            <v>0</v>
          </cell>
        </row>
        <row r="293">
          <cell r="A293" t="str">
            <v>黄骅市氦普气体销售有限公司</v>
          </cell>
          <cell r="B293">
            <v>0</v>
          </cell>
          <cell r="C293">
            <v>0</v>
          </cell>
          <cell r="D293">
            <v>352615</v>
          </cell>
        </row>
        <row r="294">
          <cell r="A294" t="str">
            <v>黄骅市和顺易大件吊装搬运有限公司</v>
          </cell>
          <cell r="B294">
            <v>0</v>
          </cell>
          <cell r="C294">
            <v>40000</v>
          </cell>
          <cell r="D294">
            <v>40000</v>
          </cell>
        </row>
        <row r="295">
          <cell r="A295" t="str">
            <v>黄骅市恒基五金轴承工具有限公司</v>
          </cell>
          <cell r="B295">
            <v>0</v>
          </cell>
          <cell r="C295">
            <v>0</v>
          </cell>
          <cell r="D295">
            <v>0</v>
          </cell>
        </row>
        <row r="296">
          <cell r="A296" t="str">
            <v>黄骅市恒茂土产门市部</v>
          </cell>
          <cell r="B296">
            <v>0</v>
          </cell>
          <cell r="C296">
            <v>0</v>
          </cell>
          <cell r="D296">
            <v>0</v>
          </cell>
        </row>
        <row r="297">
          <cell r="A297" t="str">
            <v>黄骅市恒顺昌商贸有限公司</v>
          </cell>
          <cell r="B297">
            <v>0</v>
          </cell>
          <cell r="C297">
            <v>0</v>
          </cell>
          <cell r="D297">
            <v>0</v>
          </cell>
        </row>
        <row r="298">
          <cell r="A298" t="str">
            <v>黄骅市恒通土产劳保门市部</v>
          </cell>
          <cell r="B298">
            <v>0</v>
          </cell>
          <cell r="C298">
            <v>0</v>
          </cell>
          <cell r="D298">
            <v>0</v>
          </cell>
        </row>
        <row r="299">
          <cell r="A299" t="str">
            <v>黄骅市恒伟五金制品有限公司</v>
          </cell>
          <cell r="B299">
            <v>447212</v>
          </cell>
          <cell r="C299">
            <v>287154.53</v>
          </cell>
          <cell r="D299">
            <v>2273901.08</v>
          </cell>
        </row>
        <row r="300">
          <cell r="A300" t="str">
            <v>黄骅市衡星计量仪器有限公司</v>
          </cell>
          <cell r="B300">
            <v>0</v>
          </cell>
          <cell r="C300">
            <v>0</v>
          </cell>
          <cell r="D300">
            <v>0</v>
          </cell>
        </row>
        <row r="301">
          <cell r="A301" t="str">
            <v>黄骅市宏成五金制品有限公司</v>
          </cell>
          <cell r="B301">
            <v>0</v>
          </cell>
          <cell r="C301">
            <v>0</v>
          </cell>
          <cell r="D301">
            <v>0</v>
          </cell>
        </row>
        <row r="302">
          <cell r="A302" t="str">
            <v>黄骅市宏辉运输队</v>
          </cell>
          <cell r="B302">
            <v>0</v>
          </cell>
          <cell r="C302">
            <v>0</v>
          </cell>
          <cell r="D302">
            <v>0</v>
          </cell>
        </row>
        <row r="303">
          <cell r="A303" t="str">
            <v>黄骅市宏顺模具厂</v>
          </cell>
          <cell r="B303">
            <v>0</v>
          </cell>
          <cell r="C303">
            <v>0</v>
          </cell>
          <cell r="D303">
            <v>0</v>
          </cell>
        </row>
        <row r="304">
          <cell r="A304" t="str">
            <v>黄骅市宏信五金交电门市部</v>
          </cell>
          <cell r="B304">
            <v>50000</v>
          </cell>
          <cell r="C304">
            <v>0</v>
          </cell>
          <cell r="D304">
            <v>43541</v>
          </cell>
        </row>
        <row r="305">
          <cell r="A305" t="str">
            <v>黄骅市洪赫五金加工厂</v>
          </cell>
          <cell r="B305">
            <v>0</v>
          </cell>
          <cell r="C305">
            <v>0</v>
          </cell>
          <cell r="D305">
            <v>0</v>
          </cell>
        </row>
        <row r="306">
          <cell r="A306" t="str">
            <v>黄骅市鸿鹄线缆经销部</v>
          </cell>
          <cell r="B306">
            <v>0</v>
          </cell>
          <cell r="C306">
            <v>0</v>
          </cell>
          <cell r="D306">
            <v>0</v>
          </cell>
        </row>
        <row r="307">
          <cell r="A307" t="str">
            <v>黄骅市鸿基盛业地面工程有限公司</v>
          </cell>
          <cell r="B307">
            <v>0</v>
          </cell>
          <cell r="C307">
            <v>0</v>
          </cell>
          <cell r="D307">
            <v>2660</v>
          </cell>
        </row>
        <row r="308">
          <cell r="A308" t="str">
            <v>黄骅市鸿晟伟业电脑经营部</v>
          </cell>
          <cell r="B308">
            <v>0</v>
          </cell>
          <cell r="C308">
            <v>0</v>
          </cell>
          <cell r="D308">
            <v>0</v>
          </cell>
        </row>
        <row r="309">
          <cell r="A309" t="str">
            <v>黄骅市厚德建筑队</v>
          </cell>
          <cell r="B309">
            <v>0</v>
          </cell>
          <cell r="C309">
            <v>0</v>
          </cell>
          <cell r="D309">
            <v>155020</v>
          </cell>
        </row>
        <row r="310">
          <cell r="A310" t="str">
            <v>黄骅市辉煌建筑队</v>
          </cell>
          <cell r="B310">
            <v>0</v>
          </cell>
          <cell r="C310">
            <v>110000</v>
          </cell>
          <cell r="D310">
            <v>250224</v>
          </cell>
        </row>
        <row r="311">
          <cell r="A311" t="str">
            <v>黄骅市汇铭汽车部件有限公司</v>
          </cell>
          <cell r="B311">
            <v>450000</v>
          </cell>
          <cell r="C311">
            <v>218466.5</v>
          </cell>
          <cell r="D311">
            <v>1665355.93</v>
          </cell>
        </row>
        <row r="312">
          <cell r="A312" t="str">
            <v>黄骅市慧勤五金电料经销处</v>
          </cell>
          <cell r="B312">
            <v>10971</v>
          </cell>
          <cell r="C312">
            <v>0</v>
          </cell>
          <cell r="D312">
            <v>0</v>
          </cell>
        </row>
        <row r="313">
          <cell r="A313" t="str">
            <v>黄骅市慧仁纵横电脑销售有限公司</v>
          </cell>
          <cell r="B313">
            <v>13248.7</v>
          </cell>
          <cell r="C313">
            <v>0</v>
          </cell>
          <cell r="D313">
            <v>0</v>
          </cell>
        </row>
        <row r="314">
          <cell r="A314" t="str">
            <v>黄骅市佳佰工程咨询有限公司</v>
          </cell>
          <cell r="B314">
            <v>0</v>
          </cell>
          <cell r="C314">
            <v>0</v>
          </cell>
          <cell r="D314">
            <v>0</v>
          </cell>
        </row>
        <row r="315">
          <cell r="A315" t="str">
            <v>黄骅市佳祥五金制品有限公司</v>
          </cell>
          <cell r="B315">
            <v>180000</v>
          </cell>
          <cell r="C315">
            <v>56365.74</v>
          </cell>
          <cell r="D315">
            <v>484520.6</v>
          </cell>
        </row>
        <row r="316">
          <cell r="A316" t="str">
            <v>黄骅市建昌塑料制品有限公司</v>
          </cell>
          <cell r="B316">
            <v>250000</v>
          </cell>
          <cell r="C316">
            <v>103669.77</v>
          </cell>
          <cell r="D316">
            <v>531500.22</v>
          </cell>
        </row>
        <row r="317">
          <cell r="A317" t="str">
            <v>黄骅市建华液压配件销售服务中心</v>
          </cell>
          <cell r="B317">
            <v>0</v>
          </cell>
          <cell r="C317">
            <v>0</v>
          </cell>
          <cell r="D317">
            <v>0</v>
          </cell>
        </row>
        <row r="318">
          <cell r="A318" t="str">
            <v>黄骅市建伟五金制品厂</v>
          </cell>
          <cell r="B318">
            <v>0</v>
          </cell>
          <cell r="C318">
            <v>0</v>
          </cell>
          <cell r="D318">
            <v>0</v>
          </cell>
        </row>
        <row r="319">
          <cell r="A319" t="str">
            <v>黄骅市洁霸汽车零部件制造有限公司</v>
          </cell>
          <cell r="B319">
            <v>0</v>
          </cell>
          <cell r="C319">
            <v>0</v>
          </cell>
          <cell r="D319">
            <v>125233.7</v>
          </cell>
        </row>
        <row r="320">
          <cell r="A320" t="str">
            <v>黄骅市金宝成钢材经销有限公司</v>
          </cell>
          <cell r="B320">
            <v>0</v>
          </cell>
          <cell r="C320">
            <v>0</v>
          </cell>
          <cell r="D320">
            <v>0</v>
          </cell>
        </row>
        <row r="321">
          <cell r="A321" t="str">
            <v>黄骅市金城五金制品厂</v>
          </cell>
          <cell r="B321">
            <v>0</v>
          </cell>
          <cell r="C321">
            <v>0</v>
          </cell>
          <cell r="D321">
            <v>0</v>
          </cell>
        </row>
        <row r="322">
          <cell r="A322" t="str">
            <v>黄骅市金华保温材料有限公司</v>
          </cell>
          <cell r="B322">
            <v>0</v>
          </cell>
          <cell r="C322">
            <v>0</v>
          </cell>
          <cell r="D322">
            <v>0</v>
          </cell>
        </row>
        <row r="323">
          <cell r="A323" t="str">
            <v>黄骅市金月五金制品厂</v>
          </cell>
          <cell r="B323">
            <v>0</v>
          </cell>
          <cell r="C323">
            <v>0</v>
          </cell>
          <cell r="D323">
            <v>0</v>
          </cell>
        </row>
        <row r="324">
          <cell r="A324" t="str">
            <v>黄骅市津华汽车部件有限公司</v>
          </cell>
          <cell r="B324">
            <v>122400</v>
          </cell>
          <cell r="C324">
            <v>84256.81</v>
          </cell>
          <cell r="D324">
            <v>761113.79</v>
          </cell>
        </row>
        <row r="325">
          <cell r="A325" t="str">
            <v>黄骅市锦绣制衣部</v>
          </cell>
          <cell r="B325">
            <v>0</v>
          </cell>
          <cell r="C325">
            <v>0</v>
          </cell>
          <cell r="D325">
            <v>0</v>
          </cell>
        </row>
        <row r="326">
          <cell r="A326" t="str">
            <v>黄骅市京港机电设备有限公司</v>
          </cell>
          <cell r="B326">
            <v>607051.51</v>
          </cell>
          <cell r="C326">
            <v>113485.57</v>
          </cell>
          <cell r="D326">
            <v>1445476.51</v>
          </cell>
        </row>
        <row r="327">
          <cell r="A327" t="str">
            <v>黄骅市久峰五金制品有限公司</v>
          </cell>
          <cell r="B327">
            <v>0</v>
          </cell>
          <cell r="C327">
            <v>0</v>
          </cell>
          <cell r="D327">
            <v>14122.31</v>
          </cell>
        </row>
        <row r="328">
          <cell r="A328" t="str">
            <v>黄骅市俊隆五金包装有限公司</v>
          </cell>
          <cell r="B328">
            <v>90000</v>
          </cell>
          <cell r="C328">
            <v>0</v>
          </cell>
          <cell r="D328">
            <v>138379.43</v>
          </cell>
        </row>
        <row r="329">
          <cell r="A329" t="str">
            <v>黄骅市俊有塑染经销处</v>
          </cell>
          <cell r="B329">
            <v>1500</v>
          </cell>
          <cell r="C329">
            <v>1500</v>
          </cell>
          <cell r="D329">
            <v>0</v>
          </cell>
        </row>
        <row r="330">
          <cell r="A330" t="str">
            <v>黄骅市凯翔车业有限公司</v>
          </cell>
          <cell r="B330">
            <v>0</v>
          </cell>
          <cell r="C330">
            <v>0</v>
          </cell>
          <cell r="D330">
            <v>0</v>
          </cell>
        </row>
        <row r="331">
          <cell r="A331" t="str">
            <v>黄骅市康宁街光华化工门市部</v>
          </cell>
          <cell r="B331">
            <v>0</v>
          </cell>
          <cell r="C331">
            <v>0</v>
          </cell>
          <cell r="D331">
            <v>6240</v>
          </cell>
        </row>
        <row r="332">
          <cell r="A332" t="str">
            <v>黄骅市科友汇商贸有限公司</v>
          </cell>
          <cell r="B332">
            <v>0</v>
          </cell>
          <cell r="C332">
            <v>0</v>
          </cell>
          <cell r="D332">
            <v>0</v>
          </cell>
        </row>
        <row r="333">
          <cell r="A333" t="str">
            <v>黄骅市联视电子科技有限公司</v>
          </cell>
          <cell r="B333">
            <v>0</v>
          </cell>
          <cell r="C333">
            <v>0</v>
          </cell>
          <cell r="D333">
            <v>13800</v>
          </cell>
        </row>
        <row r="334">
          <cell r="A334" t="str">
            <v>黄骅市龙腾五金机电门市部</v>
          </cell>
          <cell r="B334">
            <v>0</v>
          </cell>
          <cell r="C334">
            <v>0</v>
          </cell>
          <cell r="D334">
            <v>0</v>
          </cell>
        </row>
        <row r="335">
          <cell r="A335" t="str">
            <v>黄骅市隆盛达车业有限公司</v>
          </cell>
          <cell r="B335">
            <v>0</v>
          </cell>
          <cell r="C335">
            <v>0</v>
          </cell>
          <cell r="D335">
            <v>0</v>
          </cell>
        </row>
        <row r="336">
          <cell r="A336" t="str">
            <v>黄骅市隆鑫五金制品有限公司</v>
          </cell>
          <cell r="B336">
            <v>0</v>
          </cell>
          <cell r="C336">
            <v>1384</v>
          </cell>
          <cell r="D336">
            <v>143496</v>
          </cell>
        </row>
        <row r="337">
          <cell r="A337" t="str">
            <v>黄骅市美家隆商贸有限公司</v>
          </cell>
          <cell r="B337">
            <v>0</v>
          </cell>
          <cell r="C337">
            <v>0</v>
          </cell>
          <cell r="D337">
            <v>0</v>
          </cell>
        </row>
        <row r="338">
          <cell r="A338" t="str">
            <v>黄骅市明昶电料门市部</v>
          </cell>
          <cell r="B338">
            <v>0</v>
          </cell>
          <cell r="C338">
            <v>0</v>
          </cell>
          <cell r="D338">
            <v>0</v>
          </cell>
        </row>
        <row r="339">
          <cell r="A339" t="str">
            <v>黄骅市宁鑫商贸有限公司</v>
          </cell>
          <cell r="B339">
            <v>0</v>
          </cell>
          <cell r="C339">
            <v>0</v>
          </cell>
          <cell r="D339">
            <v>16470.66</v>
          </cell>
        </row>
        <row r="340">
          <cell r="A340" t="str">
            <v>黄骅市齐西纺织五金配件厂</v>
          </cell>
          <cell r="B340">
            <v>0</v>
          </cell>
          <cell r="C340">
            <v>0</v>
          </cell>
          <cell r="D340">
            <v>4270.66</v>
          </cell>
        </row>
        <row r="341">
          <cell r="A341" t="str">
            <v>黄骅市乾泰祥五金制品厂</v>
          </cell>
          <cell r="B341">
            <v>0</v>
          </cell>
          <cell r="C341">
            <v>0</v>
          </cell>
          <cell r="D341">
            <v>0</v>
          </cell>
        </row>
        <row r="342">
          <cell r="A342" t="str">
            <v>黄骅市庆华机动车配件有限公司</v>
          </cell>
          <cell r="B342">
            <v>0</v>
          </cell>
          <cell r="C342">
            <v>0</v>
          </cell>
          <cell r="D342">
            <v>0</v>
          </cell>
        </row>
        <row r="343">
          <cell r="A343" t="str">
            <v>黄骅市庆军五金制品有限公司</v>
          </cell>
          <cell r="B343">
            <v>0</v>
          </cell>
          <cell r="C343">
            <v>0</v>
          </cell>
          <cell r="D343">
            <v>0</v>
          </cell>
        </row>
        <row r="344">
          <cell r="A344" t="str">
            <v>黄骅市荣邦汽车部件有限公司</v>
          </cell>
          <cell r="B344">
            <v>0</v>
          </cell>
          <cell r="C344">
            <v>0</v>
          </cell>
          <cell r="D344">
            <v>30000</v>
          </cell>
        </row>
        <row r="345">
          <cell r="A345" t="str">
            <v>黄骅市荣达工业气体销售有限公司</v>
          </cell>
          <cell r="B345">
            <v>0</v>
          </cell>
          <cell r="C345">
            <v>0</v>
          </cell>
          <cell r="D345">
            <v>0</v>
          </cell>
        </row>
        <row r="346">
          <cell r="A346" t="str">
            <v>黄骅市荣丰塑料模具有限公司</v>
          </cell>
          <cell r="B346">
            <v>0</v>
          </cell>
          <cell r="C346">
            <v>0</v>
          </cell>
          <cell r="D346">
            <v>0</v>
          </cell>
        </row>
        <row r="347">
          <cell r="A347" t="str">
            <v>黄骅市瑞达塑料模具有限公司</v>
          </cell>
          <cell r="B347">
            <v>0</v>
          </cell>
          <cell r="C347">
            <v>0</v>
          </cell>
          <cell r="D347">
            <v>0</v>
          </cell>
        </row>
        <row r="348">
          <cell r="A348" t="str">
            <v>黄骅市瑞丰五金制品有限公司</v>
          </cell>
          <cell r="B348">
            <v>120000</v>
          </cell>
          <cell r="C348">
            <v>28250.06</v>
          </cell>
          <cell r="D348">
            <v>470339.85</v>
          </cell>
        </row>
        <row r="349">
          <cell r="A349" t="str">
            <v>黄骅市三江商贸有限公司</v>
          </cell>
          <cell r="B349">
            <v>0</v>
          </cell>
          <cell r="C349">
            <v>0</v>
          </cell>
          <cell r="D349">
            <v>0</v>
          </cell>
        </row>
        <row r="350">
          <cell r="A350" t="str">
            <v>黄骅市三姐五金经销部</v>
          </cell>
          <cell r="B350">
            <v>3680</v>
          </cell>
          <cell r="C350">
            <v>3680</v>
          </cell>
          <cell r="D350">
            <v>0</v>
          </cell>
        </row>
        <row r="351">
          <cell r="A351" t="str">
            <v>黄骅市三星电脑科技有限公司</v>
          </cell>
          <cell r="B351">
            <v>0</v>
          </cell>
          <cell r="C351">
            <v>0</v>
          </cell>
          <cell r="D351">
            <v>0</v>
          </cell>
        </row>
        <row r="352">
          <cell r="A352" t="str">
            <v>黄骅市神农百草堂药品连锁有限公司</v>
          </cell>
          <cell r="B352">
            <v>0</v>
          </cell>
          <cell r="C352">
            <v>0</v>
          </cell>
          <cell r="D352">
            <v>0</v>
          </cell>
        </row>
        <row r="353">
          <cell r="A353" t="str">
            <v>黄骅市盛发五金制品有限公司</v>
          </cell>
          <cell r="B353">
            <v>0</v>
          </cell>
          <cell r="C353">
            <v>0</v>
          </cell>
          <cell r="D353">
            <v>0</v>
          </cell>
        </row>
        <row r="354">
          <cell r="A354" t="str">
            <v>黄骅市盛荣汽车零部件制造有限公司</v>
          </cell>
          <cell r="B354">
            <v>0</v>
          </cell>
          <cell r="C354">
            <v>0</v>
          </cell>
          <cell r="D354">
            <v>23941.4</v>
          </cell>
        </row>
        <row r="355">
          <cell r="A355" t="str">
            <v>黄骅市盛泰五金制品厂</v>
          </cell>
          <cell r="B355">
            <v>0</v>
          </cell>
          <cell r="C355">
            <v>0</v>
          </cell>
          <cell r="D355">
            <v>0</v>
          </cell>
        </row>
        <row r="356">
          <cell r="A356" t="str">
            <v>黄骅市石港路兆荣装饰家园</v>
          </cell>
          <cell r="B356">
            <v>0</v>
          </cell>
          <cell r="C356">
            <v>0</v>
          </cell>
          <cell r="D356">
            <v>0</v>
          </cell>
        </row>
        <row r="357">
          <cell r="A357" t="str">
            <v>黄骅市双得金属制品销售有限公司</v>
          </cell>
          <cell r="B357">
            <v>44928</v>
          </cell>
          <cell r="C357">
            <v>0</v>
          </cell>
          <cell r="D357">
            <v>0</v>
          </cell>
        </row>
        <row r="358">
          <cell r="A358" t="str">
            <v>黄骅市顺驰车业配件有限公司</v>
          </cell>
          <cell r="B358">
            <v>0</v>
          </cell>
          <cell r="C358">
            <v>0</v>
          </cell>
          <cell r="D358">
            <v>0</v>
          </cell>
        </row>
        <row r="359">
          <cell r="A359" t="str">
            <v>黄骅市四通模具厂</v>
          </cell>
          <cell r="B359">
            <v>0</v>
          </cell>
          <cell r="C359">
            <v>0</v>
          </cell>
          <cell r="D359">
            <v>0</v>
          </cell>
        </row>
        <row r="360">
          <cell r="A360" t="str">
            <v>黄骅市泰坤五金机电经销部</v>
          </cell>
          <cell r="B360">
            <v>0</v>
          </cell>
          <cell r="C360">
            <v>0</v>
          </cell>
          <cell r="D360">
            <v>0</v>
          </cell>
        </row>
        <row r="361">
          <cell r="A361" t="str">
            <v>黄骅市泰行汽车配件厂</v>
          </cell>
          <cell r="B361">
            <v>120000</v>
          </cell>
          <cell r="C361">
            <v>0</v>
          </cell>
          <cell r="D361">
            <v>425161.6</v>
          </cell>
        </row>
        <row r="362">
          <cell r="A362" t="str">
            <v>黄骅市唐氏焊割设备经销处</v>
          </cell>
          <cell r="B362">
            <v>0</v>
          </cell>
          <cell r="C362">
            <v>0</v>
          </cell>
          <cell r="D362">
            <v>0</v>
          </cell>
        </row>
        <row r="363">
          <cell r="A363" t="str">
            <v>黄骅市天丰汽车配件有限公司</v>
          </cell>
          <cell r="B363">
            <v>500000</v>
          </cell>
          <cell r="C363">
            <v>305488.1</v>
          </cell>
          <cell r="D363">
            <v>3003734.49</v>
          </cell>
        </row>
        <row r="364">
          <cell r="A364" t="str">
            <v>黄骅市通和五金制品有限公司</v>
          </cell>
          <cell r="B364">
            <v>70000</v>
          </cell>
          <cell r="C364">
            <v>0</v>
          </cell>
          <cell r="D364">
            <v>113966.94</v>
          </cell>
        </row>
        <row r="365">
          <cell r="A365" t="str">
            <v>黄骅市通乐贸易有限公司</v>
          </cell>
          <cell r="B365">
            <v>23617</v>
          </cell>
          <cell r="C365">
            <v>10170</v>
          </cell>
          <cell r="D365">
            <v>22764</v>
          </cell>
        </row>
        <row r="366">
          <cell r="A366" t="str">
            <v>黄骅市通顺五金机电商店</v>
          </cell>
          <cell r="B366">
            <v>0</v>
          </cell>
          <cell r="C366">
            <v>0</v>
          </cell>
          <cell r="D366">
            <v>0</v>
          </cell>
        </row>
        <row r="367">
          <cell r="A367" t="str">
            <v>黄骅市通祥模具厂</v>
          </cell>
          <cell r="B367">
            <v>0</v>
          </cell>
          <cell r="C367">
            <v>0</v>
          </cell>
          <cell r="D367">
            <v>0</v>
          </cell>
        </row>
        <row r="368">
          <cell r="A368" t="str">
            <v>黄骅市同德商贸有限公司</v>
          </cell>
          <cell r="B368">
            <v>0</v>
          </cell>
          <cell r="C368">
            <v>0</v>
          </cell>
          <cell r="D368">
            <v>0</v>
          </cell>
        </row>
        <row r="369">
          <cell r="A369" t="str">
            <v>黄骅市同辉汽车配件有限公司</v>
          </cell>
          <cell r="B369">
            <v>0</v>
          </cell>
          <cell r="C369">
            <v>0</v>
          </cell>
          <cell r="D369">
            <v>108120.94</v>
          </cell>
        </row>
        <row r="370">
          <cell r="A370" t="str">
            <v>黄骅市屯鑫五金经销部</v>
          </cell>
          <cell r="B370">
            <v>1020</v>
          </cell>
          <cell r="C370">
            <v>0</v>
          </cell>
          <cell r="D370">
            <v>0</v>
          </cell>
        </row>
        <row r="371">
          <cell r="A371" t="str">
            <v>黄骅市万安挂车配件有限公司</v>
          </cell>
          <cell r="B371">
            <v>0</v>
          </cell>
          <cell r="C371">
            <v>0</v>
          </cell>
          <cell r="D371">
            <v>0</v>
          </cell>
        </row>
        <row r="372">
          <cell r="A372" t="str">
            <v>黄骅市万昌五金制品有限公司</v>
          </cell>
          <cell r="B372">
            <v>0</v>
          </cell>
          <cell r="C372">
            <v>249561.62</v>
          </cell>
          <cell r="D372">
            <v>1644134.13</v>
          </cell>
        </row>
        <row r="373">
          <cell r="A373" t="str">
            <v>黄骅市万方五金塑料制品有限公司</v>
          </cell>
          <cell r="B373">
            <v>0</v>
          </cell>
          <cell r="C373">
            <v>0</v>
          </cell>
          <cell r="D373">
            <v>0</v>
          </cell>
        </row>
        <row r="374">
          <cell r="A374" t="str">
            <v>黄骅市万寿汽车配件有限公司</v>
          </cell>
          <cell r="B374">
            <v>180000</v>
          </cell>
          <cell r="C374">
            <v>344403.08</v>
          </cell>
          <cell r="D374">
            <v>1072353.07</v>
          </cell>
        </row>
        <row r="375">
          <cell r="A375" t="str">
            <v>黄骅市魏波五金制品经营部</v>
          </cell>
          <cell r="B375">
            <v>0</v>
          </cell>
          <cell r="C375">
            <v>0</v>
          </cell>
          <cell r="D375">
            <v>0</v>
          </cell>
        </row>
        <row r="376">
          <cell r="A376" t="str">
            <v>黄骅市西环路宏大电热仪表电器经销处</v>
          </cell>
          <cell r="B376">
            <v>0</v>
          </cell>
          <cell r="C376">
            <v>0</v>
          </cell>
          <cell r="D376">
            <v>0</v>
          </cell>
        </row>
        <row r="377">
          <cell r="A377" t="str">
            <v>黄骅市祥义塑料模具有限公司</v>
          </cell>
          <cell r="B377">
            <v>24400</v>
          </cell>
          <cell r="C377">
            <v>0</v>
          </cell>
          <cell r="D377">
            <v>0</v>
          </cell>
        </row>
        <row r="378">
          <cell r="A378" t="str">
            <v>黄骅市翔华电子设备经销处</v>
          </cell>
          <cell r="B378">
            <v>0</v>
          </cell>
          <cell r="C378">
            <v>0</v>
          </cell>
          <cell r="D378">
            <v>24000</v>
          </cell>
        </row>
        <row r="379">
          <cell r="A379" t="str">
            <v>黄骅市筱楠五金门市部</v>
          </cell>
          <cell r="B379">
            <v>0</v>
          </cell>
          <cell r="C379">
            <v>0</v>
          </cell>
          <cell r="D379">
            <v>0</v>
          </cell>
        </row>
        <row r="380">
          <cell r="A380" t="str">
            <v>黄骅市新暖汽车座垫加工厂</v>
          </cell>
          <cell r="B380">
            <v>0</v>
          </cell>
          <cell r="C380">
            <v>0</v>
          </cell>
          <cell r="D380">
            <v>0</v>
          </cell>
        </row>
        <row r="381">
          <cell r="A381" t="str">
            <v>黄骅市新智环保技术有限公司</v>
          </cell>
          <cell r="B381">
            <v>18967</v>
          </cell>
          <cell r="C381">
            <v>0</v>
          </cell>
          <cell r="D381">
            <v>0</v>
          </cell>
        </row>
        <row r="382">
          <cell r="A382" t="str">
            <v>黄骅市鑫昌五金制品厂</v>
          </cell>
          <cell r="B382">
            <v>700000</v>
          </cell>
          <cell r="C382">
            <v>477973.1</v>
          </cell>
          <cell r="D382">
            <v>4171066.37</v>
          </cell>
        </row>
        <row r="383">
          <cell r="A383" t="str">
            <v>黄骅市鑫宏祥电器门市部</v>
          </cell>
          <cell r="B383">
            <v>0</v>
          </cell>
          <cell r="C383">
            <v>0</v>
          </cell>
          <cell r="D383">
            <v>0</v>
          </cell>
        </row>
        <row r="384">
          <cell r="A384" t="str">
            <v>黄骅市鑫骅金属制品有限公司</v>
          </cell>
          <cell r="B384">
            <v>0</v>
          </cell>
          <cell r="C384">
            <v>0</v>
          </cell>
          <cell r="D384">
            <v>0</v>
          </cell>
        </row>
        <row r="385">
          <cell r="A385" t="str">
            <v>黄骅市鑫汇商贸有限公司</v>
          </cell>
          <cell r="B385">
            <v>0</v>
          </cell>
          <cell r="C385">
            <v>0</v>
          </cell>
          <cell r="D385">
            <v>0</v>
          </cell>
        </row>
        <row r="386">
          <cell r="A386" t="str">
            <v>黄骅市鑫亮五金制品厂</v>
          </cell>
          <cell r="B386">
            <v>0</v>
          </cell>
          <cell r="C386">
            <v>0</v>
          </cell>
          <cell r="D386">
            <v>0</v>
          </cell>
        </row>
        <row r="387">
          <cell r="A387" t="str">
            <v>黄骅市鑫鹏商贸有限公司</v>
          </cell>
          <cell r="B387">
            <v>0</v>
          </cell>
          <cell r="C387">
            <v>0</v>
          </cell>
          <cell r="D387">
            <v>0</v>
          </cell>
        </row>
        <row r="388">
          <cell r="A388" t="str">
            <v>黄骅市鑫祺汽车配件有限公司</v>
          </cell>
          <cell r="B388">
            <v>450000</v>
          </cell>
          <cell r="C388">
            <v>69634.35</v>
          </cell>
          <cell r="D388">
            <v>1232425.5</v>
          </cell>
        </row>
        <row r="389">
          <cell r="A389" t="str">
            <v>黄骅市鑫盛物业服务有限公司</v>
          </cell>
          <cell r="B389">
            <v>0</v>
          </cell>
          <cell r="C389">
            <v>0</v>
          </cell>
          <cell r="D389">
            <v>0</v>
          </cell>
        </row>
        <row r="390">
          <cell r="A390" t="str">
            <v>黄骅市鑫宇五金制品厂</v>
          </cell>
          <cell r="B390">
            <v>0</v>
          </cell>
          <cell r="C390">
            <v>0</v>
          </cell>
          <cell r="D390">
            <v>5854.69</v>
          </cell>
        </row>
        <row r="391">
          <cell r="A391" t="str">
            <v>黄骅市鑫源五金制品有限公司</v>
          </cell>
          <cell r="B391">
            <v>0</v>
          </cell>
          <cell r="C391">
            <v>0</v>
          </cell>
          <cell r="D391">
            <v>0</v>
          </cell>
        </row>
        <row r="392">
          <cell r="A392" t="str">
            <v>黄骅市兴朋包装材料有限公司</v>
          </cell>
          <cell r="B392">
            <v>0</v>
          </cell>
          <cell r="C392">
            <v>0</v>
          </cell>
          <cell r="D392">
            <v>0</v>
          </cell>
        </row>
        <row r="393">
          <cell r="A393" t="str">
            <v>黄骅市兴田弹簧有限公司</v>
          </cell>
          <cell r="B393">
            <v>0</v>
          </cell>
          <cell r="C393">
            <v>0</v>
          </cell>
          <cell r="D393">
            <v>140162.2</v>
          </cell>
        </row>
        <row r="394">
          <cell r="A394" t="str">
            <v>黄骅市兴玉五金制品有限公司</v>
          </cell>
          <cell r="B394">
            <v>0</v>
          </cell>
          <cell r="C394">
            <v>0</v>
          </cell>
          <cell r="D394">
            <v>0</v>
          </cell>
        </row>
        <row r="395">
          <cell r="A395" t="str">
            <v>黄骅市亚星玻璃钢有限公司</v>
          </cell>
          <cell r="B395">
            <v>0</v>
          </cell>
          <cell r="C395">
            <v>0</v>
          </cell>
          <cell r="D395">
            <v>0</v>
          </cell>
        </row>
        <row r="396">
          <cell r="A396" t="str">
            <v>黄骅市亚征汽车配件有限公司</v>
          </cell>
          <cell r="B396">
            <v>250000</v>
          </cell>
          <cell r="C396">
            <v>0</v>
          </cell>
          <cell r="D396">
            <v>959200.18</v>
          </cell>
        </row>
        <row r="397">
          <cell r="A397" t="str">
            <v>黄骅市亿顺五金制品有限公司</v>
          </cell>
          <cell r="B397">
            <v>0</v>
          </cell>
          <cell r="C397">
            <v>0</v>
          </cell>
          <cell r="D397">
            <v>0</v>
          </cell>
        </row>
        <row r="398">
          <cell r="A398" t="str">
            <v>黄骅市益成五金门市部</v>
          </cell>
          <cell r="B398">
            <v>0</v>
          </cell>
          <cell r="C398">
            <v>0</v>
          </cell>
          <cell r="D398">
            <v>0</v>
          </cell>
        </row>
        <row r="399">
          <cell r="A399" t="str">
            <v>黄骅市益丰橡胶制品有限公司</v>
          </cell>
          <cell r="B399">
            <v>90000</v>
          </cell>
          <cell r="C399">
            <v>32076.37</v>
          </cell>
          <cell r="D399">
            <v>297308.44</v>
          </cell>
        </row>
        <row r="400">
          <cell r="A400" t="str">
            <v>黄骅市益海五金制造有限公司</v>
          </cell>
          <cell r="B400">
            <v>0</v>
          </cell>
          <cell r="C400">
            <v>0</v>
          </cell>
          <cell r="D400">
            <v>0</v>
          </cell>
        </row>
        <row r="401">
          <cell r="A401" t="str">
            <v>黄骅市雍丰塑料制品有限公司</v>
          </cell>
          <cell r="B401">
            <v>450000</v>
          </cell>
          <cell r="C401">
            <v>440294.21</v>
          </cell>
          <cell r="D401">
            <v>2827844.14</v>
          </cell>
        </row>
        <row r="402">
          <cell r="A402" t="str">
            <v>黄骅市友联嘉悦商贸有限公司</v>
          </cell>
          <cell r="B402">
            <v>29700</v>
          </cell>
          <cell r="C402">
            <v>29700</v>
          </cell>
          <cell r="D402">
            <v>0</v>
          </cell>
        </row>
        <row r="403">
          <cell r="A403" t="str">
            <v>黄骅市宇丰运输有限公司</v>
          </cell>
          <cell r="B403">
            <v>0</v>
          </cell>
          <cell r="C403">
            <v>0</v>
          </cell>
          <cell r="D403">
            <v>0</v>
          </cell>
        </row>
        <row r="404">
          <cell r="A404" t="str">
            <v>黄骅市玉明五金模标门市部</v>
          </cell>
          <cell r="B404">
            <v>0</v>
          </cell>
          <cell r="C404">
            <v>0</v>
          </cell>
          <cell r="D404">
            <v>0</v>
          </cell>
        </row>
        <row r="405">
          <cell r="A405" t="str">
            <v>黄骅市誉焱制衣厂</v>
          </cell>
          <cell r="B405">
            <v>0</v>
          </cell>
          <cell r="C405">
            <v>0</v>
          </cell>
          <cell r="D405">
            <v>0</v>
          </cell>
        </row>
        <row r="406">
          <cell r="A406" t="str">
            <v>黄骅市元周五金制品有限公司</v>
          </cell>
          <cell r="B406">
            <v>85000</v>
          </cell>
          <cell r="C406">
            <v>13352.91</v>
          </cell>
          <cell r="D406">
            <v>70022.66</v>
          </cell>
        </row>
        <row r="407">
          <cell r="A407" t="str">
            <v>黄骅市月军五金制品厂</v>
          </cell>
          <cell r="B407">
            <v>0</v>
          </cell>
          <cell r="C407">
            <v>0</v>
          </cell>
          <cell r="D407">
            <v>0</v>
          </cell>
        </row>
        <row r="408">
          <cell r="A408" t="str">
            <v>黄骅市运输总公司华宇汽修厂</v>
          </cell>
          <cell r="B408">
            <v>0</v>
          </cell>
          <cell r="C408">
            <v>0</v>
          </cell>
          <cell r="D408">
            <v>0</v>
          </cell>
        </row>
        <row r="409">
          <cell r="A409" t="str">
            <v>黄骅市再兴汽车配件有限公司</v>
          </cell>
          <cell r="B409">
            <v>120000</v>
          </cell>
          <cell r="C409">
            <v>0</v>
          </cell>
          <cell r="D409">
            <v>466409.62</v>
          </cell>
        </row>
        <row r="410">
          <cell r="A410" t="str">
            <v>黄骅市泽方模具有限公司</v>
          </cell>
          <cell r="B410">
            <v>0</v>
          </cell>
          <cell r="C410">
            <v>0</v>
          </cell>
          <cell r="D410">
            <v>194800</v>
          </cell>
        </row>
        <row r="411">
          <cell r="A411" t="str">
            <v>黄骅市增鑫五金制品有限公司</v>
          </cell>
          <cell r="B411">
            <v>0</v>
          </cell>
          <cell r="C411">
            <v>0</v>
          </cell>
          <cell r="D411">
            <v>19045</v>
          </cell>
        </row>
        <row r="412">
          <cell r="A412" t="str">
            <v>黄骅市兆展铁艺加工厂</v>
          </cell>
          <cell r="B412">
            <v>17160</v>
          </cell>
          <cell r="C412">
            <v>499.81</v>
          </cell>
          <cell r="D412">
            <v>0</v>
          </cell>
        </row>
        <row r="413">
          <cell r="A413" t="str">
            <v>黄骅市振兴汽车灯镜厂</v>
          </cell>
          <cell r="B413">
            <v>0</v>
          </cell>
          <cell r="C413">
            <v>0</v>
          </cell>
          <cell r="D413">
            <v>0</v>
          </cell>
        </row>
        <row r="414">
          <cell r="A414" t="str">
            <v>黄骅市振兴五金制品厂</v>
          </cell>
          <cell r="B414">
            <v>40000</v>
          </cell>
          <cell r="C414">
            <v>44220.34</v>
          </cell>
          <cell r="D414">
            <v>122656.29</v>
          </cell>
        </row>
        <row r="415">
          <cell r="A415" t="str">
            <v>黄骅市震飞塑机辅机有限公司</v>
          </cell>
          <cell r="B415">
            <v>0</v>
          </cell>
          <cell r="C415">
            <v>0</v>
          </cell>
          <cell r="D415">
            <v>0</v>
          </cell>
        </row>
        <row r="416">
          <cell r="A416" t="str">
            <v>黄骅市震宇机动配件有限公司</v>
          </cell>
          <cell r="B416">
            <v>0</v>
          </cell>
          <cell r="C416">
            <v>0</v>
          </cell>
          <cell r="D416">
            <v>0</v>
          </cell>
        </row>
        <row r="417">
          <cell r="A417" t="str">
            <v>黄骅市正大纺织机械配件厂</v>
          </cell>
          <cell r="B417">
            <v>250000</v>
          </cell>
          <cell r="C417">
            <v>92838.96</v>
          </cell>
          <cell r="D417">
            <v>741916.46</v>
          </cell>
        </row>
        <row r="418">
          <cell r="A418" t="str">
            <v>黄骅市正发五金机电经销处</v>
          </cell>
          <cell r="B418">
            <v>0</v>
          </cell>
          <cell r="C418">
            <v>0</v>
          </cell>
          <cell r="D418">
            <v>0</v>
          </cell>
        </row>
        <row r="419">
          <cell r="A419" t="str">
            <v>黄骅市正祥车辆部件有限公司</v>
          </cell>
          <cell r="B419">
            <v>50000</v>
          </cell>
          <cell r="C419">
            <v>150785.48</v>
          </cell>
          <cell r="D419">
            <v>244979.27</v>
          </cell>
        </row>
        <row r="420">
          <cell r="A420" t="str">
            <v>黄骅市志承车业有限公司</v>
          </cell>
          <cell r="B420">
            <v>0</v>
          </cell>
          <cell r="C420">
            <v>0</v>
          </cell>
          <cell r="D420">
            <v>0</v>
          </cell>
        </row>
        <row r="421">
          <cell r="A421" t="str">
            <v>黄骅市致远摩托车配件有限公司</v>
          </cell>
          <cell r="B421">
            <v>66878.58</v>
          </cell>
          <cell r="C421">
            <v>0</v>
          </cell>
          <cell r="D421">
            <v>0</v>
          </cell>
        </row>
        <row r="422">
          <cell r="A422" t="str">
            <v>黄骅市智美办公用品门市部</v>
          </cell>
          <cell r="B422">
            <v>0</v>
          </cell>
          <cell r="C422">
            <v>0</v>
          </cell>
          <cell r="D422">
            <v>0</v>
          </cell>
        </row>
        <row r="423">
          <cell r="A423" t="str">
            <v>黄骅市中医医院</v>
          </cell>
          <cell r="B423">
            <v>0</v>
          </cell>
          <cell r="C423">
            <v>0</v>
          </cell>
          <cell r="D423">
            <v>0</v>
          </cell>
        </row>
        <row r="424">
          <cell r="A424" t="str">
            <v>黄骅信誉楼百货集团有限公司黄骅信誉楼商厦</v>
          </cell>
          <cell r="B424">
            <v>0</v>
          </cell>
          <cell r="C424">
            <v>0</v>
          </cell>
          <cell r="D424">
            <v>0</v>
          </cell>
        </row>
        <row r="425">
          <cell r="A425" t="str">
            <v>吉林省国际仓储运输有限公司</v>
          </cell>
          <cell r="B425">
            <v>0</v>
          </cell>
          <cell r="C425">
            <v>0</v>
          </cell>
          <cell r="D425">
            <v>0</v>
          </cell>
        </row>
        <row r="426">
          <cell r="A426" t="str">
            <v>吉林省裕隆机电设备零部件有限公司</v>
          </cell>
          <cell r="B426">
            <v>0</v>
          </cell>
          <cell r="C426">
            <v>0</v>
          </cell>
          <cell r="D426">
            <v>0</v>
          </cell>
        </row>
        <row r="427">
          <cell r="A427" t="str">
            <v>济南广武数控设备有限公司</v>
          </cell>
          <cell r="B427">
            <v>0</v>
          </cell>
          <cell r="C427">
            <v>0</v>
          </cell>
          <cell r="D427">
            <v>0</v>
          </cell>
        </row>
        <row r="428">
          <cell r="A428" t="str">
            <v>济南恒发一诚聚氨酯有限公司</v>
          </cell>
          <cell r="B428">
            <v>0</v>
          </cell>
          <cell r="C428">
            <v>0</v>
          </cell>
          <cell r="D428">
            <v>0</v>
          </cell>
        </row>
        <row r="429">
          <cell r="A429" t="str">
            <v>济南时代试金试验机有限公司</v>
          </cell>
          <cell r="B429">
            <v>0</v>
          </cell>
          <cell r="C429">
            <v>0</v>
          </cell>
          <cell r="D429">
            <v>0</v>
          </cell>
        </row>
        <row r="430">
          <cell r="A430" t="str">
            <v>济南岩安电子科技有限公司</v>
          </cell>
          <cell r="B430">
            <v>0</v>
          </cell>
          <cell r="C430">
            <v>0</v>
          </cell>
          <cell r="D430">
            <v>0</v>
          </cell>
        </row>
        <row r="431">
          <cell r="A431" t="str">
            <v>冀州市北内汽车座椅有限公司</v>
          </cell>
          <cell r="B431">
            <v>0</v>
          </cell>
          <cell r="C431">
            <v>0</v>
          </cell>
          <cell r="D431">
            <v>0</v>
          </cell>
        </row>
        <row r="432">
          <cell r="A432" t="str">
            <v>佳化化学（滨州）有限公司</v>
          </cell>
          <cell r="B432">
            <v>900000</v>
          </cell>
          <cell r="C432">
            <v>1025630.6</v>
          </cell>
          <cell r="D432">
            <v>2330693.1</v>
          </cell>
        </row>
        <row r="433">
          <cell r="A433" t="str">
            <v>嘉兴市南湖区东栅街道嘉环中电子产品经营部</v>
          </cell>
          <cell r="B433">
            <v>418</v>
          </cell>
          <cell r="C433">
            <v>418</v>
          </cell>
          <cell r="D433">
            <v>0</v>
          </cell>
        </row>
        <row r="434">
          <cell r="A434" t="str">
            <v>嘉兴市松玖机电设备有限公司</v>
          </cell>
          <cell r="B434">
            <v>0</v>
          </cell>
          <cell r="C434">
            <v>0</v>
          </cell>
          <cell r="D434">
            <v>0</v>
          </cell>
        </row>
        <row r="435">
          <cell r="A435" t="str">
            <v>建生裕科（上海）贸易有限公司</v>
          </cell>
          <cell r="B435">
            <v>113500</v>
          </cell>
          <cell r="C435">
            <v>113500</v>
          </cell>
          <cell r="D435">
            <v>0</v>
          </cell>
        </row>
        <row r="436">
          <cell r="A436" t="str">
            <v>江苏艾文德悦达汽车内饰有限公司</v>
          </cell>
          <cell r="B436">
            <v>0</v>
          </cell>
          <cell r="C436">
            <v>580890.45</v>
          </cell>
          <cell r="D436">
            <v>580890.45</v>
          </cell>
        </row>
        <row r="437">
          <cell r="A437" t="str">
            <v>江苏力乐汽车部件股份有限公司</v>
          </cell>
          <cell r="B437">
            <v>705000</v>
          </cell>
          <cell r="C437">
            <v>173917.32</v>
          </cell>
          <cell r="D437">
            <v>528239.74</v>
          </cell>
        </row>
        <row r="438">
          <cell r="A438" t="str">
            <v>江苏申牌万向轮有限公司</v>
          </cell>
          <cell r="B438">
            <v>0</v>
          </cell>
          <cell r="C438">
            <v>0</v>
          </cell>
          <cell r="D438">
            <v>0</v>
          </cell>
        </row>
        <row r="439">
          <cell r="A439" t="str">
            <v>江苏万金汽车零部件制造有限公司</v>
          </cell>
          <cell r="B439">
            <v>250000</v>
          </cell>
          <cell r="C439">
            <v>126686.76</v>
          </cell>
          <cell r="D439">
            <v>1278798.83</v>
          </cell>
        </row>
        <row r="440">
          <cell r="A440" t="str">
            <v>江苏扬力集团有限公司</v>
          </cell>
          <cell r="B440">
            <v>0</v>
          </cell>
          <cell r="C440">
            <v>0</v>
          </cell>
          <cell r="D440">
            <v>46540</v>
          </cell>
        </row>
        <row r="441">
          <cell r="A441" t="str">
            <v>江苏忠明祥和精工股份有限公司</v>
          </cell>
          <cell r="B441">
            <v>20733.68</v>
          </cell>
          <cell r="C441">
            <v>0</v>
          </cell>
          <cell r="D441">
            <v>0</v>
          </cell>
        </row>
        <row r="442">
          <cell r="A442" t="str">
            <v>江阴长青工艺品有限公司</v>
          </cell>
          <cell r="B442">
            <v>0</v>
          </cell>
          <cell r="C442">
            <v>0</v>
          </cell>
          <cell r="D442">
            <v>481000</v>
          </cell>
        </row>
        <row r="443">
          <cell r="A443" t="str">
            <v>江阴市诚信模具有限公司</v>
          </cell>
          <cell r="B443">
            <v>0</v>
          </cell>
          <cell r="C443">
            <v>0</v>
          </cell>
          <cell r="D443">
            <v>0</v>
          </cell>
        </row>
        <row r="444">
          <cell r="A444" t="str">
            <v>江阴市达安汽车零部件有限公司</v>
          </cell>
          <cell r="B444">
            <v>0</v>
          </cell>
          <cell r="C444">
            <v>0</v>
          </cell>
          <cell r="D444">
            <v>4462.56</v>
          </cell>
        </row>
        <row r="445">
          <cell r="A445" t="str">
            <v>江阴市利剑金刚石工磨具有限公司</v>
          </cell>
          <cell r="B445">
            <v>0</v>
          </cell>
          <cell r="C445">
            <v>0</v>
          </cell>
          <cell r="D445">
            <v>5000</v>
          </cell>
        </row>
        <row r="446">
          <cell r="A446" t="str">
            <v>江阴市信佳科贸有限公司</v>
          </cell>
          <cell r="B446">
            <v>450000</v>
          </cell>
          <cell r="C446">
            <v>178705</v>
          </cell>
          <cell r="D446">
            <v>519525</v>
          </cell>
        </row>
        <row r="447">
          <cell r="A447" t="str">
            <v>金丰（中国）机械工业有限公司</v>
          </cell>
          <cell r="B447">
            <v>0</v>
          </cell>
          <cell r="C447">
            <v>0</v>
          </cell>
          <cell r="D447">
            <v>0</v>
          </cell>
        </row>
        <row r="448">
          <cell r="A448" t="str">
            <v>金世纪电缆集团有限公司</v>
          </cell>
          <cell r="B448">
            <v>0</v>
          </cell>
          <cell r="C448">
            <v>0</v>
          </cell>
          <cell r="D448">
            <v>0</v>
          </cell>
        </row>
        <row r="449">
          <cell r="A449" t="str">
            <v>景德镇景兴物流有限公司</v>
          </cell>
          <cell r="B449">
            <v>0</v>
          </cell>
          <cell r="C449">
            <v>0</v>
          </cell>
          <cell r="D449">
            <v>0</v>
          </cell>
        </row>
        <row r="450">
          <cell r="A450" t="str">
            <v>孔令兰</v>
          </cell>
          <cell r="B450">
            <v>0</v>
          </cell>
          <cell r="C450">
            <v>0</v>
          </cell>
          <cell r="D450">
            <v>0</v>
          </cell>
        </row>
        <row r="451">
          <cell r="A451" t="str">
            <v>旷达汽车饰件系统有限公司</v>
          </cell>
          <cell r="B451">
            <v>500000</v>
          </cell>
          <cell r="C451">
            <v>2052907.5</v>
          </cell>
          <cell r="D451">
            <v>1552907.5</v>
          </cell>
        </row>
        <row r="452">
          <cell r="A452" t="str">
            <v>旷达汽车饰件有限公司</v>
          </cell>
          <cell r="B452">
            <v>2052907.5</v>
          </cell>
          <cell r="C452">
            <v>0</v>
          </cell>
          <cell r="D452">
            <v>0</v>
          </cell>
        </row>
        <row r="453">
          <cell r="A453" t="str">
            <v>昆山福如斯精密机械有限公司</v>
          </cell>
          <cell r="B453">
            <v>0</v>
          </cell>
          <cell r="C453">
            <v>0</v>
          </cell>
          <cell r="D453">
            <v>14500</v>
          </cell>
        </row>
        <row r="454">
          <cell r="A454" t="str">
            <v>昆山鸿毅达精密模具有限公司</v>
          </cell>
          <cell r="B454">
            <v>0</v>
          </cell>
          <cell r="C454">
            <v>0</v>
          </cell>
          <cell r="D454">
            <v>24291.84</v>
          </cell>
        </row>
        <row r="455">
          <cell r="A455" t="str">
            <v>昆山瑞翔自动化科技有限公司</v>
          </cell>
          <cell r="B455">
            <v>0</v>
          </cell>
          <cell r="C455">
            <v>0</v>
          </cell>
          <cell r="D455">
            <v>0</v>
          </cell>
        </row>
        <row r="456">
          <cell r="A456" t="str">
            <v>昆山市永盛制线有限公司</v>
          </cell>
          <cell r="B456">
            <v>0</v>
          </cell>
          <cell r="C456">
            <v>0</v>
          </cell>
          <cell r="D456">
            <v>0</v>
          </cell>
        </row>
        <row r="457">
          <cell r="A457" t="str">
            <v>昆山市玉山镇钛晶邦机电商行</v>
          </cell>
          <cell r="B457">
            <v>0</v>
          </cell>
          <cell r="C457">
            <v>0</v>
          </cell>
          <cell r="D457">
            <v>0</v>
          </cell>
        </row>
        <row r="458">
          <cell r="A458" t="str">
            <v>昆山维尔利环保科技有限公司</v>
          </cell>
          <cell r="B458">
            <v>0</v>
          </cell>
          <cell r="C458">
            <v>19639.4</v>
          </cell>
          <cell r="D458">
            <v>124816.9</v>
          </cell>
        </row>
        <row r="459">
          <cell r="A459" t="str">
            <v>莱茵贝格电梯（北京）有限公司第六分公司</v>
          </cell>
          <cell r="B459">
            <v>0</v>
          </cell>
          <cell r="C459">
            <v>0</v>
          </cell>
          <cell r="D459">
            <v>0</v>
          </cell>
        </row>
        <row r="460">
          <cell r="A460" t="str">
            <v>廊坊华文机电设备有限公司</v>
          </cell>
          <cell r="B460">
            <v>48244.44</v>
          </cell>
          <cell r="C460">
            <v>0</v>
          </cell>
          <cell r="D460">
            <v>0</v>
          </cell>
        </row>
        <row r="461">
          <cell r="A461" t="str">
            <v>廊坊开发区浩泰机械制造有限公司</v>
          </cell>
          <cell r="B461">
            <v>0</v>
          </cell>
          <cell r="C461">
            <v>0</v>
          </cell>
          <cell r="D461">
            <v>0</v>
          </cell>
        </row>
        <row r="462">
          <cell r="A462" t="str">
            <v>廊坊市烁鑫汽车配件有限公司</v>
          </cell>
          <cell r="B462">
            <v>0</v>
          </cell>
          <cell r="C462">
            <v>106838.62</v>
          </cell>
          <cell r="D462">
            <v>501853.89</v>
          </cell>
        </row>
        <row r="463">
          <cell r="A463" t="str">
            <v>廊坊一凡水处理工程有限公司</v>
          </cell>
          <cell r="B463">
            <v>0</v>
          </cell>
          <cell r="C463">
            <v>0</v>
          </cell>
          <cell r="D463">
            <v>0</v>
          </cell>
        </row>
        <row r="464">
          <cell r="A464" t="str">
            <v>廊坊中德汽车座椅制造有限公司</v>
          </cell>
          <cell r="B464">
            <v>0</v>
          </cell>
          <cell r="C464">
            <v>0</v>
          </cell>
          <cell r="D464">
            <v>4922.38</v>
          </cell>
        </row>
        <row r="465">
          <cell r="A465" t="str">
            <v>李春林</v>
          </cell>
          <cell r="B465">
            <v>0</v>
          </cell>
          <cell r="C465">
            <v>0</v>
          </cell>
          <cell r="D465">
            <v>0</v>
          </cell>
        </row>
        <row r="466">
          <cell r="A466" t="str">
            <v>溧阳市鑫岩车辆配件厂</v>
          </cell>
          <cell r="B466">
            <v>50092</v>
          </cell>
          <cell r="C466">
            <v>0</v>
          </cell>
          <cell r="D466">
            <v>0</v>
          </cell>
        </row>
        <row r="467">
          <cell r="A467" t="str">
            <v>溧阳万金汽车配件有限公司</v>
          </cell>
          <cell r="B467">
            <v>0</v>
          </cell>
          <cell r="C467">
            <v>0</v>
          </cell>
          <cell r="D467">
            <v>0</v>
          </cell>
        </row>
        <row r="468">
          <cell r="A468" t="str">
            <v>溧阳鑫岩汽车零部件有限公司</v>
          </cell>
          <cell r="B468">
            <v>0</v>
          </cell>
          <cell r="C468">
            <v>0</v>
          </cell>
          <cell r="D468">
            <v>0</v>
          </cell>
        </row>
        <row r="469">
          <cell r="A469" t="str">
            <v>辽源市佳林造革有限责任公司</v>
          </cell>
          <cell r="B469">
            <v>0</v>
          </cell>
          <cell r="C469">
            <v>0</v>
          </cell>
          <cell r="D469">
            <v>0</v>
          </cell>
        </row>
        <row r="470">
          <cell r="A470" t="str">
            <v>刘东德</v>
          </cell>
          <cell r="B470">
            <v>0</v>
          </cell>
          <cell r="C470">
            <v>0</v>
          </cell>
          <cell r="D470">
            <v>0</v>
          </cell>
        </row>
        <row r="471">
          <cell r="A471" t="str">
            <v>刘金亮</v>
          </cell>
          <cell r="B471">
            <v>0</v>
          </cell>
          <cell r="C471">
            <v>0</v>
          </cell>
          <cell r="D471">
            <v>0</v>
          </cell>
        </row>
        <row r="472">
          <cell r="A472" t="str">
            <v>刘荣辉</v>
          </cell>
          <cell r="B472">
            <v>0</v>
          </cell>
          <cell r="C472">
            <v>0</v>
          </cell>
          <cell r="D472">
            <v>0</v>
          </cell>
        </row>
        <row r="473">
          <cell r="A473" t="str">
            <v>洛阳宏润塑业有限公司</v>
          </cell>
          <cell r="B473">
            <v>90000</v>
          </cell>
          <cell r="C473">
            <v>90000</v>
          </cell>
          <cell r="D473">
            <v>90000</v>
          </cell>
        </row>
        <row r="474">
          <cell r="A474" t="str">
            <v>马英强</v>
          </cell>
          <cell r="B474">
            <v>0</v>
          </cell>
          <cell r="C474">
            <v>0</v>
          </cell>
          <cell r="D474">
            <v>0</v>
          </cell>
        </row>
        <row r="475">
          <cell r="A475" t="str">
            <v>马志云</v>
          </cell>
          <cell r="B475">
            <v>0</v>
          </cell>
          <cell r="C475">
            <v>0</v>
          </cell>
          <cell r="D475">
            <v>1163</v>
          </cell>
        </row>
        <row r="476">
          <cell r="A476" t="str">
            <v>美视伊汽车镜控（苏州）有限公司</v>
          </cell>
          <cell r="B476">
            <v>238913.64</v>
          </cell>
          <cell r="C476">
            <v>238913.64</v>
          </cell>
          <cell r="D476">
            <v>0</v>
          </cell>
        </row>
        <row r="477">
          <cell r="A477" t="str">
            <v>孟村回族自治县旭日汽车配件厂</v>
          </cell>
          <cell r="B477">
            <v>0</v>
          </cell>
          <cell r="C477">
            <v>3020</v>
          </cell>
          <cell r="D477">
            <v>3020</v>
          </cell>
        </row>
        <row r="478">
          <cell r="A478" t="str">
            <v>米思米（中国）精密机械贸易有限公司</v>
          </cell>
          <cell r="B478">
            <v>0</v>
          </cell>
          <cell r="C478">
            <v>0</v>
          </cell>
          <cell r="D478">
            <v>0</v>
          </cell>
        </row>
        <row r="479">
          <cell r="A479" t="str">
            <v>密佳达（北京）塑料机械设备有限公司</v>
          </cell>
          <cell r="B479">
            <v>0</v>
          </cell>
          <cell r="C479">
            <v>0</v>
          </cell>
          <cell r="D479">
            <v>33600</v>
          </cell>
        </row>
        <row r="480">
          <cell r="A480" t="str">
            <v>密山市龙兴制革有限公司</v>
          </cell>
          <cell r="B480">
            <v>0</v>
          </cell>
          <cell r="C480">
            <v>0</v>
          </cell>
          <cell r="D480">
            <v>0</v>
          </cell>
        </row>
        <row r="481">
          <cell r="A481" t="str">
            <v>明邦（天津）科技有限公司</v>
          </cell>
          <cell r="B481">
            <v>0</v>
          </cell>
          <cell r="C481">
            <v>0</v>
          </cell>
          <cell r="D481">
            <v>0</v>
          </cell>
        </row>
        <row r="482">
          <cell r="A482" t="str">
            <v>铭涛五金(苏州)有限公司</v>
          </cell>
          <cell r="B482">
            <v>0</v>
          </cell>
          <cell r="C482">
            <v>0</v>
          </cell>
          <cell r="D482">
            <v>0</v>
          </cell>
        </row>
        <row r="483">
          <cell r="A483" t="str">
            <v>纳拓润滑技术（上海）有限公司</v>
          </cell>
          <cell r="B483">
            <v>0</v>
          </cell>
          <cell r="C483">
            <v>0</v>
          </cell>
          <cell r="D483">
            <v>0</v>
          </cell>
        </row>
        <row r="484">
          <cell r="A484" t="str">
            <v>纳新塑化（上海）有限公司</v>
          </cell>
          <cell r="B484">
            <v>0</v>
          </cell>
          <cell r="C484">
            <v>40454</v>
          </cell>
          <cell r="D484">
            <v>40454</v>
          </cell>
        </row>
        <row r="485">
          <cell r="A485" t="str">
            <v>南方中金环境股份有限公司</v>
          </cell>
          <cell r="B485">
            <v>0</v>
          </cell>
          <cell r="C485">
            <v>0</v>
          </cell>
          <cell r="D485">
            <v>0</v>
          </cell>
        </row>
        <row r="486">
          <cell r="A486" t="str">
            <v>南京聚隆科技股份有限公司</v>
          </cell>
          <cell r="B486">
            <v>0</v>
          </cell>
          <cell r="C486">
            <v>0</v>
          </cell>
          <cell r="D486">
            <v>0</v>
          </cell>
        </row>
        <row r="487">
          <cell r="A487" t="str">
            <v>南京磐纳科技发展有限公司</v>
          </cell>
          <cell r="B487">
            <v>1000</v>
          </cell>
          <cell r="C487">
            <v>0</v>
          </cell>
          <cell r="D487">
            <v>0</v>
          </cell>
        </row>
        <row r="488">
          <cell r="A488" t="str">
            <v>南皮县聚金五金制品有限公司</v>
          </cell>
          <cell r="B488">
            <v>0</v>
          </cell>
          <cell r="C488">
            <v>0</v>
          </cell>
          <cell r="D488">
            <v>0</v>
          </cell>
        </row>
        <row r="489">
          <cell r="A489" t="str">
            <v>南皮县利辉五金接插件厂</v>
          </cell>
          <cell r="B489">
            <v>0</v>
          </cell>
          <cell r="C489">
            <v>0</v>
          </cell>
          <cell r="D489">
            <v>0</v>
          </cell>
        </row>
        <row r="490">
          <cell r="A490" t="str">
            <v>南皮县明光五金机电有限公司</v>
          </cell>
          <cell r="B490">
            <v>0</v>
          </cell>
          <cell r="C490">
            <v>0</v>
          </cell>
          <cell r="D490">
            <v>0</v>
          </cell>
        </row>
        <row r="491">
          <cell r="A491" t="str">
            <v>南皮县泰航五金制造有限公司</v>
          </cell>
          <cell r="B491">
            <v>0</v>
          </cell>
          <cell r="C491">
            <v>0</v>
          </cell>
          <cell r="D491">
            <v>0</v>
          </cell>
        </row>
        <row r="492">
          <cell r="A492" t="str">
            <v>南皮县望生金属材料有限公司</v>
          </cell>
          <cell r="B492">
            <v>0</v>
          </cell>
          <cell r="C492">
            <v>0</v>
          </cell>
          <cell r="D492">
            <v>0</v>
          </cell>
        </row>
        <row r="493">
          <cell r="A493" t="str">
            <v>南通南亚汽车新材料有限公司</v>
          </cell>
          <cell r="B493">
            <v>0</v>
          </cell>
          <cell r="C493">
            <v>0</v>
          </cell>
          <cell r="D493">
            <v>0</v>
          </cell>
        </row>
        <row r="494">
          <cell r="A494" t="str">
            <v>宁波精成车业有限公司</v>
          </cell>
          <cell r="B494">
            <v>300000</v>
          </cell>
          <cell r="C494">
            <v>765952.86</v>
          </cell>
          <cell r="D494">
            <v>1853243.62</v>
          </cell>
        </row>
        <row r="495">
          <cell r="A495" t="str">
            <v>宁波瑞元模塑有限公司</v>
          </cell>
          <cell r="B495">
            <v>0</v>
          </cell>
          <cell r="C495">
            <v>0</v>
          </cell>
          <cell r="D495">
            <v>0</v>
          </cell>
        </row>
        <row r="496">
          <cell r="A496" t="str">
            <v>宁波正耀汽车电器有限公司</v>
          </cell>
          <cell r="B496">
            <v>15985</v>
          </cell>
          <cell r="C496">
            <v>0</v>
          </cell>
          <cell r="D496">
            <v>0</v>
          </cell>
        </row>
        <row r="497">
          <cell r="A497" t="str">
            <v>派博乐安全设备有限公司</v>
          </cell>
          <cell r="B497">
            <v>0</v>
          </cell>
          <cell r="C497">
            <v>0</v>
          </cell>
          <cell r="D497">
            <v>0</v>
          </cell>
        </row>
        <row r="498">
          <cell r="A498" t="str">
            <v>濮阳市汉克斯机械有限公司</v>
          </cell>
          <cell r="B498">
            <v>0</v>
          </cell>
          <cell r="C498">
            <v>0</v>
          </cell>
          <cell r="D498">
            <v>0</v>
          </cell>
        </row>
        <row r="499">
          <cell r="A499" t="str">
            <v>普罗名特贸易（大连）有限公司</v>
          </cell>
          <cell r="B499">
            <v>0</v>
          </cell>
          <cell r="C499">
            <v>0</v>
          </cell>
          <cell r="D499">
            <v>0</v>
          </cell>
        </row>
        <row r="500">
          <cell r="A500" t="str">
            <v>秦皇岛高鹏泡沫塑料有限公司</v>
          </cell>
          <cell r="B500">
            <v>0</v>
          </cell>
          <cell r="C500">
            <v>0</v>
          </cell>
          <cell r="D500">
            <v>0</v>
          </cell>
        </row>
        <row r="501">
          <cell r="A501" t="str">
            <v>青岛澳海源国际贸易有限公司</v>
          </cell>
          <cell r="B501">
            <v>0</v>
          </cell>
          <cell r="C501">
            <v>0</v>
          </cell>
          <cell r="D501">
            <v>0</v>
          </cell>
        </row>
        <row r="502">
          <cell r="A502" t="str">
            <v>青岛福基纺织有限公司</v>
          </cell>
          <cell r="B502">
            <v>650000</v>
          </cell>
          <cell r="C502">
            <v>635066.03</v>
          </cell>
          <cell r="D502">
            <v>7495456.12</v>
          </cell>
        </row>
        <row r="503">
          <cell r="A503" t="str">
            <v>青岛银泰洁净设备有限公司</v>
          </cell>
          <cell r="B503">
            <v>0</v>
          </cell>
          <cell r="C503">
            <v>0</v>
          </cell>
          <cell r="D503">
            <v>20000</v>
          </cell>
        </row>
        <row r="504">
          <cell r="A504" t="str">
            <v>青县永胜焊接材料厂</v>
          </cell>
          <cell r="B504">
            <v>0</v>
          </cell>
          <cell r="C504">
            <v>0</v>
          </cell>
          <cell r="D504">
            <v>0</v>
          </cell>
        </row>
        <row r="505">
          <cell r="A505" t="str">
            <v>曲阜陆航座椅辅料有限公司</v>
          </cell>
          <cell r="B505">
            <v>61200</v>
          </cell>
          <cell r="C505">
            <v>0</v>
          </cell>
          <cell r="D505">
            <v>0</v>
          </cell>
        </row>
        <row r="506">
          <cell r="A506" t="str">
            <v>人民电器集团黄骅销售有限公司</v>
          </cell>
          <cell r="B506">
            <v>0</v>
          </cell>
          <cell r="C506">
            <v>0</v>
          </cell>
          <cell r="D506">
            <v>23500</v>
          </cell>
        </row>
        <row r="507">
          <cell r="A507" t="str">
            <v>任丘市力洋压缩机制造有限公司</v>
          </cell>
          <cell r="B507">
            <v>0</v>
          </cell>
          <cell r="C507">
            <v>0</v>
          </cell>
          <cell r="D507">
            <v>0</v>
          </cell>
        </row>
        <row r="508">
          <cell r="A508" t="str">
            <v>三门县伟狄交通设施厂</v>
          </cell>
          <cell r="B508">
            <v>0</v>
          </cell>
          <cell r="C508">
            <v>0</v>
          </cell>
          <cell r="D508">
            <v>0</v>
          </cell>
        </row>
        <row r="509">
          <cell r="A509" t="str">
            <v>森织汽车内饰（武汉）有限公司</v>
          </cell>
          <cell r="B509">
            <v>0</v>
          </cell>
          <cell r="C509">
            <v>0</v>
          </cell>
          <cell r="D509">
            <v>0</v>
          </cell>
        </row>
        <row r="510">
          <cell r="A510" t="str">
            <v>山东东塑机械制造有限公司</v>
          </cell>
          <cell r="B510">
            <v>0</v>
          </cell>
          <cell r="C510">
            <v>0</v>
          </cell>
          <cell r="D510">
            <v>0</v>
          </cell>
        </row>
        <row r="511">
          <cell r="A511" t="str">
            <v>山东丰泽源皮革有限公司</v>
          </cell>
          <cell r="B511">
            <v>0</v>
          </cell>
          <cell r="C511">
            <v>0</v>
          </cell>
          <cell r="D511">
            <v>0</v>
          </cell>
        </row>
        <row r="512">
          <cell r="A512" t="str">
            <v>山东格瑞蓝热能设备有限公司</v>
          </cell>
          <cell r="B512">
            <v>0</v>
          </cell>
          <cell r="C512">
            <v>0</v>
          </cell>
          <cell r="D512">
            <v>0</v>
          </cell>
        </row>
        <row r="513">
          <cell r="A513" t="str">
            <v>山东金达汽车部件制造股份有限公司</v>
          </cell>
          <cell r="B513">
            <v>2000000</v>
          </cell>
          <cell r="C513">
            <v>1320136.73</v>
          </cell>
          <cell r="D513">
            <v>4713273.94</v>
          </cell>
        </row>
        <row r="514">
          <cell r="A514" t="str">
            <v>山东力丰重型机床有限公司</v>
          </cell>
          <cell r="B514">
            <v>0</v>
          </cell>
          <cell r="C514">
            <v>0</v>
          </cell>
          <cell r="D514">
            <v>0</v>
          </cell>
        </row>
        <row r="515">
          <cell r="A515" t="str">
            <v>山东隆华新材料股份有限公司</v>
          </cell>
          <cell r="B515">
            <v>0</v>
          </cell>
          <cell r="C515">
            <v>0</v>
          </cell>
          <cell r="D515">
            <v>0</v>
          </cell>
        </row>
        <row r="516">
          <cell r="A516" t="str">
            <v>山东浅海电气有限公司</v>
          </cell>
          <cell r="B516">
            <v>0</v>
          </cell>
          <cell r="C516">
            <v>0</v>
          </cell>
          <cell r="D516">
            <v>0</v>
          </cell>
        </row>
        <row r="517">
          <cell r="A517" t="str">
            <v>山东省禹城市阳光化工有限公司</v>
          </cell>
          <cell r="B517">
            <v>0</v>
          </cell>
          <cell r="C517">
            <v>0</v>
          </cell>
          <cell r="D517">
            <v>1380</v>
          </cell>
        </row>
        <row r="518">
          <cell r="A518" t="str">
            <v>山东施密特热能设备有限公司</v>
          </cell>
          <cell r="B518">
            <v>0</v>
          </cell>
          <cell r="C518">
            <v>0</v>
          </cell>
          <cell r="D518">
            <v>0</v>
          </cell>
        </row>
        <row r="519">
          <cell r="A519" t="str">
            <v>山东泰鹏新材料有限公司</v>
          </cell>
          <cell r="B519">
            <v>0</v>
          </cell>
          <cell r="C519">
            <v>0</v>
          </cell>
          <cell r="D519">
            <v>0</v>
          </cell>
        </row>
        <row r="520">
          <cell r="A520" t="str">
            <v>商玉才</v>
          </cell>
          <cell r="B520">
            <v>0</v>
          </cell>
          <cell r="C520">
            <v>0</v>
          </cell>
          <cell r="D520">
            <v>0</v>
          </cell>
        </row>
        <row r="521">
          <cell r="A521" t="str">
            <v>上工富怡智能制造（天津）有限公司</v>
          </cell>
          <cell r="B521">
            <v>0</v>
          </cell>
          <cell r="C521">
            <v>0</v>
          </cell>
          <cell r="D521">
            <v>0</v>
          </cell>
        </row>
        <row r="522">
          <cell r="A522" t="str">
            <v>上海芭仲实业发展有限公司</v>
          </cell>
          <cell r="B522">
            <v>0</v>
          </cell>
          <cell r="C522">
            <v>0</v>
          </cell>
          <cell r="D522">
            <v>0</v>
          </cell>
        </row>
        <row r="523">
          <cell r="A523" t="str">
            <v>上海奔德汽车零部件有限公司</v>
          </cell>
          <cell r="B523">
            <v>0</v>
          </cell>
          <cell r="C523">
            <v>95291</v>
          </cell>
          <cell r="D523">
            <v>339500.08</v>
          </cell>
        </row>
        <row r="524">
          <cell r="A524" t="str">
            <v>上海边锋实业有限公司</v>
          </cell>
          <cell r="B524">
            <v>0</v>
          </cell>
          <cell r="C524">
            <v>0</v>
          </cell>
          <cell r="D524">
            <v>360</v>
          </cell>
        </row>
        <row r="525">
          <cell r="A525" t="str">
            <v>上海畅聊网络科技有限公司</v>
          </cell>
          <cell r="B525">
            <v>0</v>
          </cell>
          <cell r="C525">
            <v>0</v>
          </cell>
          <cell r="D525">
            <v>0</v>
          </cell>
        </row>
        <row r="526">
          <cell r="A526" t="str">
            <v>上海导全自动化设备有限公司</v>
          </cell>
          <cell r="B526">
            <v>0</v>
          </cell>
          <cell r="C526">
            <v>0</v>
          </cell>
          <cell r="D526">
            <v>0</v>
          </cell>
        </row>
        <row r="527">
          <cell r="A527" t="str">
            <v>上海工博商贸有限公司</v>
          </cell>
          <cell r="B527">
            <v>0</v>
          </cell>
          <cell r="C527">
            <v>0</v>
          </cell>
          <cell r="D527">
            <v>0</v>
          </cell>
        </row>
        <row r="528">
          <cell r="A528" t="str">
            <v>上海购福电子商务有限公司</v>
          </cell>
          <cell r="B528">
            <v>0</v>
          </cell>
          <cell r="C528">
            <v>0</v>
          </cell>
          <cell r="D528">
            <v>0</v>
          </cell>
        </row>
        <row r="529">
          <cell r="A529" t="str">
            <v>上海昊诚泵阀有限公司</v>
          </cell>
          <cell r="B529">
            <v>0</v>
          </cell>
          <cell r="C529">
            <v>0</v>
          </cell>
          <cell r="D529">
            <v>1980</v>
          </cell>
        </row>
        <row r="530">
          <cell r="A530" t="str">
            <v>上海和鹰机电设备有限公司</v>
          </cell>
          <cell r="B530">
            <v>0</v>
          </cell>
          <cell r="C530">
            <v>0</v>
          </cell>
          <cell r="D530">
            <v>0</v>
          </cell>
        </row>
        <row r="531">
          <cell r="A531" t="str">
            <v>上海亨斯迈聚氨酯有限公司</v>
          </cell>
          <cell r="B531">
            <v>0</v>
          </cell>
          <cell r="C531">
            <v>0</v>
          </cell>
          <cell r="D531">
            <v>0</v>
          </cell>
        </row>
        <row r="532">
          <cell r="A532" t="str">
            <v>上海怀德五金机电有限公司</v>
          </cell>
          <cell r="B532">
            <v>0</v>
          </cell>
          <cell r="C532">
            <v>0</v>
          </cell>
          <cell r="D532">
            <v>0</v>
          </cell>
        </row>
        <row r="533">
          <cell r="A533" t="str">
            <v>上海金力泰化工股份有限公司</v>
          </cell>
          <cell r="B533">
            <v>0</v>
          </cell>
          <cell r="C533">
            <v>0</v>
          </cell>
          <cell r="D533">
            <v>0</v>
          </cell>
        </row>
        <row r="534">
          <cell r="A534" t="str">
            <v>上海克来机电自动化工程有限公司</v>
          </cell>
          <cell r="B534">
            <v>0</v>
          </cell>
          <cell r="C534">
            <v>0</v>
          </cell>
          <cell r="D534">
            <v>0</v>
          </cell>
        </row>
        <row r="535">
          <cell r="A535" t="str">
            <v>上海利用锁具有限公司</v>
          </cell>
          <cell r="B535">
            <v>0</v>
          </cell>
          <cell r="C535">
            <v>0</v>
          </cell>
          <cell r="D535">
            <v>0</v>
          </cell>
        </row>
        <row r="536">
          <cell r="A536" t="str">
            <v>上海名华悬挂输送机有限公司</v>
          </cell>
          <cell r="B536">
            <v>0</v>
          </cell>
          <cell r="C536">
            <v>0</v>
          </cell>
          <cell r="D536">
            <v>19500</v>
          </cell>
        </row>
        <row r="537">
          <cell r="A537" t="str">
            <v>上海明芳汽车零件有限公司</v>
          </cell>
          <cell r="B537">
            <v>800000</v>
          </cell>
          <cell r="C537">
            <v>0</v>
          </cell>
          <cell r="D537">
            <v>952448</v>
          </cell>
        </row>
        <row r="538">
          <cell r="A538" t="str">
            <v>上海腾基机械设备有限公司</v>
          </cell>
          <cell r="B538">
            <v>0</v>
          </cell>
          <cell r="C538">
            <v>0</v>
          </cell>
          <cell r="D538">
            <v>0</v>
          </cell>
        </row>
        <row r="539">
          <cell r="A539" t="str">
            <v>上海旭伽贸易有限公司</v>
          </cell>
          <cell r="B539">
            <v>0</v>
          </cell>
          <cell r="C539">
            <v>0</v>
          </cell>
          <cell r="D539">
            <v>0</v>
          </cell>
        </row>
        <row r="540">
          <cell r="A540" t="str">
            <v>上海研润光机科技有限公司</v>
          </cell>
          <cell r="B540">
            <v>0</v>
          </cell>
          <cell r="C540">
            <v>0</v>
          </cell>
          <cell r="D540">
            <v>0</v>
          </cell>
        </row>
        <row r="541">
          <cell r="A541" t="str">
            <v>上海奕盛信息技术有限公司</v>
          </cell>
          <cell r="B541">
            <v>0</v>
          </cell>
          <cell r="C541">
            <v>0</v>
          </cell>
          <cell r="D541">
            <v>0</v>
          </cell>
        </row>
        <row r="542">
          <cell r="A542" t="str">
            <v>上海优诺特实业股份有限公司</v>
          </cell>
          <cell r="B542">
            <v>0</v>
          </cell>
          <cell r="C542">
            <v>0</v>
          </cell>
          <cell r="D542">
            <v>5600</v>
          </cell>
        </row>
        <row r="543">
          <cell r="A543" t="str">
            <v>上海誉星电子有限公司</v>
          </cell>
          <cell r="B543">
            <v>0</v>
          </cell>
          <cell r="C543">
            <v>0</v>
          </cell>
          <cell r="D543">
            <v>0</v>
          </cell>
        </row>
        <row r="544">
          <cell r="A544" t="str">
            <v>上海绽奇工贸有限公司</v>
          </cell>
          <cell r="B544">
            <v>44858.9</v>
          </cell>
          <cell r="C544">
            <v>8080.4</v>
          </cell>
          <cell r="D544">
            <v>8080.4</v>
          </cell>
        </row>
        <row r="545">
          <cell r="A545" t="str">
            <v>深圳市固特灵胶业有限公司</v>
          </cell>
          <cell r="B545">
            <v>0</v>
          </cell>
          <cell r="C545">
            <v>0</v>
          </cell>
          <cell r="D545">
            <v>0</v>
          </cell>
        </row>
        <row r="546">
          <cell r="A546" t="str">
            <v>深圳市互成自动化设备有限公司</v>
          </cell>
          <cell r="B546">
            <v>0</v>
          </cell>
          <cell r="C546">
            <v>0</v>
          </cell>
          <cell r="D546">
            <v>0</v>
          </cell>
        </row>
        <row r="547">
          <cell r="A547" t="str">
            <v>深圳市华亚数控机床有限公司</v>
          </cell>
          <cell r="B547">
            <v>0</v>
          </cell>
          <cell r="C547">
            <v>0</v>
          </cell>
          <cell r="D547">
            <v>0</v>
          </cell>
        </row>
        <row r="548">
          <cell r="A548" t="str">
            <v>深圳市立恒视觉技术有限公司</v>
          </cell>
          <cell r="B548">
            <v>0</v>
          </cell>
          <cell r="C548">
            <v>0</v>
          </cell>
          <cell r="D548">
            <v>0</v>
          </cell>
        </row>
        <row r="549">
          <cell r="A549" t="str">
            <v>深圳市森瑞普电子有限公司</v>
          </cell>
          <cell r="B549">
            <v>0</v>
          </cell>
          <cell r="C549">
            <v>0</v>
          </cell>
          <cell r="D549">
            <v>0</v>
          </cell>
        </row>
        <row r="550">
          <cell r="A550" t="str">
            <v>深圳市顺镒五金机电有限公司</v>
          </cell>
          <cell r="B550">
            <v>0</v>
          </cell>
          <cell r="C550">
            <v>0</v>
          </cell>
          <cell r="D550">
            <v>0</v>
          </cell>
        </row>
        <row r="551">
          <cell r="A551" t="str">
            <v>深圳市万泉河科技有限公司</v>
          </cell>
          <cell r="B551">
            <v>0</v>
          </cell>
          <cell r="C551">
            <v>0</v>
          </cell>
          <cell r="D551">
            <v>0</v>
          </cell>
        </row>
        <row r="552">
          <cell r="A552" t="str">
            <v>深州市安广顺机械配件有限公司</v>
          </cell>
          <cell r="B552">
            <v>50000</v>
          </cell>
          <cell r="C552">
            <v>7485.37</v>
          </cell>
          <cell r="D552">
            <v>123142.27</v>
          </cell>
        </row>
        <row r="553">
          <cell r="A553" t="str">
            <v>深州市华星塑胶制品有限公司</v>
          </cell>
          <cell r="B553">
            <v>0</v>
          </cell>
          <cell r="C553">
            <v>0</v>
          </cell>
          <cell r="D553">
            <v>0</v>
          </cell>
        </row>
        <row r="554">
          <cell r="A554" t="str">
            <v>深州市卓伦橡塑磨具有限公司</v>
          </cell>
          <cell r="B554">
            <v>550000</v>
          </cell>
          <cell r="C554">
            <v>267321.03</v>
          </cell>
          <cell r="D554">
            <v>2344089.4</v>
          </cell>
        </row>
        <row r="555">
          <cell r="A555" t="str">
            <v>沈阳市鼎华机械设备制造厂</v>
          </cell>
          <cell r="B555">
            <v>0</v>
          </cell>
          <cell r="C555">
            <v>0</v>
          </cell>
          <cell r="D555">
            <v>4080</v>
          </cell>
        </row>
        <row r="556">
          <cell r="A556" t="str">
            <v>石家庄霍克叉车设备有限公司</v>
          </cell>
          <cell r="B556">
            <v>0</v>
          </cell>
          <cell r="C556">
            <v>0</v>
          </cell>
          <cell r="D556">
            <v>0</v>
          </cell>
        </row>
        <row r="557">
          <cell r="A557" t="str">
            <v>石家庄金盾安全技术工程有限公司沧州分公司</v>
          </cell>
          <cell r="B557">
            <v>0</v>
          </cell>
          <cell r="C557">
            <v>0</v>
          </cell>
          <cell r="D557">
            <v>112870</v>
          </cell>
        </row>
        <row r="558">
          <cell r="A558" t="str">
            <v>石家庄松樾机械设备销售有限公司</v>
          </cell>
          <cell r="B558">
            <v>0</v>
          </cell>
          <cell r="C558">
            <v>0</v>
          </cell>
          <cell r="D558">
            <v>0</v>
          </cell>
        </row>
        <row r="559">
          <cell r="A559" t="str">
            <v>市场采购</v>
          </cell>
          <cell r="B559">
            <v>0</v>
          </cell>
          <cell r="C559">
            <v>0</v>
          </cell>
          <cell r="D559">
            <v>0</v>
          </cell>
        </row>
        <row r="560">
          <cell r="A560" t="str">
            <v>沭阳县嘉福商贸中心</v>
          </cell>
          <cell r="B560">
            <v>0</v>
          </cell>
          <cell r="C560">
            <v>0</v>
          </cell>
          <cell r="D560">
            <v>0</v>
          </cell>
        </row>
        <row r="561">
          <cell r="A561" t="str">
            <v>苏瑞电子设备（北京）有限公司</v>
          </cell>
          <cell r="B561">
            <v>0</v>
          </cell>
          <cell r="C561">
            <v>0</v>
          </cell>
          <cell r="D561">
            <v>0</v>
          </cell>
        </row>
        <row r="562">
          <cell r="A562" t="str">
            <v>苏州高登威科技股份有限公司</v>
          </cell>
          <cell r="B562">
            <v>0</v>
          </cell>
          <cell r="C562">
            <v>0</v>
          </cell>
          <cell r="D562">
            <v>0</v>
          </cell>
        </row>
        <row r="563">
          <cell r="A563" t="str">
            <v>苏州高新区旭达输送机械有限公司</v>
          </cell>
          <cell r="B563">
            <v>0</v>
          </cell>
          <cell r="C563">
            <v>0</v>
          </cell>
          <cell r="D563">
            <v>48800</v>
          </cell>
        </row>
        <row r="564">
          <cell r="A564" t="str">
            <v>苏州格力富机电科技有限公司</v>
          </cell>
          <cell r="B564">
            <v>0</v>
          </cell>
          <cell r="C564">
            <v>0</v>
          </cell>
          <cell r="D564">
            <v>0</v>
          </cell>
        </row>
        <row r="565">
          <cell r="A565" t="str">
            <v>苏州华尔普机械有限公司</v>
          </cell>
          <cell r="B565">
            <v>0</v>
          </cell>
          <cell r="C565">
            <v>0</v>
          </cell>
          <cell r="D565">
            <v>0</v>
          </cell>
        </row>
        <row r="566">
          <cell r="A566" t="str">
            <v>苏州瑞尔福精密模具有限公司</v>
          </cell>
          <cell r="B566">
            <v>0</v>
          </cell>
          <cell r="C566">
            <v>0</v>
          </cell>
          <cell r="D566">
            <v>0</v>
          </cell>
        </row>
        <row r="567">
          <cell r="A567" t="str">
            <v>苏州市荣威模具有限公司</v>
          </cell>
          <cell r="B567">
            <v>0</v>
          </cell>
          <cell r="C567">
            <v>0</v>
          </cell>
          <cell r="D567">
            <v>0</v>
          </cell>
        </row>
        <row r="568">
          <cell r="A568" t="str">
            <v>苏州泰克优自动化科技有限公司</v>
          </cell>
          <cell r="B568">
            <v>0</v>
          </cell>
          <cell r="C568">
            <v>0</v>
          </cell>
          <cell r="D568">
            <v>0</v>
          </cell>
        </row>
        <row r="569">
          <cell r="A569" t="str">
            <v>苏州耀腾光电有限公司</v>
          </cell>
          <cell r="B569">
            <v>0</v>
          </cell>
          <cell r="C569">
            <v>0</v>
          </cell>
          <cell r="D569">
            <v>247237.09</v>
          </cell>
        </row>
        <row r="570">
          <cell r="A570" t="str">
            <v>宿迁京狗电子商务有限公司</v>
          </cell>
          <cell r="B570">
            <v>0</v>
          </cell>
          <cell r="C570">
            <v>0</v>
          </cell>
          <cell r="D570">
            <v>0</v>
          </cell>
        </row>
        <row r="571">
          <cell r="A571" t="str">
            <v>塑宝环保机械（太仓）有限公司</v>
          </cell>
          <cell r="B571">
            <v>0</v>
          </cell>
          <cell r="C571">
            <v>0</v>
          </cell>
          <cell r="D571">
            <v>0</v>
          </cell>
        </row>
        <row r="572">
          <cell r="A572" t="str">
            <v>泰州市罡阳龙宇机械厂</v>
          </cell>
          <cell r="B572">
            <v>0</v>
          </cell>
          <cell r="C572">
            <v>0</v>
          </cell>
          <cell r="D572">
            <v>0</v>
          </cell>
        </row>
        <row r="573">
          <cell r="A573" t="str">
            <v>唐山京联制线有限公司</v>
          </cell>
          <cell r="B573">
            <v>0</v>
          </cell>
          <cell r="C573">
            <v>0</v>
          </cell>
          <cell r="D573">
            <v>0</v>
          </cell>
        </row>
        <row r="574">
          <cell r="A574" t="str">
            <v>唐山市丰润区报喜坨扁钢厂（普通合伙）</v>
          </cell>
          <cell r="B574">
            <v>46648.8</v>
          </cell>
          <cell r="C574">
            <v>46648.8</v>
          </cell>
          <cell r="D574">
            <v>0</v>
          </cell>
        </row>
        <row r="575">
          <cell r="A575" t="str">
            <v>唐山松下产业机器有限公司</v>
          </cell>
          <cell r="B575">
            <v>0</v>
          </cell>
          <cell r="C575">
            <v>0</v>
          </cell>
          <cell r="D575">
            <v>0</v>
          </cell>
        </row>
        <row r="576">
          <cell r="A576" t="str">
            <v>唐兴压缩技术（昆山）有限公司</v>
          </cell>
          <cell r="B576">
            <v>0</v>
          </cell>
          <cell r="C576">
            <v>0</v>
          </cell>
          <cell r="D576">
            <v>0</v>
          </cell>
        </row>
        <row r="577">
          <cell r="A577" t="str">
            <v>天津安美润滑科技有限公司</v>
          </cell>
          <cell r="B577">
            <v>0</v>
          </cell>
          <cell r="C577">
            <v>0</v>
          </cell>
          <cell r="D577">
            <v>0</v>
          </cell>
        </row>
        <row r="578">
          <cell r="A578" t="str">
            <v>天津澳晨科技有限公司</v>
          </cell>
          <cell r="B578">
            <v>0</v>
          </cell>
          <cell r="C578">
            <v>0</v>
          </cell>
          <cell r="D578">
            <v>0</v>
          </cell>
        </row>
        <row r="579">
          <cell r="A579" t="str">
            <v>天津宝盈电脑机械有限公司</v>
          </cell>
          <cell r="B579">
            <v>0</v>
          </cell>
          <cell r="C579">
            <v>0</v>
          </cell>
          <cell r="D579">
            <v>0</v>
          </cell>
        </row>
        <row r="580">
          <cell r="A580" t="str">
            <v>天津北方合力叉车有限公司石家庄分公司</v>
          </cell>
          <cell r="B580">
            <v>0</v>
          </cell>
          <cell r="C580">
            <v>0</v>
          </cell>
          <cell r="D580">
            <v>0</v>
          </cell>
        </row>
        <row r="581">
          <cell r="A581" t="str">
            <v>天津冠崴精密机械有限公司</v>
          </cell>
          <cell r="B581">
            <v>0</v>
          </cell>
          <cell r="C581">
            <v>0</v>
          </cell>
          <cell r="D581">
            <v>0</v>
          </cell>
        </row>
        <row r="582">
          <cell r="A582" t="str">
            <v>天津恒昌达绝缘材料有限公司</v>
          </cell>
          <cell r="B582">
            <v>0</v>
          </cell>
          <cell r="C582">
            <v>0</v>
          </cell>
          <cell r="D582">
            <v>0</v>
          </cell>
        </row>
        <row r="583">
          <cell r="A583" t="str">
            <v>天津华钢投资发展有限公司</v>
          </cell>
          <cell r="B583">
            <v>0</v>
          </cell>
          <cell r="C583">
            <v>0</v>
          </cell>
          <cell r="D583">
            <v>0</v>
          </cell>
        </row>
        <row r="584">
          <cell r="A584" t="str">
            <v>天津华兰文鑫文化用品商贸有限公司</v>
          </cell>
          <cell r="B584">
            <v>0</v>
          </cell>
          <cell r="C584">
            <v>0</v>
          </cell>
          <cell r="D584">
            <v>0</v>
          </cell>
        </row>
        <row r="585">
          <cell r="A585" t="str">
            <v>天津金发新材料有限公司</v>
          </cell>
          <cell r="B585">
            <v>250000</v>
          </cell>
          <cell r="C585">
            <v>0</v>
          </cell>
          <cell r="D585">
            <v>395000</v>
          </cell>
        </row>
        <row r="586">
          <cell r="A586" t="str">
            <v>天津精美特表面技术有限公司</v>
          </cell>
          <cell r="B586">
            <v>0</v>
          </cell>
          <cell r="C586">
            <v>260408.72</v>
          </cell>
          <cell r="D586">
            <v>2229775.46</v>
          </cell>
        </row>
        <row r="587">
          <cell r="A587" t="str">
            <v>天津景宝田金属材料贸易有限公司</v>
          </cell>
          <cell r="B587">
            <v>0</v>
          </cell>
          <cell r="C587">
            <v>0</v>
          </cell>
          <cell r="D587">
            <v>0</v>
          </cell>
        </row>
        <row r="588">
          <cell r="A588" t="str">
            <v>天津开山金属模具科技有限公司</v>
          </cell>
          <cell r="B588">
            <v>0</v>
          </cell>
          <cell r="C588">
            <v>0</v>
          </cell>
          <cell r="D588">
            <v>0</v>
          </cell>
        </row>
        <row r="589">
          <cell r="A589" t="str">
            <v>天津科特迪涂装设备有限公司</v>
          </cell>
          <cell r="B589">
            <v>0</v>
          </cell>
          <cell r="C589">
            <v>0</v>
          </cell>
          <cell r="D589">
            <v>13675.21</v>
          </cell>
        </row>
        <row r="590">
          <cell r="A590" t="str">
            <v>天津利迪科技发展有限公司</v>
          </cell>
          <cell r="B590">
            <v>0</v>
          </cell>
          <cell r="C590">
            <v>41000</v>
          </cell>
          <cell r="D590">
            <v>63000</v>
          </cell>
        </row>
        <row r="591">
          <cell r="A591" t="str">
            <v>天津尼嘉斯机械设备销售有限公司</v>
          </cell>
          <cell r="B591">
            <v>0</v>
          </cell>
          <cell r="C591">
            <v>0</v>
          </cell>
          <cell r="D591">
            <v>14336</v>
          </cell>
        </row>
        <row r="592">
          <cell r="A592" t="str">
            <v>天津欧尔派斯环保科技发展有限公司</v>
          </cell>
          <cell r="B592">
            <v>250000</v>
          </cell>
          <cell r="C592">
            <v>189917.68</v>
          </cell>
          <cell r="D592">
            <v>1106719.01</v>
          </cell>
        </row>
        <row r="593">
          <cell r="A593" t="str">
            <v>天津霹雳马商贸有限公司</v>
          </cell>
          <cell r="B593">
            <v>0</v>
          </cell>
          <cell r="C593">
            <v>0</v>
          </cell>
          <cell r="D593">
            <v>0</v>
          </cell>
        </row>
        <row r="594">
          <cell r="A594" t="str">
            <v>天津市奥特威德焊接技术有限公司</v>
          </cell>
          <cell r="B594">
            <v>0</v>
          </cell>
          <cell r="C594">
            <v>0</v>
          </cell>
          <cell r="D594">
            <v>42000</v>
          </cell>
        </row>
        <row r="595">
          <cell r="A595" t="str">
            <v>天津市佰盟科技发展有限公司</v>
          </cell>
          <cell r="B595">
            <v>0</v>
          </cell>
          <cell r="C595">
            <v>0</v>
          </cell>
          <cell r="D595">
            <v>0</v>
          </cell>
        </row>
        <row r="596">
          <cell r="A596" t="str">
            <v>天津市柏韦特润滑油脂有限公司</v>
          </cell>
          <cell r="B596">
            <v>0</v>
          </cell>
          <cell r="C596">
            <v>0</v>
          </cell>
          <cell r="D596">
            <v>0</v>
          </cell>
        </row>
        <row r="597">
          <cell r="A597" t="str">
            <v>天津市宝信达工贸有限公司</v>
          </cell>
          <cell r="B597">
            <v>0</v>
          </cell>
          <cell r="C597">
            <v>0</v>
          </cell>
          <cell r="D597">
            <v>0</v>
          </cell>
        </row>
        <row r="598">
          <cell r="A598" t="str">
            <v>天津市滨达五金交电有限公司</v>
          </cell>
          <cell r="B598">
            <v>0</v>
          </cell>
          <cell r="C598">
            <v>0</v>
          </cell>
          <cell r="D598">
            <v>0</v>
          </cell>
        </row>
        <row r="599">
          <cell r="A599" t="str">
            <v>天津市大港区宏达五金冲压厂（刘炳淮）</v>
          </cell>
          <cell r="B599">
            <v>0</v>
          </cell>
          <cell r="C599">
            <v>0</v>
          </cell>
          <cell r="D599">
            <v>0</v>
          </cell>
        </row>
        <row r="600">
          <cell r="A600" t="str">
            <v>天津市富安捷泡沫塑料制品有限公司</v>
          </cell>
          <cell r="B600">
            <v>0</v>
          </cell>
          <cell r="C600">
            <v>0</v>
          </cell>
          <cell r="D600">
            <v>0</v>
          </cell>
        </row>
        <row r="601">
          <cell r="A601" t="str">
            <v>天津市金晶气体压缩机制造有限公司</v>
          </cell>
          <cell r="B601">
            <v>0</v>
          </cell>
          <cell r="C601">
            <v>0</v>
          </cell>
          <cell r="D601">
            <v>0</v>
          </cell>
        </row>
        <row r="602">
          <cell r="A602" t="str">
            <v>天津市津荣兴钢铁贸易有限公司</v>
          </cell>
          <cell r="B602">
            <v>37008.62</v>
          </cell>
          <cell r="C602">
            <v>0</v>
          </cell>
          <cell r="D602">
            <v>51943.5</v>
          </cell>
        </row>
        <row r="603">
          <cell r="A603" t="str">
            <v>天津市科利达塑料制品有限公司</v>
          </cell>
          <cell r="B603">
            <v>0</v>
          </cell>
          <cell r="C603">
            <v>0</v>
          </cell>
          <cell r="D603">
            <v>0</v>
          </cell>
        </row>
        <row r="604">
          <cell r="A604" t="str">
            <v>天津市旷达汽车织物有限公司</v>
          </cell>
          <cell r="B604">
            <v>0</v>
          </cell>
          <cell r="C604">
            <v>0</v>
          </cell>
          <cell r="D604">
            <v>0</v>
          </cell>
        </row>
        <row r="605">
          <cell r="A605" t="str">
            <v>天津市鹏升汽车部件有限公司</v>
          </cell>
          <cell r="B605">
            <v>2000000</v>
          </cell>
          <cell r="C605">
            <v>995826.46</v>
          </cell>
          <cell r="D605">
            <v>10308303.89</v>
          </cell>
        </row>
        <row r="606">
          <cell r="A606" t="str">
            <v>天津市平江工贸有限公司</v>
          </cell>
          <cell r="B606">
            <v>0</v>
          </cell>
          <cell r="C606">
            <v>0</v>
          </cell>
          <cell r="D606">
            <v>0</v>
          </cell>
        </row>
        <row r="607">
          <cell r="A607" t="str">
            <v>天津市双得利金属制品有限公司</v>
          </cell>
          <cell r="B607">
            <v>0</v>
          </cell>
          <cell r="C607">
            <v>0</v>
          </cell>
          <cell r="D607">
            <v>0</v>
          </cell>
        </row>
        <row r="608">
          <cell r="A608" t="str">
            <v>天津市腾达宇恒科技有限公司</v>
          </cell>
          <cell r="B608">
            <v>102712.74</v>
          </cell>
          <cell r="C608">
            <v>0</v>
          </cell>
          <cell r="D608">
            <v>0</v>
          </cell>
        </row>
        <row r="609">
          <cell r="A609" t="str">
            <v>天津市天龙得冷成型部件有限公司</v>
          </cell>
          <cell r="B609">
            <v>0</v>
          </cell>
          <cell r="C609">
            <v>0</v>
          </cell>
          <cell r="D609">
            <v>0</v>
          </cell>
        </row>
        <row r="610">
          <cell r="A610" t="str">
            <v>天津市天一科技有限公司</v>
          </cell>
          <cell r="B610">
            <v>0</v>
          </cell>
          <cell r="C610">
            <v>0</v>
          </cell>
          <cell r="D610">
            <v>0</v>
          </cell>
        </row>
        <row r="611">
          <cell r="A611" t="str">
            <v>天津市先瑞科技有限公司</v>
          </cell>
          <cell r="B611">
            <v>0</v>
          </cell>
          <cell r="C611">
            <v>0</v>
          </cell>
          <cell r="D611">
            <v>0</v>
          </cell>
        </row>
        <row r="612">
          <cell r="A612" t="str">
            <v>天津速凯科技发展有限公司</v>
          </cell>
          <cell r="B612">
            <v>0</v>
          </cell>
          <cell r="C612">
            <v>0</v>
          </cell>
          <cell r="D612">
            <v>0</v>
          </cell>
        </row>
        <row r="613">
          <cell r="A613" t="str">
            <v>天津万塑新材料科技有限公司</v>
          </cell>
          <cell r="B613">
            <v>35600</v>
          </cell>
          <cell r="C613">
            <v>35600</v>
          </cell>
          <cell r="D613">
            <v>0</v>
          </cell>
        </row>
        <row r="614">
          <cell r="A614" t="str">
            <v>天津祥顺科技发展有限公司沧州分公司</v>
          </cell>
          <cell r="B614">
            <v>0</v>
          </cell>
          <cell r="C614">
            <v>0</v>
          </cell>
          <cell r="D614">
            <v>0</v>
          </cell>
        </row>
        <row r="615">
          <cell r="A615" t="str">
            <v>天津鑫强达工贸有限公司</v>
          </cell>
          <cell r="B615">
            <v>0</v>
          </cell>
          <cell r="C615">
            <v>0</v>
          </cell>
          <cell r="D615">
            <v>0</v>
          </cell>
        </row>
        <row r="616">
          <cell r="A616" t="str">
            <v>天津亚铁商贸有限公司</v>
          </cell>
          <cell r="B616">
            <v>1000000</v>
          </cell>
          <cell r="C616">
            <v>498125.35</v>
          </cell>
          <cell r="D616">
            <v>2727562.65</v>
          </cell>
        </row>
        <row r="617">
          <cell r="A617" t="str">
            <v>天津一番荣科技有限公司</v>
          </cell>
          <cell r="B617">
            <v>0</v>
          </cell>
          <cell r="C617">
            <v>0</v>
          </cell>
          <cell r="D617">
            <v>0</v>
          </cell>
        </row>
        <row r="618">
          <cell r="A618" t="str">
            <v>天津优普达特科技有限公司</v>
          </cell>
          <cell r="B618">
            <v>0</v>
          </cell>
          <cell r="C618">
            <v>0</v>
          </cell>
          <cell r="D618">
            <v>5100</v>
          </cell>
        </row>
        <row r="619">
          <cell r="A619" t="str">
            <v>天津舟洲劳务派遣有限公司</v>
          </cell>
          <cell r="B619">
            <v>0</v>
          </cell>
          <cell r="C619">
            <v>0</v>
          </cell>
          <cell r="D619">
            <v>0</v>
          </cell>
        </row>
        <row r="620">
          <cell r="A620" t="str">
            <v>天津洲海科技发展有限公司</v>
          </cell>
          <cell r="B620">
            <v>0</v>
          </cell>
          <cell r="C620">
            <v>98251.86</v>
          </cell>
          <cell r="D620">
            <v>731495.33</v>
          </cell>
        </row>
        <row r="621">
          <cell r="A621" t="str">
            <v>天津卓灿商贸有限公司</v>
          </cell>
          <cell r="B621">
            <v>0</v>
          </cell>
          <cell r="C621">
            <v>0</v>
          </cell>
          <cell r="D621">
            <v>0</v>
          </cell>
        </row>
        <row r="622">
          <cell r="A622" t="str">
            <v>万华化学（北京）有限公司</v>
          </cell>
          <cell r="B622">
            <v>0</v>
          </cell>
          <cell r="C622">
            <v>0</v>
          </cell>
          <cell r="D622">
            <v>0</v>
          </cell>
        </row>
        <row r="623">
          <cell r="A623" t="str">
            <v>万华化学（烟台）销售有限公司</v>
          </cell>
          <cell r="B623">
            <v>500000</v>
          </cell>
          <cell r="C623">
            <v>1137500</v>
          </cell>
          <cell r="D623">
            <v>4824176.67</v>
          </cell>
        </row>
        <row r="624">
          <cell r="A624" t="str">
            <v>王景辉</v>
          </cell>
          <cell r="B624">
            <v>0</v>
          </cell>
          <cell r="C624">
            <v>0</v>
          </cell>
          <cell r="D624">
            <v>0</v>
          </cell>
        </row>
        <row r="625">
          <cell r="A625" t="str">
            <v>王连营</v>
          </cell>
          <cell r="B625">
            <v>30000</v>
          </cell>
          <cell r="C625">
            <v>39770</v>
          </cell>
          <cell r="D625">
            <v>103910</v>
          </cell>
        </row>
        <row r="626">
          <cell r="A626" t="str">
            <v>网银在线（北京）科技有限公司客户备付金</v>
          </cell>
          <cell r="B626">
            <v>0</v>
          </cell>
          <cell r="C626">
            <v>0</v>
          </cell>
          <cell r="D626">
            <v>0</v>
          </cell>
        </row>
        <row r="627">
          <cell r="A627" t="str">
            <v>威县永盛汽车配件制造有限公司</v>
          </cell>
          <cell r="B627">
            <v>0</v>
          </cell>
          <cell r="C627">
            <v>0</v>
          </cell>
          <cell r="D627">
            <v>11220.07</v>
          </cell>
        </row>
        <row r="628">
          <cell r="A628" t="str">
            <v>潍坊光华荣昌汽车技术有限公司</v>
          </cell>
          <cell r="B628">
            <v>3083819.49</v>
          </cell>
          <cell r="C628">
            <v>3570190.45</v>
          </cell>
          <cell r="D628">
            <v>4417194.21</v>
          </cell>
        </row>
        <row r="629">
          <cell r="A629" t="str">
            <v>温州市瓯海茶山同悦海绵制品厂</v>
          </cell>
          <cell r="B629">
            <v>0</v>
          </cell>
          <cell r="C629">
            <v>0</v>
          </cell>
          <cell r="D629">
            <v>0</v>
          </cell>
        </row>
        <row r="630">
          <cell r="A630" t="str">
            <v>温州万福机电有限公司</v>
          </cell>
          <cell r="B630">
            <v>10230</v>
          </cell>
          <cell r="C630">
            <v>10230</v>
          </cell>
          <cell r="D630">
            <v>10230</v>
          </cell>
        </row>
        <row r="631">
          <cell r="A631" t="str">
            <v>温州万泰橡塑股份有限公司</v>
          </cell>
          <cell r="B631">
            <v>144</v>
          </cell>
          <cell r="C631">
            <v>144</v>
          </cell>
          <cell r="D631">
            <v>0</v>
          </cell>
        </row>
        <row r="632">
          <cell r="A632" t="str">
            <v>文安县鲍氏模具皮纹加工有限公司</v>
          </cell>
          <cell r="B632">
            <v>0</v>
          </cell>
          <cell r="C632">
            <v>0</v>
          </cell>
          <cell r="D632">
            <v>0</v>
          </cell>
        </row>
        <row r="633">
          <cell r="A633" t="str">
            <v>文安县德实汽车配件有限公司</v>
          </cell>
          <cell r="B633">
            <v>180000</v>
          </cell>
          <cell r="C633">
            <v>0</v>
          </cell>
          <cell r="D633">
            <v>328664.16</v>
          </cell>
        </row>
        <row r="634">
          <cell r="A634" t="str">
            <v>文登市凤凰婷装饰有限公司</v>
          </cell>
          <cell r="B634">
            <v>0</v>
          </cell>
          <cell r="C634">
            <v>0</v>
          </cell>
          <cell r="D634">
            <v>314.6</v>
          </cell>
        </row>
        <row r="635">
          <cell r="A635" t="str">
            <v>文登太成电子有限公司</v>
          </cell>
          <cell r="B635">
            <v>50000</v>
          </cell>
          <cell r="C635">
            <v>48276</v>
          </cell>
          <cell r="D635">
            <v>117333</v>
          </cell>
        </row>
        <row r="636">
          <cell r="A636" t="str">
            <v>沃尔瓦格涂料（廊坊）有限公司</v>
          </cell>
          <cell r="B636">
            <v>0</v>
          </cell>
          <cell r="C636">
            <v>21056.42</v>
          </cell>
          <cell r="D636">
            <v>288304.33</v>
          </cell>
        </row>
        <row r="637">
          <cell r="A637" t="str">
            <v>无极县淼海皮革制品有限公司</v>
          </cell>
          <cell r="B637">
            <v>0</v>
          </cell>
          <cell r="C637">
            <v>0</v>
          </cell>
          <cell r="D637">
            <v>0</v>
          </cell>
        </row>
        <row r="638">
          <cell r="A638" t="str">
            <v>无锡赛典高频电子设备有限公司</v>
          </cell>
          <cell r="B638">
            <v>0</v>
          </cell>
          <cell r="C638">
            <v>0</v>
          </cell>
          <cell r="D638">
            <v>0</v>
          </cell>
        </row>
        <row r="639">
          <cell r="A639" t="str">
            <v>无锡市宏伟彩印包装有限公司</v>
          </cell>
          <cell r="B639">
            <v>0</v>
          </cell>
          <cell r="C639">
            <v>0</v>
          </cell>
          <cell r="D639">
            <v>0</v>
          </cell>
        </row>
        <row r="640">
          <cell r="A640" t="str">
            <v>无锡苏辰汽车部件有限公司</v>
          </cell>
          <cell r="B640">
            <v>65503.8</v>
          </cell>
          <cell r="C640">
            <v>65503.8</v>
          </cell>
          <cell r="D640">
            <v>0</v>
          </cell>
        </row>
        <row r="641">
          <cell r="A641" t="str">
            <v>芜湖市卓人汽车配件有限公司</v>
          </cell>
          <cell r="B641">
            <v>0</v>
          </cell>
          <cell r="C641">
            <v>27637.6</v>
          </cell>
          <cell r="D641">
            <v>172978.56</v>
          </cell>
        </row>
        <row r="642">
          <cell r="A642" t="str">
            <v>芜湖星火软轴控制索制造有限公司</v>
          </cell>
          <cell r="B642">
            <v>50000</v>
          </cell>
          <cell r="C642">
            <v>0</v>
          </cell>
          <cell r="D642">
            <v>107110.53</v>
          </cell>
        </row>
        <row r="643">
          <cell r="A643" t="str">
            <v>武汉恒新国仪科技有限公司</v>
          </cell>
          <cell r="B643">
            <v>0</v>
          </cell>
          <cell r="C643">
            <v>0</v>
          </cell>
          <cell r="D643">
            <v>0</v>
          </cell>
        </row>
        <row r="644">
          <cell r="A644" t="str">
            <v>西安光华荣昌汽车部件有限公司</v>
          </cell>
          <cell r="B644">
            <v>3947.9</v>
          </cell>
          <cell r="C644">
            <v>3947.9</v>
          </cell>
          <cell r="D644">
            <v>0</v>
          </cell>
        </row>
        <row r="645">
          <cell r="A645" t="str">
            <v>西安海容塑料制品有限责任公司</v>
          </cell>
          <cell r="B645">
            <v>14400</v>
          </cell>
          <cell r="C645">
            <v>0</v>
          </cell>
          <cell r="D645">
            <v>0</v>
          </cell>
        </row>
        <row r="646">
          <cell r="A646" t="str">
            <v>厦门劲亨五金工业有限公司</v>
          </cell>
          <cell r="B646">
            <v>0</v>
          </cell>
          <cell r="C646">
            <v>0</v>
          </cell>
          <cell r="D646">
            <v>19024</v>
          </cell>
        </row>
        <row r="647">
          <cell r="A647" t="str">
            <v>厦门凯平化工有限公司</v>
          </cell>
          <cell r="B647">
            <v>0</v>
          </cell>
          <cell r="C647">
            <v>25904.69</v>
          </cell>
          <cell r="D647">
            <v>25904.69</v>
          </cell>
        </row>
        <row r="648">
          <cell r="A648" t="str">
            <v>厦门市三友和机械有限公司</v>
          </cell>
          <cell r="B648">
            <v>0</v>
          </cell>
          <cell r="C648">
            <v>184376.12</v>
          </cell>
          <cell r="D648">
            <v>469106.12</v>
          </cell>
        </row>
        <row r="649">
          <cell r="A649" t="str">
            <v>厦门中惠达贸易有限公司</v>
          </cell>
          <cell r="B649">
            <v>0</v>
          </cell>
          <cell r="C649">
            <v>0</v>
          </cell>
          <cell r="D649">
            <v>0</v>
          </cell>
        </row>
        <row r="650">
          <cell r="A650" t="str">
            <v>湘乡简美汽车部件有限公司</v>
          </cell>
          <cell r="B650">
            <v>0</v>
          </cell>
          <cell r="C650">
            <v>0</v>
          </cell>
          <cell r="D650">
            <v>79839.87</v>
          </cell>
        </row>
        <row r="651">
          <cell r="A651" t="str">
            <v>襄阳杰创化工新材料有限公司</v>
          </cell>
          <cell r="B651">
            <v>200000</v>
          </cell>
          <cell r="C651">
            <v>112955</v>
          </cell>
          <cell r="D651">
            <v>617456.5</v>
          </cell>
        </row>
        <row r="652">
          <cell r="A652" t="str">
            <v>辛集市兴恒福利海绵复合厂</v>
          </cell>
          <cell r="B652">
            <v>0</v>
          </cell>
          <cell r="C652">
            <v>0</v>
          </cell>
          <cell r="D652">
            <v>40038.37</v>
          </cell>
        </row>
        <row r="653">
          <cell r="A653" t="str">
            <v>新梦顶（上海）贸易有限公司</v>
          </cell>
          <cell r="B653">
            <v>0</v>
          </cell>
          <cell r="C653">
            <v>0</v>
          </cell>
          <cell r="D653">
            <v>100797.89</v>
          </cell>
        </row>
        <row r="654">
          <cell r="A654" t="str">
            <v>新乡市中原起重机设备总厂有限公司</v>
          </cell>
          <cell r="B654">
            <v>0</v>
          </cell>
          <cell r="C654">
            <v>0</v>
          </cell>
          <cell r="D654">
            <v>0</v>
          </cell>
        </row>
        <row r="655">
          <cell r="A655" t="str">
            <v>雄县华增汽车饰件有限公司</v>
          </cell>
          <cell r="B655">
            <v>200000</v>
          </cell>
          <cell r="C655">
            <v>41002.48</v>
          </cell>
          <cell r="D655">
            <v>488170.53</v>
          </cell>
        </row>
        <row r="656">
          <cell r="A656" t="str">
            <v>雄县五顺革塑有限公司</v>
          </cell>
          <cell r="B656">
            <v>0</v>
          </cell>
          <cell r="C656">
            <v>0</v>
          </cell>
          <cell r="D656">
            <v>0</v>
          </cell>
        </row>
        <row r="657">
          <cell r="A657" t="str">
            <v>徐林强</v>
          </cell>
          <cell r="B657">
            <v>0</v>
          </cell>
          <cell r="C657">
            <v>0</v>
          </cell>
          <cell r="D657">
            <v>0</v>
          </cell>
        </row>
        <row r="658">
          <cell r="A658" t="str">
            <v>徐州华夏电子有限公司</v>
          </cell>
          <cell r="B658">
            <v>0</v>
          </cell>
          <cell r="C658">
            <v>161000.15</v>
          </cell>
          <cell r="D658">
            <v>228544.21</v>
          </cell>
        </row>
        <row r="659">
          <cell r="A659" t="str">
            <v>亚德客（天津）智能科技有限公司</v>
          </cell>
          <cell r="B659">
            <v>0</v>
          </cell>
          <cell r="C659">
            <v>0</v>
          </cell>
          <cell r="D659">
            <v>0</v>
          </cell>
        </row>
        <row r="660">
          <cell r="A660" t="str">
            <v>亚德客（中国）有限公司石家庄分公司</v>
          </cell>
          <cell r="B660">
            <v>0</v>
          </cell>
          <cell r="C660">
            <v>0</v>
          </cell>
          <cell r="D660">
            <v>0</v>
          </cell>
        </row>
        <row r="661">
          <cell r="A661" t="str">
            <v>烟台青沪纸业有限公司</v>
          </cell>
          <cell r="B661">
            <v>0</v>
          </cell>
          <cell r="C661">
            <v>0</v>
          </cell>
          <cell r="D661">
            <v>13560</v>
          </cell>
        </row>
        <row r="662">
          <cell r="A662" t="str">
            <v>盐城恒明弹簧有限公司</v>
          </cell>
          <cell r="B662">
            <v>0</v>
          </cell>
          <cell r="C662">
            <v>0</v>
          </cell>
          <cell r="D662">
            <v>0</v>
          </cell>
        </row>
        <row r="663">
          <cell r="A663" t="str">
            <v>盐山县大华五金销售有限公司</v>
          </cell>
          <cell r="B663">
            <v>0</v>
          </cell>
          <cell r="C663">
            <v>0</v>
          </cell>
          <cell r="D663">
            <v>0</v>
          </cell>
        </row>
        <row r="664">
          <cell r="A664" t="str">
            <v>兖州市金达汽车装饰布业有限公司</v>
          </cell>
          <cell r="B664">
            <v>0</v>
          </cell>
          <cell r="C664">
            <v>0</v>
          </cell>
          <cell r="D664">
            <v>0</v>
          </cell>
        </row>
        <row r="665">
          <cell r="A665" t="str">
            <v>扬州康锴涂装机械有限公司</v>
          </cell>
          <cell r="B665">
            <v>0</v>
          </cell>
          <cell r="C665">
            <v>0</v>
          </cell>
          <cell r="D665">
            <v>0</v>
          </cell>
        </row>
        <row r="666">
          <cell r="A666" t="str">
            <v>扬州三鸣环保科技有限公司</v>
          </cell>
          <cell r="B666">
            <v>0</v>
          </cell>
          <cell r="C666">
            <v>0</v>
          </cell>
          <cell r="D666">
            <v>60833.38</v>
          </cell>
        </row>
        <row r="667">
          <cell r="A667" t="str">
            <v>宜科（天津）电子有限公司</v>
          </cell>
          <cell r="B667">
            <v>0</v>
          </cell>
          <cell r="C667">
            <v>0</v>
          </cell>
          <cell r="D667">
            <v>0</v>
          </cell>
        </row>
        <row r="668">
          <cell r="A668" t="str">
            <v>易格斯拖链轴承仓储贸易（上海）有限公司</v>
          </cell>
          <cell r="B668">
            <v>32544</v>
          </cell>
          <cell r="C668">
            <v>32544</v>
          </cell>
          <cell r="D668">
            <v>0</v>
          </cell>
        </row>
        <row r="669">
          <cell r="A669" t="str">
            <v>永年县国泰标准件有限公司</v>
          </cell>
          <cell r="B669">
            <v>0</v>
          </cell>
          <cell r="C669">
            <v>0</v>
          </cell>
          <cell r="D669">
            <v>0</v>
          </cell>
        </row>
        <row r="670">
          <cell r="A670" t="str">
            <v>于国才</v>
          </cell>
          <cell r="B670">
            <v>0</v>
          </cell>
          <cell r="C670">
            <v>0</v>
          </cell>
          <cell r="D670">
            <v>4890</v>
          </cell>
        </row>
        <row r="671">
          <cell r="A671" t="str">
            <v>余姚市嘉瑞达机械配件厂</v>
          </cell>
          <cell r="B671">
            <v>0</v>
          </cell>
          <cell r="C671">
            <v>0</v>
          </cell>
          <cell r="D671">
            <v>0</v>
          </cell>
        </row>
        <row r="672">
          <cell r="A672" t="str">
            <v>禹城聚德丰化工有限公司</v>
          </cell>
          <cell r="B672">
            <v>0</v>
          </cell>
          <cell r="C672">
            <v>0</v>
          </cell>
          <cell r="D672">
            <v>37440</v>
          </cell>
        </row>
        <row r="673">
          <cell r="A673" t="str">
            <v>张长峰</v>
          </cell>
          <cell r="B673">
            <v>0</v>
          </cell>
          <cell r="C673">
            <v>0</v>
          </cell>
          <cell r="D673">
            <v>0</v>
          </cell>
        </row>
        <row r="674">
          <cell r="A674" t="str">
            <v>张家港保税区得英达利化工材料有限公司</v>
          </cell>
          <cell r="B674">
            <v>0</v>
          </cell>
          <cell r="C674">
            <v>0</v>
          </cell>
          <cell r="D674">
            <v>9816.4</v>
          </cell>
        </row>
        <row r="675">
          <cell r="A675" t="str">
            <v>张家港方圆管业制造有限公司</v>
          </cell>
          <cell r="B675">
            <v>0</v>
          </cell>
          <cell r="C675">
            <v>0</v>
          </cell>
          <cell r="D675">
            <v>0</v>
          </cell>
        </row>
        <row r="676">
          <cell r="A676" t="str">
            <v>张家港市凯达机械制造有限公司</v>
          </cell>
          <cell r="B676">
            <v>0</v>
          </cell>
          <cell r="C676">
            <v>0</v>
          </cell>
          <cell r="D676">
            <v>0</v>
          </cell>
        </row>
        <row r="677">
          <cell r="A677" t="str">
            <v>张家港市万荣机械制造有限公司</v>
          </cell>
          <cell r="B677">
            <v>0</v>
          </cell>
          <cell r="C677">
            <v>0</v>
          </cell>
          <cell r="D677">
            <v>6350</v>
          </cell>
        </row>
        <row r="678">
          <cell r="A678" t="str">
            <v>张绍林</v>
          </cell>
          <cell r="B678">
            <v>195000</v>
          </cell>
          <cell r="C678">
            <v>0</v>
          </cell>
          <cell r="D678">
            <v>1623011</v>
          </cell>
        </row>
        <row r="679">
          <cell r="A679" t="str">
            <v>张松林</v>
          </cell>
          <cell r="B679">
            <v>0</v>
          </cell>
          <cell r="C679">
            <v>0</v>
          </cell>
          <cell r="D679">
            <v>0</v>
          </cell>
        </row>
        <row r="680">
          <cell r="A680" t="str">
            <v>张永祥</v>
          </cell>
          <cell r="B680">
            <v>0</v>
          </cell>
          <cell r="C680">
            <v>0</v>
          </cell>
          <cell r="D680">
            <v>0</v>
          </cell>
        </row>
        <row r="681">
          <cell r="A681" t="str">
            <v>浙江富昌泰汽车零部件有限公司</v>
          </cell>
          <cell r="B681">
            <v>0</v>
          </cell>
          <cell r="C681">
            <v>0</v>
          </cell>
          <cell r="D681">
            <v>113531.82</v>
          </cell>
        </row>
        <row r="682">
          <cell r="A682" t="str">
            <v>浙江华远锁业有限公司</v>
          </cell>
          <cell r="B682">
            <v>0</v>
          </cell>
          <cell r="C682">
            <v>0</v>
          </cell>
          <cell r="D682">
            <v>0</v>
          </cell>
        </row>
        <row r="683">
          <cell r="A683" t="str">
            <v>浙江华悦汽车零部件股份有限公司</v>
          </cell>
          <cell r="B683">
            <v>0</v>
          </cell>
          <cell r="C683">
            <v>0</v>
          </cell>
          <cell r="D683">
            <v>0</v>
          </cell>
        </row>
        <row r="684">
          <cell r="A684" t="str">
            <v>浙江龙生汽车部件股份有限公司</v>
          </cell>
          <cell r="B684">
            <v>0</v>
          </cell>
          <cell r="C684">
            <v>0</v>
          </cell>
          <cell r="D684">
            <v>9063.75</v>
          </cell>
        </row>
        <row r="685">
          <cell r="A685" t="str">
            <v>浙江路得坦摩汽车股份有限公司</v>
          </cell>
          <cell r="B685">
            <v>200000</v>
          </cell>
          <cell r="C685">
            <v>247741.2</v>
          </cell>
          <cell r="D685">
            <v>2309431.2</v>
          </cell>
        </row>
        <row r="686">
          <cell r="A686" t="str">
            <v>浙江蒙力减振器有限公司</v>
          </cell>
          <cell r="B686">
            <v>0</v>
          </cell>
          <cell r="C686">
            <v>0</v>
          </cell>
          <cell r="D686">
            <v>0</v>
          </cell>
        </row>
        <row r="687">
          <cell r="A687" t="str">
            <v>浙江全盛无纺制品有限公司</v>
          </cell>
          <cell r="B687">
            <v>0</v>
          </cell>
          <cell r="C687">
            <v>0</v>
          </cell>
          <cell r="D687">
            <v>17243.92</v>
          </cell>
        </row>
        <row r="688">
          <cell r="A688" t="str">
            <v>镇江市奥德铆压设备有限公司</v>
          </cell>
          <cell r="B688">
            <v>0</v>
          </cell>
          <cell r="C688">
            <v>0</v>
          </cell>
          <cell r="D688">
            <v>0</v>
          </cell>
        </row>
        <row r="689">
          <cell r="A689" t="str">
            <v>中广核俊尔新材料有限公司</v>
          </cell>
          <cell r="B689">
            <v>0</v>
          </cell>
          <cell r="C689">
            <v>0</v>
          </cell>
          <cell r="D689">
            <v>37290</v>
          </cell>
        </row>
        <row r="690">
          <cell r="A690" t="str">
            <v>中国电子科技集团公司第二十六研究所</v>
          </cell>
          <cell r="B690">
            <v>0</v>
          </cell>
          <cell r="C690">
            <v>0</v>
          </cell>
          <cell r="D690">
            <v>0</v>
          </cell>
        </row>
        <row r="691">
          <cell r="A691" t="str">
            <v>中机寰宇认证检验有限公司</v>
          </cell>
          <cell r="B691">
            <v>0</v>
          </cell>
          <cell r="C691">
            <v>0</v>
          </cell>
          <cell r="D691">
            <v>4800</v>
          </cell>
        </row>
        <row r="692">
          <cell r="A692" t="str">
            <v>重庆光大产业有限公司</v>
          </cell>
          <cell r="B692">
            <v>0</v>
          </cell>
          <cell r="C692">
            <v>0</v>
          </cell>
          <cell r="D692">
            <v>0</v>
          </cell>
        </row>
        <row r="693">
          <cell r="A693" t="str">
            <v>重庆鑫颐塑胶有限责任公司</v>
          </cell>
          <cell r="B693">
            <v>600</v>
          </cell>
          <cell r="C693">
            <v>600</v>
          </cell>
          <cell r="D693">
            <v>0</v>
          </cell>
        </row>
        <row r="694">
          <cell r="A694" t="str">
            <v>重庆渝融兴汽车配件有限公司</v>
          </cell>
          <cell r="B694">
            <v>331.2</v>
          </cell>
          <cell r="C694">
            <v>6951</v>
          </cell>
          <cell r="D694">
            <v>6619.8</v>
          </cell>
        </row>
        <row r="695">
          <cell r="A695" t="str">
            <v>舟山市德鑫科机械有限公司</v>
          </cell>
          <cell r="B695">
            <v>0</v>
          </cell>
          <cell r="C695">
            <v>0</v>
          </cell>
          <cell r="D695">
            <v>0</v>
          </cell>
        </row>
        <row r="696">
          <cell r="A696" t="str">
            <v>株洲博雅实业有限公司</v>
          </cell>
          <cell r="B696">
            <v>0</v>
          </cell>
          <cell r="C696">
            <v>0</v>
          </cell>
          <cell r="D696">
            <v>0</v>
          </cell>
        </row>
        <row r="697">
          <cell r="A697" t="str">
            <v>株洲市凡美斯汽车配件有限公司</v>
          </cell>
          <cell r="B697">
            <v>24428.45</v>
          </cell>
          <cell r="C697">
            <v>0</v>
          </cell>
          <cell r="D697">
            <v>0</v>
          </cell>
        </row>
        <row r="698">
          <cell r="A698" t="str">
            <v>株洲泰瑞工贸有限公司</v>
          </cell>
          <cell r="B698">
            <v>0</v>
          </cell>
          <cell r="C698">
            <v>0</v>
          </cell>
          <cell r="D698">
            <v>0</v>
          </cell>
        </row>
        <row r="699">
          <cell r="A699" t="str">
            <v>诸城恒欣工贸有限公司</v>
          </cell>
          <cell r="B699">
            <v>0</v>
          </cell>
          <cell r="C699">
            <v>0</v>
          </cell>
          <cell r="D699">
            <v>0</v>
          </cell>
        </row>
        <row r="700">
          <cell r="A700" t="str">
            <v>诸城市黄海剑杆织布厂</v>
          </cell>
          <cell r="B700">
            <v>123000</v>
          </cell>
          <cell r="C700">
            <v>47745.83</v>
          </cell>
          <cell r="D700">
            <v>948033.8</v>
          </cell>
        </row>
        <row r="701">
          <cell r="A701" t="str">
            <v>诸城市泰琨机械厂</v>
          </cell>
          <cell r="B701">
            <v>0</v>
          </cell>
          <cell r="C701">
            <v>0</v>
          </cell>
          <cell r="D701">
            <v>0</v>
          </cell>
        </row>
        <row r="702">
          <cell r="A702" t="str">
            <v>诸城市正大服装辅料有限公司</v>
          </cell>
          <cell r="B702">
            <v>0</v>
          </cell>
          <cell r="C702">
            <v>3822.79</v>
          </cell>
          <cell r="D702">
            <v>3822.79</v>
          </cell>
        </row>
        <row r="703">
          <cell r="A703" t="str">
            <v>诸暨市豪南机械配件经营部</v>
          </cell>
          <cell r="B703">
            <v>465</v>
          </cell>
          <cell r="C703">
            <v>465</v>
          </cell>
          <cell r="D703">
            <v>0</v>
          </cell>
        </row>
        <row r="704">
          <cell r="A704" t="str">
            <v>涿州市天彤压铸制品有限公司</v>
          </cell>
          <cell r="B704">
            <v>0</v>
          </cell>
          <cell r="C704">
            <v>0</v>
          </cell>
          <cell r="D704">
            <v>13195</v>
          </cell>
        </row>
        <row r="705">
          <cell r="A705" t="str">
            <v>淄博华亚数控机电有限公司</v>
          </cell>
          <cell r="B705">
            <v>0</v>
          </cell>
          <cell r="C705">
            <v>0</v>
          </cell>
          <cell r="D705">
            <v>0</v>
          </cell>
        </row>
        <row r="706">
          <cell r="A706" t="str">
            <v>总计</v>
          </cell>
          <cell r="B706">
            <v>39426662.82</v>
          </cell>
          <cell r="C706">
            <v>29263699.23</v>
          </cell>
          <cell r="D706">
            <v>133482869.72</v>
          </cell>
        </row>
      </sheetData>
      <sheetData sheetId="4" refreshError="1">
        <row r="1">
          <cell r="A1" t="str">
            <v>期间</v>
          </cell>
          <cell r="B1" t="str">
            <v>2019.10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</row>
        <row r="5">
          <cell r="A5" t="str">
            <v>SMC（中国）有限公司</v>
          </cell>
          <cell r="B5">
            <v>0</v>
          </cell>
        </row>
        <row r="6">
          <cell r="A6" t="str">
            <v>阿克苏诺贝尔涂料（天津）有限公司</v>
          </cell>
          <cell r="B6">
            <v>0</v>
          </cell>
        </row>
        <row r="7">
          <cell r="A7" t="str">
            <v>艾马斯润滑科技（天津）有限公司</v>
          </cell>
          <cell r="B7">
            <v>0</v>
          </cell>
        </row>
        <row r="8">
          <cell r="A8" t="str">
            <v>安徽博朗凯德织物有限公司</v>
          </cell>
          <cell r="B8">
            <v>0</v>
          </cell>
        </row>
        <row r="9">
          <cell r="A9" t="str">
            <v>安徽汉升工业部件股份有限公司</v>
          </cell>
          <cell r="B9">
            <v>0</v>
          </cell>
        </row>
        <row r="10">
          <cell r="A10" t="str">
            <v>安徽汉升新金属技术有限公司</v>
          </cell>
          <cell r="B10">
            <v>0</v>
          </cell>
        </row>
        <row r="11">
          <cell r="A11" t="str">
            <v>安徽力鼎机械设备有限公司</v>
          </cell>
          <cell r="B11">
            <v>0</v>
          </cell>
        </row>
        <row r="12">
          <cell r="A12" t="str">
            <v>安吉县创鸿家具有限公司</v>
          </cell>
          <cell r="B12">
            <v>0</v>
          </cell>
        </row>
        <row r="13">
          <cell r="A13" t="str">
            <v>安路普（北京）汽车技术有限公司昌平分公司</v>
          </cell>
          <cell r="B13">
            <v>0</v>
          </cell>
        </row>
        <row r="14">
          <cell r="A14" t="str">
            <v>安路普（北京）汽车技术有限公司黄骅分公司</v>
          </cell>
          <cell r="B14">
            <v>0</v>
          </cell>
        </row>
        <row r="15">
          <cell r="A15" t="str">
            <v>霸州市广生冷弯机械有限公司</v>
          </cell>
          <cell r="B15">
            <v>0</v>
          </cell>
        </row>
        <row r="16">
          <cell r="A16" t="str">
            <v>霸州市宏海塑料制品有限公司</v>
          </cell>
          <cell r="B16">
            <v>0</v>
          </cell>
        </row>
        <row r="17">
          <cell r="A17" t="str">
            <v>霸州市自强汽车零部件厂</v>
          </cell>
          <cell r="B17">
            <v>0</v>
          </cell>
        </row>
        <row r="18">
          <cell r="A18" t="str">
            <v>百事腾（天津）国际贸易有限公司</v>
          </cell>
          <cell r="B18">
            <v>0</v>
          </cell>
        </row>
        <row r="19">
          <cell r="A19" t="str">
            <v>包头市万佳信息工程有限公司</v>
          </cell>
          <cell r="B19">
            <v>0</v>
          </cell>
        </row>
        <row r="20">
          <cell r="A20" t="str">
            <v>保定市枞彬商贸有限公司</v>
          </cell>
          <cell r="B20">
            <v>0</v>
          </cell>
        </row>
        <row r="21">
          <cell r="A21" t="str">
            <v>保定市佳奇整流器制造有限公司</v>
          </cell>
          <cell r="B21">
            <v>0</v>
          </cell>
        </row>
        <row r="22">
          <cell r="A22" t="str">
            <v>保定市京苑汽车装饰配件厂</v>
          </cell>
          <cell r="B22">
            <v>10000</v>
          </cell>
        </row>
        <row r="23">
          <cell r="A23" t="str">
            <v>保定市源之枝商贸有限公司</v>
          </cell>
          <cell r="B23">
            <v>0</v>
          </cell>
        </row>
        <row r="24">
          <cell r="A24" t="str">
            <v>北京百联星纸业有限公司</v>
          </cell>
          <cell r="B24">
            <v>0</v>
          </cell>
        </row>
        <row r="25">
          <cell r="A25" t="str">
            <v>北京百仕特非织造布有限公司</v>
          </cell>
          <cell r="B25">
            <v>0</v>
          </cell>
        </row>
        <row r="26">
          <cell r="A26" t="str">
            <v>北京北鸿科科技发展有限公司</v>
          </cell>
          <cell r="B26">
            <v>0</v>
          </cell>
        </row>
        <row r="27">
          <cell r="A27" t="str">
            <v>北京博雅恒欣贸易有限公司</v>
          </cell>
          <cell r="B27">
            <v>0</v>
          </cell>
        </row>
        <row r="28">
          <cell r="A28" t="str">
            <v>北京昌隆永顺物资有限公司</v>
          </cell>
          <cell r="B28">
            <v>0</v>
          </cell>
        </row>
        <row r="29">
          <cell r="A29" t="str">
            <v>北京长宏建翔科技发展有限公司</v>
          </cell>
          <cell r="B29">
            <v>0</v>
          </cell>
        </row>
        <row r="30">
          <cell r="A30" t="str">
            <v>北京超凡志成知识产权代理事务所（普通合伙）</v>
          </cell>
          <cell r="B30">
            <v>0</v>
          </cell>
        </row>
        <row r="31">
          <cell r="A31" t="str">
            <v>北京朝阳隆华电线电缆有限公司</v>
          </cell>
          <cell r="B31">
            <v>0</v>
          </cell>
        </row>
        <row r="32">
          <cell r="A32" t="str">
            <v>北京德实汽车饰件有限公司</v>
          </cell>
          <cell r="B32">
            <v>400000</v>
          </cell>
        </row>
        <row r="33">
          <cell r="A33" t="str">
            <v>北京迪阳自动化设备有限公司</v>
          </cell>
          <cell r="B33">
            <v>0</v>
          </cell>
        </row>
        <row r="34">
          <cell r="A34" t="str">
            <v>北京东方华康自动化有限公司</v>
          </cell>
          <cell r="B34">
            <v>0</v>
          </cell>
        </row>
        <row r="35">
          <cell r="A35" t="str">
            <v>北京多宾城建筑机械有限公司</v>
          </cell>
          <cell r="B35">
            <v>130000</v>
          </cell>
        </row>
        <row r="36">
          <cell r="A36" t="str">
            <v>北京伏牛山纸业有限公司</v>
          </cell>
          <cell r="B36">
            <v>0</v>
          </cell>
        </row>
        <row r="37">
          <cell r="A37" t="str">
            <v>北京符式百乐机电有限公司</v>
          </cell>
          <cell r="B37">
            <v>0</v>
          </cell>
        </row>
        <row r="38">
          <cell r="A38" t="str">
            <v>北京福田戴姆勒汽车有限公司</v>
          </cell>
          <cell r="B38">
            <v>0</v>
          </cell>
        </row>
        <row r="39">
          <cell r="A39" t="str">
            <v>北京格兰力士机电技术有限责任公司</v>
          </cell>
          <cell r="B39">
            <v>0</v>
          </cell>
        </row>
        <row r="40">
          <cell r="A40" t="str">
            <v>北京光华荣昌汽车部件有限公司</v>
          </cell>
          <cell r="B40">
            <v>0</v>
          </cell>
        </row>
        <row r="41">
          <cell r="A41" t="str">
            <v>北京国大联创科技发展有限公司</v>
          </cell>
          <cell r="B41">
            <v>0</v>
          </cell>
        </row>
        <row r="42">
          <cell r="A42" t="str">
            <v>北京航天融合环境科技发展有限公司</v>
          </cell>
          <cell r="B42">
            <v>0</v>
          </cell>
        </row>
        <row r="43">
          <cell r="A43" t="str">
            <v>北京航源鑫物资有限公司</v>
          </cell>
          <cell r="B43">
            <v>0</v>
          </cell>
        </row>
        <row r="44">
          <cell r="A44" t="str">
            <v>北京好伯特科技有限公司</v>
          </cell>
          <cell r="B44">
            <v>0</v>
          </cell>
        </row>
        <row r="45">
          <cell r="A45" t="str">
            <v>北京恒大隆压缩机制造厂</v>
          </cell>
          <cell r="B45">
            <v>0</v>
          </cell>
        </row>
        <row r="46">
          <cell r="A46" t="str">
            <v>北京宏达佳诚劳务派遣有限公司</v>
          </cell>
          <cell r="B46">
            <v>0</v>
          </cell>
        </row>
        <row r="47">
          <cell r="A47" t="str">
            <v>北京宏达翔科技有限公司</v>
          </cell>
          <cell r="B47">
            <v>0</v>
          </cell>
        </row>
        <row r="48">
          <cell r="A48" t="str">
            <v>北京华北轻合金有限公司</v>
          </cell>
          <cell r="B48">
            <v>0</v>
          </cell>
        </row>
        <row r="49">
          <cell r="A49" t="str">
            <v>北京华伟汇腾汽车部件有限公司</v>
          </cell>
          <cell r="B49">
            <v>0</v>
          </cell>
        </row>
        <row r="50">
          <cell r="A50" t="str">
            <v>北京怀安知恒机电设备有限公司</v>
          </cell>
          <cell r="B50">
            <v>0</v>
          </cell>
        </row>
        <row r="51">
          <cell r="A51" t="str">
            <v>北京机电研究所</v>
          </cell>
          <cell r="B51">
            <v>0</v>
          </cell>
        </row>
        <row r="52">
          <cell r="A52" t="str">
            <v>北京吉泰基业科技有限公司</v>
          </cell>
          <cell r="B52">
            <v>0</v>
          </cell>
        </row>
        <row r="53">
          <cell r="A53" t="str">
            <v>北京佳伟广源商贸有限公司</v>
          </cell>
          <cell r="B53">
            <v>0</v>
          </cell>
        </row>
        <row r="54">
          <cell r="A54" t="str">
            <v>北京嘉威达商贸有限公司</v>
          </cell>
          <cell r="B54">
            <v>0</v>
          </cell>
        </row>
        <row r="55">
          <cell r="A55" t="str">
            <v>北京捷安思丽技术开发有限公司</v>
          </cell>
          <cell r="B55">
            <v>50000</v>
          </cell>
        </row>
        <row r="56">
          <cell r="A56" t="str">
            <v>北京科创京成科技股份有限公司</v>
          </cell>
          <cell r="B56">
            <v>0</v>
          </cell>
        </row>
        <row r="57">
          <cell r="A57" t="str">
            <v>北京跨越速递有限公司</v>
          </cell>
          <cell r="B57">
            <v>0</v>
          </cell>
        </row>
        <row r="58">
          <cell r="A58" t="str">
            <v>北京力源恒胜仓储设备有限公司</v>
          </cell>
          <cell r="B58">
            <v>0</v>
          </cell>
        </row>
        <row r="59">
          <cell r="A59" t="str">
            <v>北京流遍润滑机械销售有限公司</v>
          </cell>
          <cell r="B59">
            <v>0</v>
          </cell>
        </row>
        <row r="60">
          <cell r="A60" t="str">
            <v>北京龙利弘达机械设备起重搬运有限公司</v>
          </cell>
          <cell r="B60">
            <v>0</v>
          </cell>
        </row>
        <row r="61">
          <cell r="A61" t="str">
            <v>北京浦东三浦标准件有限公司</v>
          </cell>
          <cell r="B61">
            <v>30000</v>
          </cell>
        </row>
        <row r="62">
          <cell r="A62" t="str">
            <v>北京奇美玉隆商贸有限公司</v>
          </cell>
          <cell r="B62">
            <v>0</v>
          </cell>
        </row>
        <row r="63">
          <cell r="A63" t="str">
            <v>北京奇美玉隆商贸有限责任公司</v>
          </cell>
          <cell r="B63">
            <v>132125</v>
          </cell>
        </row>
        <row r="64">
          <cell r="A64" t="str">
            <v>北京前哨青业科技发展有限公司</v>
          </cell>
          <cell r="B64">
            <v>0</v>
          </cell>
        </row>
        <row r="65">
          <cell r="A65" t="str">
            <v>北京瑞德佑业经贸有限责任公司</v>
          </cell>
          <cell r="B65">
            <v>0</v>
          </cell>
        </row>
        <row r="66">
          <cell r="A66" t="str">
            <v>北京瑞德佑业科技有限公司</v>
          </cell>
          <cell r="B66">
            <v>29493</v>
          </cell>
        </row>
        <row r="67">
          <cell r="A67" t="str">
            <v>北京瑞林兴物资有限公司</v>
          </cell>
          <cell r="B67">
            <v>0</v>
          </cell>
        </row>
        <row r="68">
          <cell r="A68" t="str">
            <v>北京瑞隆祥科技有限公司</v>
          </cell>
          <cell r="B68">
            <v>0</v>
          </cell>
        </row>
        <row r="69">
          <cell r="A69" t="str">
            <v>北京瑞隆祥模具有限公司</v>
          </cell>
          <cell r="B69">
            <v>0</v>
          </cell>
        </row>
        <row r="70">
          <cell r="A70" t="str">
            <v>北京赛奥讯电梯安装工程有限公司</v>
          </cell>
          <cell r="B70">
            <v>0</v>
          </cell>
        </row>
        <row r="71">
          <cell r="A71" t="str">
            <v>北京赛博瑞鑫科技有限公司</v>
          </cell>
          <cell r="B71">
            <v>0</v>
          </cell>
        </row>
        <row r="72">
          <cell r="A72" t="str">
            <v>北京申汉机电设备有限公司</v>
          </cell>
          <cell r="B72">
            <v>0</v>
          </cell>
        </row>
        <row r="73">
          <cell r="A73" t="str">
            <v>北京盛奥金华包装有限公司</v>
          </cell>
          <cell r="B73">
            <v>0</v>
          </cell>
        </row>
        <row r="74">
          <cell r="A74" t="str">
            <v>北京盛大利诚科技有限公司</v>
          </cell>
          <cell r="B74">
            <v>0</v>
          </cell>
        </row>
        <row r="75">
          <cell r="A75" t="str">
            <v>北京世松机械制造有限公司</v>
          </cell>
          <cell r="B75">
            <v>0</v>
          </cell>
        </row>
        <row r="76">
          <cell r="A76" t="str">
            <v>北京市金京成条码印刷有限公司</v>
          </cell>
          <cell r="B76">
            <v>0</v>
          </cell>
        </row>
        <row r="77">
          <cell r="A77" t="str">
            <v>北京市橡塑减震器材厂</v>
          </cell>
          <cell r="B77">
            <v>0</v>
          </cell>
        </row>
        <row r="78">
          <cell r="A78" t="str">
            <v>北京泰双英商贸有限公司</v>
          </cell>
          <cell r="B78">
            <v>0</v>
          </cell>
        </row>
        <row r="79">
          <cell r="A79" t="str">
            <v>北京腾达新秀科技有限公司</v>
          </cell>
          <cell r="B79">
            <v>0</v>
          </cell>
        </row>
        <row r="80">
          <cell r="A80" t="str">
            <v>北京喜得利自动门技术有限公司</v>
          </cell>
          <cell r="B80">
            <v>0</v>
          </cell>
        </row>
        <row r="81">
          <cell r="A81" t="str">
            <v>北京小箱环保科技有限公司</v>
          </cell>
          <cell r="B81">
            <v>0</v>
          </cell>
        </row>
        <row r="82">
          <cell r="A82" t="str">
            <v>北京新天兴业科技有限公司</v>
          </cell>
          <cell r="B82">
            <v>0</v>
          </cell>
        </row>
        <row r="83">
          <cell r="A83" t="str">
            <v>北京鑫葆海商贸有限公司</v>
          </cell>
          <cell r="B83">
            <v>0</v>
          </cell>
        </row>
        <row r="84">
          <cell r="A84" t="str">
            <v>北京鑫乐工服装设备有限公司</v>
          </cell>
          <cell r="B84">
            <v>0</v>
          </cell>
        </row>
        <row r="85">
          <cell r="A85" t="str">
            <v>北京鑫隆仁景塑胶材料科技有限公司</v>
          </cell>
          <cell r="B85">
            <v>0</v>
          </cell>
        </row>
        <row r="86">
          <cell r="A86" t="str">
            <v>北京信恒佳诚商贸有限公司</v>
          </cell>
          <cell r="B86">
            <v>0</v>
          </cell>
        </row>
        <row r="87">
          <cell r="A87" t="str">
            <v>北京兴达恒源商贸有限公司</v>
          </cell>
          <cell r="B87">
            <v>0</v>
          </cell>
        </row>
        <row r="88">
          <cell r="A88" t="str">
            <v>北京逸伦众程自动化控制设备有限公司</v>
          </cell>
          <cell r="B88">
            <v>0</v>
          </cell>
        </row>
        <row r="89">
          <cell r="A89" t="str">
            <v>北京永安城机电设备有限公司</v>
          </cell>
          <cell r="B89">
            <v>0</v>
          </cell>
        </row>
        <row r="90">
          <cell r="A90" t="str">
            <v>北京正保远见教育科技有限公司</v>
          </cell>
          <cell r="B90">
            <v>0</v>
          </cell>
        </row>
        <row r="91">
          <cell r="A91" t="str">
            <v>北京志同信达科技发展有限公司</v>
          </cell>
          <cell r="B91">
            <v>30000</v>
          </cell>
        </row>
        <row r="92">
          <cell r="A92" t="str">
            <v>北京中恒海润金铭科技设备有限公司</v>
          </cell>
          <cell r="B92">
            <v>0</v>
          </cell>
        </row>
        <row r="93">
          <cell r="A93" t="str">
            <v>北汽福田汽车股份有限公司诸城奥铃汽车厂</v>
          </cell>
          <cell r="B93">
            <v>0</v>
          </cell>
        </row>
        <row r="94">
          <cell r="A94" t="str">
            <v>滨州炬能电源有限公司</v>
          </cell>
          <cell r="B94">
            <v>0</v>
          </cell>
        </row>
        <row r="95">
          <cell r="A95" t="str">
            <v>泊头市路通机床工具有限公司</v>
          </cell>
          <cell r="B95">
            <v>0</v>
          </cell>
        </row>
        <row r="96">
          <cell r="A96" t="str">
            <v>泊头市如意五金冲压有限公司</v>
          </cell>
          <cell r="B96">
            <v>0</v>
          </cell>
        </row>
        <row r="97">
          <cell r="A97" t="str">
            <v>泊头市胜宏五金冲压有限公司</v>
          </cell>
          <cell r="B97">
            <v>0</v>
          </cell>
        </row>
        <row r="98">
          <cell r="A98" t="str">
            <v>泊头市通科机械设备有限公司</v>
          </cell>
          <cell r="B98">
            <v>0</v>
          </cell>
        </row>
        <row r="99">
          <cell r="A99" t="str">
            <v>泊头市鑫洪金属制品有限公司</v>
          </cell>
          <cell r="B99">
            <v>0</v>
          </cell>
        </row>
        <row r="100">
          <cell r="A100" t="str">
            <v>泊头市志诚模具厂</v>
          </cell>
          <cell r="B100">
            <v>0</v>
          </cell>
        </row>
        <row r="101">
          <cell r="A101" t="str">
            <v>博山供水泵厂</v>
          </cell>
          <cell r="B101">
            <v>0</v>
          </cell>
        </row>
        <row r="102">
          <cell r="A102" t="str">
            <v>沧县锅炉设备安装处</v>
          </cell>
          <cell r="B102">
            <v>0</v>
          </cell>
        </row>
        <row r="103">
          <cell r="A103" t="str">
            <v>沧县同硕焊接安装门市部</v>
          </cell>
          <cell r="B103">
            <v>0</v>
          </cell>
        </row>
        <row r="104">
          <cell r="A104" t="str">
            <v>沧县星宇精密铸造有限公司</v>
          </cell>
          <cell r="B104">
            <v>0</v>
          </cell>
        </row>
        <row r="105">
          <cell r="A105" t="str">
            <v>沧州澳航电子有限公司</v>
          </cell>
          <cell r="B105">
            <v>0</v>
          </cell>
        </row>
        <row r="106">
          <cell r="A106" t="str">
            <v>沧州渤海新区长宏货物运输有限公司</v>
          </cell>
          <cell r="B106">
            <v>0</v>
          </cell>
        </row>
        <row r="107">
          <cell r="A107" t="str">
            <v>沧州长河机电设备安装工程有限公司</v>
          </cell>
          <cell r="B107">
            <v>0</v>
          </cell>
        </row>
        <row r="108">
          <cell r="A108" t="str">
            <v>沧州超杰纺织品有限公司</v>
          </cell>
          <cell r="B108">
            <v>0</v>
          </cell>
        </row>
        <row r="109">
          <cell r="A109" t="str">
            <v>沧州鼎辉五金制造有限公司</v>
          </cell>
          <cell r="B109">
            <v>0</v>
          </cell>
        </row>
        <row r="110">
          <cell r="A110" t="str">
            <v>沧州广洋模具配件有限公司</v>
          </cell>
          <cell r="B110">
            <v>0</v>
          </cell>
        </row>
        <row r="111">
          <cell r="A111" t="str">
            <v>沧州华通电器部件有限公司</v>
          </cell>
          <cell r="B111">
            <v>0</v>
          </cell>
        </row>
        <row r="112">
          <cell r="A112" t="str">
            <v>沧州冀道商贸有限公司</v>
          </cell>
          <cell r="B112">
            <v>0</v>
          </cell>
        </row>
        <row r="113">
          <cell r="A113" t="str">
            <v>沧州经济开发区起点办公用品商行</v>
          </cell>
          <cell r="B113">
            <v>0</v>
          </cell>
        </row>
        <row r="114">
          <cell r="A114" t="str">
            <v>沧州靖丰塑料有限公司</v>
          </cell>
          <cell r="B114">
            <v>0</v>
          </cell>
        </row>
        <row r="115">
          <cell r="A115" t="str">
            <v>沧州坤翔化工机电有限公司</v>
          </cell>
          <cell r="B115">
            <v>0</v>
          </cell>
        </row>
        <row r="116">
          <cell r="A116" t="str">
            <v>沧州临港京捷金属材料热处理厂</v>
          </cell>
          <cell r="B116">
            <v>0</v>
          </cell>
        </row>
        <row r="117">
          <cell r="A117" t="str">
            <v>沧州临港明康汽车配件有限公司</v>
          </cell>
          <cell r="B117">
            <v>0</v>
          </cell>
        </row>
        <row r="118">
          <cell r="A118" t="str">
            <v>沧州茂源电器部件有限公司</v>
          </cell>
          <cell r="B118">
            <v>0</v>
          </cell>
        </row>
        <row r="119">
          <cell r="A119" t="str">
            <v>沧州梦依恋商贸有限公司</v>
          </cell>
          <cell r="B119">
            <v>0</v>
          </cell>
        </row>
        <row r="120">
          <cell r="A120" t="str">
            <v>沧州其源盛环保设备有限公司</v>
          </cell>
          <cell r="B120">
            <v>0</v>
          </cell>
        </row>
        <row r="121">
          <cell r="A121" t="str">
            <v>沧州强宇五金制造有限公司</v>
          </cell>
          <cell r="B121">
            <v>214840.8</v>
          </cell>
        </row>
        <row r="122">
          <cell r="A122" t="str">
            <v>沧州瑞海油脂化工有限公司</v>
          </cell>
          <cell r="B122">
            <v>0</v>
          </cell>
        </row>
        <row r="123">
          <cell r="A123" t="str">
            <v>沧州施普模具制造有限公司</v>
          </cell>
          <cell r="B123">
            <v>0</v>
          </cell>
        </row>
        <row r="124">
          <cell r="A124" t="str">
            <v>沧州市长隆金属制品有限公司</v>
          </cell>
          <cell r="B124">
            <v>0</v>
          </cell>
        </row>
        <row r="125">
          <cell r="A125" t="str">
            <v>沧州市达盛化工产品有限公司</v>
          </cell>
          <cell r="B125">
            <v>0</v>
          </cell>
        </row>
        <row r="126">
          <cell r="A126" t="str">
            <v>沧州市华联钢管有限公司</v>
          </cell>
          <cell r="B126">
            <v>0</v>
          </cell>
        </row>
        <row r="127">
          <cell r="A127" t="str">
            <v>沧州市利昌汽车部件有限公司</v>
          </cell>
          <cell r="B127">
            <v>0</v>
          </cell>
        </row>
        <row r="128">
          <cell r="A128" t="str">
            <v>沧州市任沧机电有限公司</v>
          </cell>
          <cell r="B128">
            <v>50000</v>
          </cell>
        </row>
        <row r="129">
          <cell r="A129" t="str">
            <v>沧州市润泽建筑涂装有限公司</v>
          </cell>
          <cell r="B129">
            <v>0</v>
          </cell>
        </row>
        <row r="130">
          <cell r="A130" t="str">
            <v>沧州市顺通五金有限公司</v>
          </cell>
          <cell r="B130">
            <v>0</v>
          </cell>
        </row>
        <row r="131">
          <cell r="A131" t="str">
            <v>沧州市万威物流有限公司</v>
          </cell>
          <cell r="B131">
            <v>0</v>
          </cell>
        </row>
        <row r="132">
          <cell r="A132" t="str">
            <v>沧州市维克机械设备有限公司</v>
          </cell>
          <cell r="B132">
            <v>0</v>
          </cell>
        </row>
        <row r="133">
          <cell r="A133" t="str">
            <v>沧州市翔圣会计服务有限公司</v>
          </cell>
          <cell r="B133">
            <v>0</v>
          </cell>
        </row>
        <row r="134">
          <cell r="A134" t="str">
            <v>沧州市鑫发缝纫机有限公司</v>
          </cell>
          <cell r="B134">
            <v>0</v>
          </cell>
        </row>
        <row r="135">
          <cell r="A135" t="str">
            <v>沧州市徐锻机床销售有限公司</v>
          </cell>
          <cell r="B135">
            <v>0</v>
          </cell>
        </row>
        <row r="136">
          <cell r="A136" t="str">
            <v>沧州市永佳物业服务有限公司</v>
          </cell>
          <cell r="B136">
            <v>0</v>
          </cell>
        </row>
        <row r="137">
          <cell r="A137" t="str">
            <v>沧州市远东缝纫机有限公司</v>
          </cell>
          <cell r="B137">
            <v>0</v>
          </cell>
        </row>
        <row r="138">
          <cell r="A138" t="str">
            <v>沧州市运河区建新广告装饰文化传媒中心</v>
          </cell>
          <cell r="B138">
            <v>0</v>
          </cell>
        </row>
        <row r="139">
          <cell r="A139" t="str">
            <v>沧州斯克艾商贸有限公司</v>
          </cell>
          <cell r="B139">
            <v>0</v>
          </cell>
        </row>
        <row r="140">
          <cell r="A140" t="str">
            <v>沧州天祥塑料制品有限公司</v>
          </cell>
          <cell r="B140">
            <v>0</v>
          </cell>
        </row>
        <row r="141">
          <cell r="A141" t="str">
            <v>沧州同城信息技术有限公司</v>
          </cell>
          <cell r="B141">
            <v>0</v>
          </cell>
        </row>
        <row r="142">
          <cell r="A142" t="str">
            <v>沧州威达聚氨酯高科股份有限公司</v>
          </cell>
          <cell r="B142">
            <v>0</v>
          </cell>
        </row>
        <row r="143">
          <cell r="A143" t="str">
            <v>沧州鑫晟纸制品有限公司</v>
          </cell>
          <cell r="B143">
            <v>10000</v>
          </cell>
        </row>
        <row r="144">
          <cell r="A144" t="str">
            <v>沧州旭兴五金制品有限公司</v>
          </cell>
          <cell r="B144">
            <v>90000</v>
          </cell>
        </row>
        <row r="145">
          <cell r="A145" t="str">
            <v>沧州益昌汽车销售服务有限公司</v>
          </cell>
          <cell r="B145">
            <v>0</v>
          </cell>
        </row>
        <row r="146">
          <cell r="A146" t="str">
            <v>沧州宇诺五金制造有限公司</v>
          </cell>
          <cell r="B146">
            <v>46473.6</v>
          </cell>
        </row>
        <row r="147">
          <cell r="A147" t="str">
            <v>沧州云庆标准件有限公司</v>
          </cell>
          <cell r="B147">
            <v>0</v>
          </cell>
        </row>
        <row r="148">
          <cell r="A148" t="str">
            <v>沧州众智鑫成人力资源服务有限公司</v>
          </cell>
          <cell r="B148">
            <v>222417.03</v>
          </cell>
        </row>
        <row r="149">
          <cell r="A149" t="str">
            <v>昌乐天齐色织布有限公司</v>
          </cell>
          <cell r="B149">
            <v>20000</v>
          </cell>
        </row>
        <row r="150">
          <cell r="A150" t="str">
            <v>昌乐县天源色织布有限公司</v>
          </cell>
          <cell r="B150">
            <v>0</v>
          </cell>
        </row>
        <row r="151">
          <cell r="A151" t="str">
            <v>长春旷达汽车织物有限公司</v>
          </cell>
          <cell r="B151">
            <v>0</v>
          </cell>
        </row>
        <row r="152">
          <cell r="A152" t="str">
            <v>长春市新科试验仪器设备有限公司</v>
          </cell>
          <cell r="B152">
            <v>0</v>
          </cell>
        </row>
        <row r="153">
          <cell r="A153" t="str">
            <v>长春市沅呈汽车饰件有限公司</v>
          </cell>
          <cell r="B153">
            <v>0</v>
          </cell>
        </row>
        <row r="154">
          <cell r="A154" t="str">
            <v>长春天利得科技有限公司</v>
          </cell>
          <cell r="B154">
            <v>0</v>
          </cell>
        </row>
        <row r="155">
          <cell r="A155" t="str">
            <v>长春亚大汽车零件制造有限公司</v>
          </cell>
          <cell r="B155">
            <v>12140</v>
          </cell>
        </row>
        <row r="156">
          <cell r="A156" t="str">
            <v>长沙皓翰贸易有限公司</v>
          </cell>
          <cell r="B156">
            <v>0</v>
          </cell>
        </row>
        <row r="157">
          <cell r="A157" t="str">
            <v>长园和鹰智能设备有限公司</v>
          </cell>
          <cell r="B157">
            <v>0</v>
          </cell>
        </row>
        <row r="158">
          <cell r="A158" t="str">
            <v>常熟市创新电器厂</v>
          </cell>
          <cell r="B158">
            <v>0</v>
          </cell>
        </row>
        <row r="159">
          <cell r="A159" t="str">
            <v>常州国誉减速机厂</v>
          </cell>
          <cell r="B159">
            <v>0</v>
          </cell>
        </row>
        <row r="160">
          <cell r="A160" t="str">
            <v>常州华阳万联汽车附件有限公司</v>
          </cell>
          <cell r="B160">
            <v>0</v>
          </cell>
        </row>
        <row r="161">
          <cell r="A161" t="str">
            <v>常州恺杰塑料模具有限公司</v>
          </cell>
          <cell r="B161">
            <v>0</v>
          </cell>
        </row>
        <row r="162">
          <cell r="A162" t="str">
            <v>常州市拓洋减速机厂</v>
          </cell>
          <cell r="B162">
            <v>0</v>
          </cell>
        </row>
        <row r="163">
          <cell r="A163" t="str">
            <v>常州市武进创新模具注塑有限公司</v>
          </cell>
          <cell r="B163">
            <v>0</v>
          </cell>
        </row>
        <row r="164">
          <cell r="A164" t="str">
            <v>春雨（东莞）五金制品有限公司</v>
          </cell>
          <cell r="B164">
            <v>0</v>
          </cell>
        </row>
        <row r="165">
          <cell r="A165" t="str">
            <v>大连吉田拉链有限公司北京分公司</v>
          </cell>
          <cell r="B165">
            <v>0</v>
          </cell>
        </row>
        <row r="166">
          <cell r="A166" t="str">
            <v>丹阳市神州电器部件厂</v>
          </cell>
          <cell r="B166">
            <v>0</v>
          </cell>
        </row>
        <row r="167">
          <cell r="A167" t="str">
            <v>德清三和塑胶有限公司</v>
          </cell>
          <cell r="B167">
            <v>0</v>
          </cell>
        </row>
        <row r="168">
          <cell r="A168" t="str">
            <v>德州三志塑胶有限公司</v>
          </cell>
          <cell r="B168">
            <v>0</v>
          </cell>
        </row>
        <row r="169">
          <cell r="A169" t="str">
            <v>德州志鹏海绵制品有限公司</v>
          </cell>
          <cell r="B169">
            <v>0</v>
          </cell>
        </row>
        <row r="170">
          <cell r="A170" t="str">
            <v>邓景亮</v>
          </cell>
          <cell r="B170">
            <v>100000</v>
          </cell>
        </row>
        <row r="171">
          <cell r="A171" t="str">
            <v>东光县汽车减震器厂</v>
          </cell>
          <cell r="B171">
            <v>0</v>
          </cell>
        </row>
        <row r="172">
          <cell r="A172" t="str">
            <v>东来涂料技术（上海）股份有限公司</v>
          </cell>
          <cell r="B172">
            <v>0</v>
          </cell>
        </row>
        <row r="173">
          <cell r="A173" t="str">
            <v>东莞市嘉刚机电科技发展有限公司</v>
          </cell>
          <cell r="B173">
            <v>0</v>
          </cell>
        </row>
        <row r="174">
          <cell r="A174" t="str">
            <v>东莞市卡索电子科技有限公司</v>
          </cell>
          <cell r="B174">
            <v>0</v>
          </cell>
        </row>
        <row r="175">
          <cell r="A175" t="str">
            <v>东莞市联恒自动化设备有限公司</v>
          </cell>
          <cell r="B175">
            <v>0</v>
          </cell>
        </row>
        <row r="176">
          <cell r="A176" t="str">
            <v>东莞市瑞辉机械制造有限公司</v>
          </cell>
          <cell r="B176">
            <v>0</v>
          </cell>
        </row>
        <row r="177">
          <cell r="A177" t="str">
            <v>东莞市深川工业设备有限公司</v>
          </cell>
          <cell r="B177">
            <v>0</v>
          </cell>
        </row>
        <row r="178">
          <cell r="A178" t="str">
            <v>东莞市双和机车拉索有限公司</v>
          </cell>
          <cell r="B178">
            <v>0</v>
          </cell>
        </row>
        <row r="179">
          <cell r="A179" t="str">
            <v>杜奥尔汽车技术（上海）有限公司</v>
          </cell>
          <cell r="B179">
            <v>0</v>
          </cell>
        </row>
        <row r="180">
          <cell r="A180" t="str">
            <v>杜倍汽车技术（上海）有限公司</v>
          </cell>
          <cell r="B180">
            <v>0</v>
          </cell>
        </row>
        <row r="181">
          <cell r="A181" t="str">
            <v>多科迪（北京）塑胶颜料有限公司</v>
          </cell>
          <cell r="B181">
            <v>0</v>
          </cell>
        </row>
        <row r="182">
          <cell r="A182" t="str">
            <v>丰电科技集团股份有限公司</v>
          </cell>
          <cell r="B182">
            <v>0</v>
          </cell>
        </row>
        <row r="183">
          <cell r="A183" t="str">
            <v>佛吉亚（无锡）座椅部件有限公司</v>
          </cell>
          <cell r="B183">
            <v>1100000</v>
          </cell>
        </row>
        <row r="184">
          <cell r="A184" t="str">
            <v>佛山冈联汽车模具配件有限公司</v>
          </cell>
          <cell r="B184">
            <v>0</v>
          </cell>
        </row>
        <row r="185">
          <cell r="A185" t="str">
            <v>佛山市立久光电科技有限公司</v>
          </cell>
          <cell r="B185">
            <v>103030.01</v>
          </cell>
        </row>
        <row r="186">
          <cell r="A186" t="str">
            <v>佛山市顺德区聚达汽车部件有限公司</v>
          </cell>
          <cell r="B186">
            <v>6715.36</v>
          </cell>
        </row>
        <row r="187">
          <cell r="A187" t="str">
            <v>佛山市益鑫禾机械自动化装备有限公司</v>
          </cell>
          <cell r="B187">
            <v>0</v>
          </cell>
        </row>
        <row r="188">
          <cell r="A188" t="str">
            <v>福跃五金制品厂</v>
          </cell>
          <cell r="B188">
            <v>10000</v>
          </cell>
        </row>
        <row r="189">
          <cell r="A189" t="str">
            <v>福州聚博机电设备有限公司</v>
          </cell>
          <cell r="B189">
            <v>0</v>
          </cell>
        </row>
        <row r="190">
          <cell r="A190" t="str">
            <v>富港科技天津有限公司</v>
          </cell>
          <cell r="B190">
            <v>0</v>
          </cell>
        </row>
        <row r="191">
          <cell r="A191" t="str">
            <v>高碑店京华橡胶制品有限责任公司</v>
          </cell>
          <cell r="B191">
            <v>20000</v>
          </cell>
        </row>
        <row r="192">
          <cell r="A192" t="str">
            <v>高碑店市晨奥汽车部件有限公司</v>
          </cell>
          <cell r="B192">
            <v>0</v>
          </cell>
        </row>
        <row r="193">
          <cell r="A193" t="str">
            <v>高碑店市晨奥五金制品有限公司</v>
          </cell>
          <cell r="B193">
            <v>0</v>
          </cell>
        </row>
        <row r="194">
          <cell r="A194" t="str">
            <v>高碑店市信德百利革业有限公司</v>
          </cell>
          <cell r="B194">
            <v>0</v>
          </cell>
        </row>
        <row r="195">
          <cell r="A195" t="str">
            <v>高唐强盛机械有限公司</v>
          </cell>
          <cell r="B195">
            <v>0</v>
          </cell>
        </row>
        <row r="196">
          <cell r="A196" t="str">
            <v>共和兴塑胶（廊坊）有限公司</v>
          </cell>
          <cell r="B196">
            <v>0</v>
          </cell>
        </row>
        <row r="197">
          <cell r="A197" t="str">
            <v>古特曼商贸（上海）有限公司</v>
          </cell>
          <cell r="B197">
            <v>0</v>
          </cell>
        </row>
        <row r="198">
          <cell r="A198" t="str">
            <v>固安县乐通塑料中空板有限公司</v>
          </cell>
          <cell r="B198">
            <v>0</v>
          </cell>
        </row>
        <row r="199">
          <cell r="A199" t="str">
            <v>故城县智华再生海绵有限公司</v>
          </cell>
          <cell r="B199">
            <v>0</v>
          </cell>
        </row>
        <row r="200">
          <cell r="A200" t="str">
            <v>广东新金山环保材料股份有限公司</v>
          </cell>
          <cell r="B200">
            <v>0</v>
          </cell>
        </row>
        <row r="201">
          <cell r="A201" t="str">
            <v>广州富士机工汽车部件有限公司</v>
          </cell>
          <cell r="B201">
            <v>0</v>
          </cell>
        </row>
        <row r="202">
          <cell r="A202" t="str">
            <v>广州吉中汽车内饰系统有限公司</v>
          </cell>
          <cell r="B202">
            <v>0</v>
          </cell>
        </row>
        <row r="203">
          <cell r="A203" t="str">
            <v>广州欧尼克焊接科技有限公司</v>
          </cell>
          <cell r="B203">
            <v>0</v>
          </cell>
        </row>
        <row r="204">
          <cell r="A204" t="str">
            <v>广州普华灵动机器人技术有限公司</v>
          </cell>
          <cell r="B204">
            <v>0</v>
          </cell>
        </row>
        <row r="205">
          <cell r="A205" t="str">
            <v>广州市奔途尔商贸有限公司</v>
          </cell>
          <cell r="B205">
            <v>0</v>
          </cell>
        </row>
        <row r="206">
          <cell r="A206" t="str">
            <v>广州市火龙焊接设备有限公司</v>
          </cell>
          <cell r="B206">
            <v>0</v>
          </cell>
        </row>
        <row r="207">
          <cell r="A207" t="str">
            <v>广州市盟力线业有限公司</v>
          </cell>
          <cell r="B207">
            <v>0</v>
          </cell>
        </row>
        <row r="208">
          <cell r="A208" t="str">
            <v>广州市朋普机电技术有限公司</v>
          </cell>
          <cell r="B208">
            <v>0</v>
          </cell>
        </row>
        <row r="209">
          <cell r="A209" t="str">
            <v>广州泰昌汽车部件有限公司</v>
          </cell>
          <cell r="B209">
            <v>250000</v>
          </cell>
        </row>
        <row r="210">
          <cell r="A210" t="str">
            <v>广州熙锐自动化设备有限公司</v>
          </cell>
          <cell r="B210">
            <v>0</v>
          </cell>
        </row>
        <row r="211">
          <cell r="A211" t="str">
            <v>圭尔夫(天津)工业门有限公司</v>
          </cell>
          <cell r="B211">
            <v>0</v>
          </cell>
        </row>
        <row r="212">
          <cell r="A212" t="str">
            <v>国网河北省电力有限公司沧州供电分公司</v>
          </cell>
          <cell r="B212">
            <v>0</v>
          </cell>
        </row>
        <row r="213">
          <cell r="A213" t="str">
            <v>海安县绿色清洗剂厂</v>
          </cell>
          <cell r="B213">
            <v>0</v>
          </cell>
        </row>
        <row r="214">
          <cell r="A214" t="str">
            <v>海天塑机集团有限公司</v>
          </cell>
          <cell r="B214">
            <v>0</v>
          </cell>
        </row>
        <row r="215">
          <cell r="A215" t="str">
            <v>海兴中盛弹簧有限公司</v>
          </cell>
          <cell r="B215">
            <v>0</v>
          </cell>
        </row>
        <row r="216">
          <cell r="A216" t="str">
            <v>韩竹林</v>
          </cell>
          <cell r="B216">
            <v>0</v>
          </cell>
        </row>
        <row r="217">
          <cell r="A217" t="str">
            <v>杭州金士顿实业有限公司</v>
          </cell>
          <cell r="B217">
            <v>0</v>
          </cell>
        </row>
        <row r="218">
          <cell r="A218" t="str">
            <v>杭州迈斯嘉电子科技有限公司</v>
          </cell>
          <cell r="B218">
            <v>0</v>
          </cell>
        </row>
        <row r="219">
          <cell r="A219" t="str">
            <v>杭州迈图贸易有限公司</v>
          </cell>
          <cell r="B219">
            <v>0</v>
          </cell>
        </row>
        <row r="220">
          <cell r="A220" t="str">
            <v>合肥光码商贸有限公司</v>
          </cell>
          <cell r="B220">
            <v>0</v>
          </cell>
        </row>
        <row r="221">
          <cell r="A221" t="str">
            <v>合肥洁邦清洁设备有限公司</v>
          </cell>
          <cell r="B221">
            <v>0</v>
          </cell>
        </row>
        <row r="222">
          <cell r="A222" t="str">
            <v>何香存</v>
          </cell>
          <cell r="B222">
            <v>0</v>
          </cell>
        </row>
        <row r="223">
          <cell r="A223" t="str">
            <v>和和机械（张家港）有限公司</v>
          </cell>
          <cell r="B223">
            <v>0</v>
          </cell>
        </row>
        <row r="224">
          <cell r="A224" t="str">
            <v>河北安闻汽车零部件有限公司</v>
          </cell>
          <cell r="B224">
            <v>0</v>
          </cell>
        </row>
        <row r="225">
          <cell r="A225" t="str">
            <v>河北长河税务师事务所有限公司</v>
          </cell>
          <cell r="B225">
            <v>0</v>
          </cell>
        </row>
        <row r="226">
          <cell r="A226" t="str">
            <v>河北辰丰制管有限公司</v>
          </cell>
          <cell r="B226">
            <v>300000</v>
          </cell>
        </row>
        <row r="227">
          <cell r="A227" t="str">
            <v>河北航凌电路板有限公司</v>
          </cell>
          <cell r="B227">
            <v>0</v>
          </cell>
        </row>
        <row r="228">
          <cell r="A228" t="str">
            <v>河北宏广橡塑金属制品有限公司</v>
          </cell>
          <cell r="B228">
            <v>0</v>
          </cell>
        </row>
        <row r="229">
          <cell r="A229" t="str">
            <v>河北宏通制管有限公司</v>
          </cell>
          <cell r="B229">
            <v>7457.97</v>
          </cell>
        </row>
        <row r="230">
          <cell r="A230" t="str">
            <v>河北互通网络技术有限公司</v>
          </cell>
          <cell r="B230">
            <v>0</v>
          </cell>
        </row>
        <row r="231">
          <cell r="A231" t="str">
            <v>河北佳佰工程咨询有限公司</v>
          </cell>
          <cell r="B231">
            <v>0</v>
          </cell>
        </row>
        <row r="232">
          <cell r="A232" t="str">
            <v>河北聚福家用电器有限公司</v>
          </cell>
          <cell r="B232">
            <v>0</v>
          </cell>
        </row>
        <row r="233">
          <cell r="A233" t="str">
            <v>河北联庆五金制品有限公司</v>
          </cell>
          <cell r="B233">
            <v>0</v>
          </cell>
        </row>
        <row r="234">
          <cell r="A234" t="str">
            <v>河北量子环境检测有限公司</v>
          </cell>
          <cell r="B234">
            <v>0</v>
          </cell>
        </row>
        <row r="235">
          <cell r="A235" t="str">
            <v>河北美杭电梯安装有限公司</v>
          </cell>
          <cell r="B235">
            <v>0</v>
          </cell>
        </row>
        <row r="236">
          <cell r="A236" t="str">
            <v>河北耐力驰地坪装饰工程有限公司</v>
          </cell>
          <cell r="B236">
            <v>0</v>
          </cell>
        </row>
        <row r="237">
          <cell r="A237" t="str">
            <v>河北锐翰汽车零部件有限公司</v>
          </cell>
          <cell r="B237">
            <v>50000</v>
          </cell>
        </row>
        <row r="238">
          <cell r="A238" t="str">
            <v>河北润辉化工有限公司</v>
          </cell>
          <cell r="B238">
            <v>0</v>
          </cell>
        </row>
        <row r="239">
          <cell r="A239" t="str">
            <v>河北森凯环保科技有限公司</v>
          </cell>
          <cell r="B239">
            <v>0</v>
          </cell>
        </row>
        <row r="240">
          <cell r="A240" t="str">
            <v>河北省雄县龙华橡塑有限公司</v>
          </cell>
          <cell r="B240">
            <v>48500</v>
          </cell>
        </row>
        <row r="241">
          <cell r="A241" t="str">
            <v>河北圣洁环境生物科技工程有限公司</v>
          </cell>
          <cell r="B241">
            <v>0</v>
          </cell>
        </row>
        <row r="242">
          <cell r="A242" t="str">
            <v>河北盛德燃气有限公司</v>
          </cell>
          <cell r="B242">
            <v>0</v>
          </cell>
        </row>
        <row r="243">
          <cell r="A243" t="str">
            <v>河北双力起重机械有限公司</v>
          </cell>
          <cell r="B243">
            <v>0</v>
          </cell>
        </row>
        <row r="244">
          <cell r="A244" t="str">
            <v>河北顺和职业卫生技术服务有限公司</v>
          </cell>
          <cell r="B244">
            <v>0</v>
          </cell>
        </row>
        <row r="245">
          <cell r="A245" t="str">
            <v>河北伟业聚氨酯泡绵有限公司</v>
          </cell>
          <cell r="B245">
            <v>0</v>
          </cell>
        </row>
        <row r="246">
          <cell r="A246" t="str">
            <v>河北新强力机械制造有限公司</v>
          </cell>
          <cell r="B246">
            <v>200000</v>
          </cell>
        </row>
        <row r="247">
          <cell r="A247" t="str">
            <v>河北新世泰机械有限公司</v>
          </cell>
          <cell r="B247">
            <v>0</v>
          </cell>
        </row>
        <row r="248">
          <cell r="A248" t="str">
            <v>河北艺能锅炉有限责任公司</v>
          </cell>
          <cell r="B248">
            <v>0</v>
          </cell>
        </row>
        <row r="249">
          <cell r="A249" t="str">
            <v>河北媛皓建筑机械科技有限公司</v>
          </cell>
          <cell r="B249">
            <v>0</v>
          </cell>
        </row>
        <row r="250">
          <cell r="A250" t="str">
            <v>河北岳钢数控设备有限公司</v>
          </cell>
          <cell r="B250">
            <v>0</v>
          </cell>
        </row>
        <row r="251">
          <cell r="A251" t="str">
            <v>河北泽沃钢管制造有限公司</v>
          </cell>
          <cell r="B251">
            <v>0</v>
          </cell>
        </row>
        <row r="252">
          <cell r="A252" t="str">
            <v>河北智友机电制造有限公司</v>
          </cell>
          <cell r="B252">
            <v>0</v>
          </cell>
        </row>
        <row r="253">
          <cell r="A253" t="str">
            <v>河间市祥龙崇光电缆厂</v>
          </cell>
          <cell r="B253">
            <v>0</v>
          </cell>
        </row>
        <row r="254">
          <cell r="A254" t="str">
            <v>河间市正邦橡胶制品有限公司</v>
          </cell>
          <cell r="B254">
            <v>0</v>
          </cell>
        </row>
        <row r="255">
          <cell r="A255" t="str">
            <v>鹤壁市天星电器厂</v>
          </cell>
          <cell r="B255">
            <v>0</v>
          </cell>
        </row>
        <row r="256">
          <cell r="A256" t="str">
            <v>鹤山市润源化工有限公司</v>
          </cell>
          <cell r="B256">
            <v>0</v>
          </cell>
        </row>
        <row r="257">
          <cell r="A257" t="str">
            <v>恒华包装材料销售有限公司</v>
          </cell>
          <cell r="B257">
            <v>0</v>
          </cell>
        </row>
        <row r="258">
          <cell r="A258" t="str">
            <v>衡水鑫智汽车零部件有限公司</v>
          </cell>
          <cell r="B258">
            <v>0</v>
          </cell>
        </row>
        <row r="259">
          <cell r="A259" t="str">
            <v>湖北航嘉麦格纳座椅系统有限公司</v>
          </cell>
          <cell r="B259">
            <v>0</v>
          </cell>
        </row>
        <row r="260">
          <cell r="A260" t="str">
            <v>湖北中航精机科技有限公司</v>
          </cell>
          <cell r="B260">
            <v>0</v>
          </cell>
        </row>
        <row r="261">
          <cell r="A261" t="str">
            <v>湖北钟祥市正宏玻璃制品厂</v>
          </cell>
          <cell r="B261">
            <v>0</v>
          </cell>
        </row>
        <row r="262">
          <cell r="A262" t="str">
            <v>湖南光华荣昌汽车部件有限公司</v>
          </cell>
          <cell r="B262">
            <v>0</v>
          </cell>
        </row>
        <row r="263">
          <cell r="A263" t="str">
            <v>湖南精正设备制造有限公司</v>
          </cell>
          <cell r="B263">
            <v>0</v>
          </cell>
        </row>
        <row r="264">
          <cell r="A264" t="str">
            <v>华瑞志勤科技发展（北京）有限公司</v>
          </cell>
          <cell r="B264">
            <v>0</v>
          </cell>
        </row>
        <row r="265">
          <cell r="A265" t="str">
            <v>淮铭机械设备(上海)有限公司</v>
          </cell>
          <cell r="B265">
            <v>0</v>
          </cell>
        </row>
        <row r="266">
          <cell r="A266" t="str">
            <v>黄骅骅泰机动车配件有限公司</v>
          </cell>
          <cell r="B266">
            <v>0</v>
          </cell>
        </row>
        <row r="267">
          <cell r="A267" t="str">
            <v>黄骅市邦博五金电料经销部</v>
          </cell>
          <cell r="B267">
            <v>0</v>
          </cell>
        </row>
        <row r="268">
          <cell r="A268" t="str">
            <v>黄骅市宝丽洁家政有限公司</v>
          </cell>
          <cell r="B268">
            <v>0</v>
          </cell>
        </row>
        <row r="269">
          <cell r="A269" t="str">
            <v>黄骅市保俊成复合彩印厂</v>
          </cell>
          <cell r="B269">
            <v>0</v>
          </cell>
        </row>
        <row r="270">
          <cell r="A270" t="str">
            <v>黄骅市斌盛包装制品厂</v>
          </cell>
          <cell r="B270">
            <v>0</v>
          </cell>
        </row>
        <row r="271">
          <cell r="A271" t="str">
            <v>黄骅市滨海车业有限公司</v>
          </cell>
          <cell r="B271">
            <v>0</v>
          </cell>
        </row>
        <row r="272">
          <cell r="A272" t="str">
            <v>黄骅市博杰汽车部件有限公司</v>
          </cell>
          <cell r="B272">
            <v>10000</v>
          </cell>
        </row>
        <row r="273">
          <cell r="A273" t="str">
            <v>黄骅市渤海汽车摩托车配件有限公司</v>
          </cell>
          <cell r="B273">
            <v>0</v>
          </cell>
        </row>
        <row r="274">
          <cell r="A274" t="str">
            <v>黄骅市渤海庆丰车辆灯镜厂</v>
          </cell>
          <cell r="B274">
            <v>10000</v>
          </cell>
        </row>
        <row r="275">
          <cell r="A275" t="str">
            <v>黄骅市昌城网子经销部</v>
          </cell>
          <cell r="B275">
            <v>0</v>
          </cell>
        </row>
        <row r="276">
          <cell r="A276" t="str">
            <v>黄骅市长江塑料制品有限公司</v>
          </cell>
          <cell r="B276">
            <v>0</v>
          </cell>
        </row>
        <row r="277">
          <cell r="A277" t="str">
            <v>黄骅市长生汽车灯镜有限公司</v>
          </cell>
          <cell r="B277">
            <v>10000</v>
          </cell>
        </row>
        <row r="278">
          <cell r="A278" t="str">
            <v>黄骅市常郭镇街西纸箱厂</v>
          </cell>
          <cell r="B278">
            <v>0</v>
          </cell>
        </row>
        <row r="279">
          <cell r="A279" t="str">
            <v>黄骅市常郭镇前尚永胜五金加工厂</v>
          </cell>
          <cell r="B279">
            <v>0</v>
          </cell>
        </row>
        <row r="280">
          <cell r="A280" t="str">
            <v>黄骅市超飞商贸有限公司有限公司</v>
          </cell>
          <cell r="B280">
            <v>0</v>
          </cell>
        </row>
        <row r="281">
          <cell r="A281" t="str">
            <v>黄骅市成卓汽车部件厂</v>
          </cell>
          <cell r="B281">
            <v>20000</v>
          </cell>
        </row>
        <row r="282">
          <cell r="A282" t="str">
            <v>黄骅市达旺机动车配件厂</v>
          </cell>
          <cell r="B282">
            <v>0</v>
          </cell>
        </row>
        <row r="283">
          <cell r="A283" t="str">
            <v>黄骅市大新模具有限公司</v>
          </cell>
          <cell r="B283">
            <v>0</v>
          </cell>
        </row>
        <row r="284">
          <cell r="A284" t="str">
            <v>黄骅市弹簧厂</v>
          </cell>
          <cell r="B284">
            <v>0</v>
          </cell>
        </row>
        <row r="285">
          <cell r="A285" t="str">
            <v>黄骅市德信成家具经销部</v>
          </cell>
          <cell r="B285">
            <v>0</v>
          </cell>
        </row>
        <row r="286">
          <cell r="A286" t="str">
            <v>黄骅市鼎盾电力工程有限公司</v>
          </cell>
          <cell r="B286">
            <v>0</v>
          </cell>
        </row>
        <row r="287">
          <cell r="A287" t="str">
            <v>黄骅市方达泵阀有限公司</v>
          </cell>
          <cell r="B287">
            <v>0</v>
          </cell>
        </row>
        <row r="288">
          <cell r="A288" t="str">
            <v>黄骅市方正五金机电责任有限公司</v>
          </cell>
          <cell r="B288">
            <v>0</v>
          </cell>
        </row>
        <row r="289">
          <cell r="A289" t="str">
            <v>黄骅市飞扬办公用品经营部</v>
          </cell>
          <cell r="B289">
            <v>0</v>
          </cell>
        </row>
        <row r="290">
          <cell r="A290" t="str">
            <v>黄骅市富康静电喷涂厂</v>
          </cell>
          <cell r="B290">
            <v>0</v>
          </cell>
        </row>
        <row r="291">
          <cell r="A291" t="str">
            <v>黄骅市富丽达不锈钢制品经销处</v>
          </cell>
          <cell r="B291">
            <v>0</v>
          </cell>
        </row>
        <row r="292">
          <cell r="A292" t="str">
            <v>黄骅市港骅工业气体销售有限公司</v>
          </cell>
          <cell r="B292">
            <v>0</v>
          </cell>
        </row>
        <row r="293">
          <cell r="A293" t="str">
            <v>黄骅市功盛五金电料经销处</v>
          </cell>
          <cell r="B293">
            <v>0</v>
          </cell>
        </row>
        <row r="294">
          <cell r="A294" t="str">
            <v>黄骅市固诺装饰工程有限公司</v>
          </cell>
          <cell r="B294">
            <v>0</v>
          </cell>
        </row>
        <row r="295">
          <cell r="A295" t="str">
            <v>黄骅市故县国福汽车灯厂</v>
          </cell>
          <cell r="B295">
            <v>0</v>
          </cell>
        </row>
        <row r="296">
          <cell r="A296" t="str">
            <v>黄骅市光大橡胶制品厂</v>
          </cell>
          <cell r="B296">
            <v>0</v>
          </cell>
        </row>
        <row r="297">
          <cell r="A297" t="str">
            <v>黄骅市广际五金产品销售有限公司</v>
          </cell>
          <cell r="B297">
            <v>0</v>
          </cell>
        </row>
        <row r="298">
          <cell r="A298" t="str">
            <v>黄骅市广兴建筑安装工程有限公司</v>
          </cell>
          <cell r="B298">
            <v>0</v>
          </cell>
        </row>
        <row r="299">
          <cell r="A299" t="str">
            <v>黄骅市广亿汽车部件有限公司</v>
          </cell>
          <cell r="B299">
            <v>200000</v>
          </cell>
        </row>
        <row r="300">
          <cell r="A300" t="str">
            <v>黄骅市国贸物资有限公司</v>
          </cell>
          <cell r="B300">
            <v>0</v>
          </cell>
        </row>
        <row r="301">
          <cell r="A301" t="str">
            <v>黄骅市海举五金加工厂</v>
          </cell>
          <cell r="B301">
            <v>0</v>
          </cell>
        </row>
        <row r="302">
          <cell r="A302" t="str">
            <v>黄骅市海良汽车摩托车配件有限公司</v>
          </cell>
          <cell r="B302">
            <v>0</v>
          </cell>
        </row>
        <row r="303">
          <cell r="A303" t="str">
            <v>黄骅市海生五金模具厂</v>
          </cell>
          <cell r="B303">
            <v>0</v>
          </cell>
        </row>
        <row r="304">
          <cell r="A304" t="str">
            <v>黄骅市海泰祥钢材贸易有限公司</v>
          </cell>
          <cell r="B304">
            <v>0</v>
          </cell>
        </row>
        <row r="305">
          <cell r="A305" t="str">
            <v>黄骅市氦普气体销售有限公司</v>
          </cell>
          <cell r="B305">
            <v>0</v>
          </cell>
        </row>
        <row r="306">
          <cell r="A306" t="str">
            <v>黄骅市和顺易大件吊装搬运有限公司</v>
          </cell>
          <cell r="B306">
            <v>0</v>
          </cell>
        </row>
        <row r="307">
          <cell r="A307" t="str">
            <v>黄骅市恒基五金轴承工具有限公司</v>
          </cell>
          <cell r="B307">
            <v>0</v>
          </cell>
        </row>
        <row r="308">
          <cell r="A308" t="str">
            <v>黄骅市恒茂土产门市部</v>
          </cell>
          <cell r="B308">
            <v>0</v>
          </cell>
        </row>
        <row r="309">
          <cell r="A309" t="str">
            <v>黄骅市恒顺昌商贸有限公司</v>
          </cell>
          <cell r="B309">
            <v>0</v>
          </cell>
        </row>
        <row r="310">
          <cell r="A310" t="str">
            <v>黄骅市恒通土产劳保门市部</v>
          </cell>
          <cell r="B310">
            <v>0</v>
          </cell>
        </row>
        <row r="311">
          <cell r="A311" t="str">
            <v>黄骅市恒伟五金制品有限公司</v>
          </cell>
          <cell r="B311">
            <v>200000</v>
          </cell>
        </row>
        <row r="312">
          <cell r="A312" t="str">
            <v>黄骅市衡星计量仪器有限公司</v>
          </cell>
          <cell r="B312">
            <v>0</v>
          </cell>
        </row>
        <row r="313">
          <cell r="A313" t="str">
            <v>黄骅市宏成五金制品有限公司</v>
          </cell>
          <cell r="B313">
            <v>0</v>
          </cell>
        </row>
        <row r="314">
          <cell r="A314" t="str">
            <v>黄骅市宏辉运输队</v>
          </cell>
          <cell r="B314">
            <v>0</v>
          </cell>
        </row>
        <row r="315">
          <cell r="A315" t="str">
            <v>黄骅市宏顺模具厂</v>
          </cell>
          <cell r="B315">
            <v>0</v>
          </cell>
        </row>
        <row r="316">
          <cell r="A316" t="str">
            <v>黄骅市宏信五金交电门市部</v>
          </cell>
          <cell r="B316">
            <v>0</v>
          </cell>
        </row>
        <row r="317">
          <cell r="A317" t="str">
            <v>黄骅市洪赫五金加工厂</v>
          </cell>
          <cell r="B317">
            <v>0</v>
          </cell>
        </row>
        <row r="318">
          <cell r="A318" t="str">
            <v>黄骅市鸿鹄线缆经销部</v>
          </cell>
          <cell r="B318">
            <v>0</v>
          </cell>
        </row>
        <row r="319">
          <cell r="A319" t="str">
            <v>黄骅市鸿基盛业地面工程有限公司</v>
          </cell>
          <cell r="B319">
            <v>0</v>
          </cell>
        </row>
        <row r="320">
          <cell r="A320" t="str">
            <v>黄骅市鸿晟伟业电脑经营部</v>
          </cell>
          <cell r="B320">
            <v>0</v>
          </cell>
        </row>
        <row r="321">
          <cell r="A321" t="str">
            <v>黄骅市厚德建筑队</v>
          </cell>
          <cell r="B321">
            <v>0</v>
          </cell>
        </row>
        <row r="322">
          <cell r="A322" t="str">
            <v>黄骅市辉煌建筑队</v>
          </cell>
          <cell r="B322">
            <v>0</v>
          </cell>
        </row>
        <row r="323">
          <cell r="A323" t="str">
            <v>黄骅市汇铭汽车部件有限公司</v>
          </cell>
          <cell r="B323">
            <v>120000</v>
          </cell>
        </row>
        <row r="324">
          <cell r="A324" t="str">
            <v>黄骅市慧勤五金电料经销处</v>
          </cell>
          <cell r="B324">
            <v>0</v>
          </cell>
        </row>
        <row r="325">
          <cell r="A325" t="str">
            <v>黄骅市慧仁纵横电脑销售有限公司</v>
          </cell>
          <cell r="B325">
            <v>0</v>
          </cell>
        </row>
        <row r="326">
          <cell r="A326" t="str">
            <v>黄骅市佳佰工程咨询有限公司</v>
          </cell>
          <cell r="B326">
            <v>0</v>
          </cell>
        </row>
        <row r="327">
          <cell r="A327" t="str">
            <v>黄骅市佳祥五金制品有限公司</v>
          </cell>
          <cell r="B327">
            <v>10000</v>
          </cell>
        </row>
        <row r="328">
          <cell r="A328" t="str">
            <v>黄骅市建材市场港骅钢材经销部</v>
          </cell>
          <cell r="B328">
            <v>0</v>
          </cell>
        </row>
        <row r="329">
          <cell r="A329" t="str">
            <v>黄骅市建昌塑料制品有限公司</v>
          </cell>
          <cell r="B329">
            <v>0</v>
          </cell>
        </row>
        <row r="330">
          <cell r="A330" t="str">
            <v>黄骅市建华液压配件销售服务中心</v>
          </cell>
          <cell r="B330">
            <v>24932</v>
          </cell>
        </row>
        <row r="331">
          <cell r="A331" t="str">
            <v>黄骅市建伟五金制品厂</v>
          </cell>
          <cell r="B331">
            <v>0</v>
          </cell>
        </row>
        <row r="332">
          <cell r="A332" t="str">
            <v>黄骅市洁霸汽车零部件制造有限公司</v>
          </cell>
          <cell r="B332">
            <v>0</v>
          </cell>
        </row>
        <row r="333">
          <cell r="A333" t="str">
            <v>黄骅市金宝成钢材经销有限公司</v>
          </cell>
          <cell r="B333">
            <v>18494</v>
          </cell>
        </row>
        <row r="334">
          <cell r="A334" t="str">
            <v>黄骅市金城五金制品厂</v>
          </cell>
          <cell r="B334">
            <v>0</v>
          </cell>
        </row>
        <row r="335">
          <cell r="A335" t="str">
            <v>黄骅市金华保温材料有限公司</v>
          </cell>
          <cell r="B335">
            <v>0</v>
          </cell>
        </row>
        <row r="336">
          <cell r="A336" t="str">
            <v>黄骅市金月五金制品厂</v>
          </cell>
          <cell r="B336">
            <v>0</v>
          </cell>
        </row>
        <row r="337">
          <cell r="A337" t="str">
            <v>黄骅市津华汽车部件有限公司</v>
          </cell>
          <cell r="B337">
            <v>30000</v>
          </cell>
        </row>
        <row r="338">
          <cell r="A338" t="str">
            <v>黄骅市锦绣制衣部</v>
          </cell>
          <cell r="B338">
            <v>0</v>
          </cell>
        </row>
        <row r="339">
          <cell r="A339" t="str">
            <v>黄骅市京港机电设备有限公司</v>
          </cell>
          <cell r="B339">
            <v>0</v>
          </cell>
        </row>
        <row r="340">
          <cell r="A340" t="str">
            <v>黄骅市久峰五金制品有限公司</v>
          </cell>
          <cell r="B340">
            <v>0</v>
          </cell>
        </row>
        <row r="341">
          <cell r="A341" t="str">
            <v>黄骅市俊隆五金包装有限公司</v>
          </cell>
          <cell r="B341">
            <v>0</v>
          </cell>
        </row>
        <row r="342">
          <cell r="A342" t="str">
            <v>黄骅市俊有塑染经销处</v>
          </cell>
          <cell r="B342">
            <v>0</v>
          </cell>
        </row>
        <row r="343">
          <cell r="A343" t="str">
            <v>黄骅市凯翔车业有限公司</v>
          </cell>
          <cell r="B343">
            <v>0</v>
          </cell>
        </row>
        <row r="344">
          <cell r="A344" t="str">
            <v>黄骅市康宁街光华化工门市部</v>
          </cell>
          <cell r="B344">
            <v>0</v>
          </cell>
        </row>
        <row r="345">
          <cell r="A345" t="str">
            <v>黄骅市科友汇商贸有限公司</v>
          </cell>
          <cell r="B345">
            <v>0</v>
          </cell>
        </row>
        <row r="346">
          <cell r="A346" t="str">
            <v>黄骅市联视电子科技有限公司</v>
          </cell>
          <cell r="B346">
            <v>0</v>
          </cell>
        </row>
        <row r="347">
          <cell r="A347" t="str">
            <v>黄骅市龙腾五金机电门市部</v>
          </cell>
          <cell r="B347">
            <v>17205.2</v>
          </cell>
        </row>
        <row r="348">
          <cell r="A348" t="str">
            <v>黄骅市隆盛达车业有限公司</v>
          </cell>
          <cell r="B348">
            <v>0</v>
          </cell>
        </row>
        <row r="349">
          <cell r="A349" t="str">
            <v>黄骅市隆鑫五金制品有限公司</v>
          </cell>
          <cell r="B349">
            <v>40000</v>
          </cell>
        </row>
        <row r="350">
          <cell r="A350" t="str">
            <v>黄骅市美家隆商贸有限公司</v>
          </cell>
          <cell r="B350">
            <v>0</v>
          </cell>
        </row>
        <row r="351">
          <cell r="A351" t="str">
            <v>黄骅市明昶电料门市部</v>
          </cell>
          <cell r="B351">
            <v>0</v>
          </cell>
        </row>
        <row r="352">
          <cell r="A352" t="str">
            <v>黄骅市宁鑫商贸有限公司</v>
          </cell>
          <cell r="B352">
            <v>0</v>
          </cell>
        </row>
        <row r="353">
          <cell r="A353" t="str">
            <v>黄骅市齐西纺织五金配件厂</v>
          </cell>
          <cell r="B353">
            <v>0</v>
          </cell>
        </row>
        <row r="354">
          <cell r="A354" t="str">
            <v>黄骅市乾泰祥五金制品厂</v>
          </cell>
          <cell r="B354">
            <v>0</v>
          </cell>
        </row>
        <row r="355">
          <cell r="A355" t="str">
            <v>黄骅市庆华机动车配件有限公司</v>
          </cell>
          <cell r="B355">
            <v>0</v>
          </cell>
        </row>
        <row r="356">
          <cell r="A356" t="str">
            <v>黄骅市庆军五金制品有限公司</v>
          </cell>
          <cell r="B356">
            <v>0</v>
          </cell>
        </row>
        <row r="357">
          <cell r="A357" t="str">
            <v>黄骅市荣邦汽车部件有限公司</v>
          </cell>
          <cell r="B357">
            <v>0</v>
          </cell>
        </row>
        <row r="358">
          <cell r="A358" t="str">
            <v>黄骅市荣达工业气体销售有限公司</v>
          </cell>
          <cell r="B358">
            <v>0</v>
          </cell>
        </row>
        <row r="359">
          <cell r="A359" t="str">
            <v>黄骅市荣丰塑料模具有限公司</v>
          </cell>
          <cell r="B359">
            <v>0</v>
          </cell>
        </row>
        <row r="360">
          <cell r="A360" t="str">
            <v>黄骅市瑞达塑料模具有限公司</v>
          </cell>
          <cell r="B360">
            <v>0</v>
          </cell>
        </row>
        <row r="361">
          <cell r="A361" t="str">
            <v>黄骅市瑞丰五金制品有限公司</v>
          </cell>
          <cell r="B361">
            <v>10000</v>
          </cell>
        </row>
        <row r="362">
          <cell r="A362" t="str">
            <v>黄骅市三江商贸有限公司</v>
          </cell>
          <cell r="B362">
            <v>0</v>
          </cell>
        </row>
        <row r="363">
          <cell r="A363" t="str">
            <v>黄骅市三姐五金经销部</v>
          </cell>
          <cell r="B363">
            <v>3231.6</v>
          </cell>
        </row>
        <row r="364">
          <cell r="A364" t="str">
            <v>黄骅市三星电脑科技有限公司</v>
          </cell>
          <cell r="B364">
            <v>0</v>
          </cell>
        </row>
        <row r="365">
          <cell r="A365" t="str">
            <v>黄骅市神农百草堂药品连锁有限公司</v>
          </cell>
          <cell r="B365">
            <v>0</v>
          </cell>
        </row>
        <row r="366">
          <cell r="A366" t="str">
            <v>黄骅市盛发五金制品有限公司</v>
          </cell>
          <cell r="B366">
            <v>0</v>
          </cell>
        </row>
        <row r="367">
          <cell r="A367" t="str">
            <v>黄骅市盛荣汽车零部件制造有限公司</v>
          </cell>
          <cell r="B367">
            <v>0</v>
          </cell>
        </row>
        <row r="368">
          <cell r="A368" t="str">
            <v>黄骅市盛泰五金制品厂</v>
          </cell>
          <cell r="B368">
            <v>0</v>
          </cell>
        </row>
        <row r="369">
          <cell r="A369" t="str">
            <v>黄骅市石港路兆荣装饰家园</v>
          </cell>
          <cell r="B369">
            <v>0</v>
          </cell>
        </row>
        <row r="370">
          <cell r="A370" t="str">
            <v>黄骅市双得金属制品销售有限公司</v>
          </cell>
          <cell r="B370">
            <v>20000</v>
          </cell>
        </row>
        <row r="371">
          <cell r="A371" t="str">
            <v>黄骅市顺驰车业配件有限公司</v>
          </cell>
          <cell r="B371">
            <v>0</v>
          </cell>
        </row>
        <row r="372">
          <cell r="A372" t="str">
            <v>黄骅市四通模具厂</v>
          </cell>
          <cell r="B372">
            <v>2500</v>
          </cell>
        </row>
        <row r="373">
          <cell r="A373" t="str">
            <v>黄骅市泰坤五金机电经销部</v>
          </cell>
          <cell r="B373">
            <v>0</v>
          </cell>
        </row>
        <row r="374">
          <cell r="A374" t="str">
            <v>黄骅市泰行汽车配件厂</v>
          </cell>
          <cell r="B374">
            <v>10000</v>
          </cell>
        </row>
        <row r="375">
          <cell r="A375" t="str">
            <v>黄骅市唐氏焊割设备经销处</v>
          </cell>
          <cell r="B375">
            <v>0</v>
          </cell>
        </row>
        <row r="376">
          <cell r="A376" t="str">
            <v>黄骅市天丰汽车配件有限公司</v>
          </cell>
          <cell r="B376">
            <v>57262.4</v>
          </cell>
        </row>
        <row r="377">
          <cell r="A377" t="str">
            <v>黄骅市通和五金制品有限公司</v>
          </cell>
          <cell r="B377">
            <v>70000</v>
          </cell>
        </row>
        <row r="378">
          <cell r="A378" t="str">
            <v>黄骅市通乐贸易有限公司</v>
          </cell>
          <cell r="B378">
            <v>26904</v>
          </cell>
        </row>
        <row r="379">
          <cell r="A379" t="str">
            <v>黄骅市通顺五金机电商店</v>
          </cell>
          <cell r="B379">
            <v>0</v>
          </cell>
        </row>
        <row r="380">
          <cell r="A380" t="str">
            <v>黄骅市通祥模具厂</v>
          </cell>
          <cell r="B380">
            <v>0</v>
          </cell>
        </row>
        <row r="381">
          <cell r="A381" t="str">
            <v>黄骅市同德商贸有限公司</v>
          </cell>
          <cell r="B381">
            <v>0</v>
          </cell>
        </row>
        <row r="382">
          <cell r="A382" t="str">
            <v>黄骅市同辉汽车配件有限公司</v>
          </cell>
          <cell r="B382">
            <v>10000</v>
          </cell>
        </row>
        <row r="383">
          <cell r="A383" t="str">
            <v>黄骅市屯鑫五金经销部</v>
          </cell>
          <cell r="B383">
            <v>0</v>
          </cell>
        </row>
        <row r="384">
          <cell r="A384" t="str">
            <v>黄骅市万安挂车配件有限公司</v>
          </cell>
          <cell r="B384">
            <v>0</v>
          </cell>
        </row>
        <row r="385">
          <cell r="A385" t="str">
            <v>黄骅市万昌五金制品有限公司</v>
          </cell>
          <cell r="B385">
            <v>450000</v>
          </cell>
        </row>
        <row r="386">
          <cell r="A386" t="str">
            <v>黄骅市万方五金塑料制品有限公司</v>
          </cell>
          <cell r="B386">
            <v>0</v>
          </cell>
        </row>
        <row r="387">
          <cell r="A387" t="str">
            <v>黄骅市万寿汽车配件有限公司</v>
          </cell>
          <cell r="B387">
            <v>53813.1</v>
          </cell>
        </row>
        <row r="388">
          <cell r="A388" t="str">
            <v>黄骅市魏波五金制品经营部</v>
          </cell>
          <cell r="B388">
            <v>0</v>
          </cell>
        </row>
        <row r="389">
          <cell r="A389" t="str">
            <v>黄骅市西环路宏大电热仪表电器经销处</v>
          </cell>
          <cell r="B389">
            <v>0</v>
          </cell>
        </row>
        <row r="390">
          <cell r="A390" t="str">
            <v>黄骅市祥义塑料模具有限公司</v>
          </cell>
          <cell r="B390">
            <v>0</v>
          </cell>
        </row>
        <row r="391">
          <cell r="A391" t="str">
            <v>黄骅市翔华电子设备经销处</v>
          </cell>
          <cell r="B391">
            <v>0</v>
          </cell>
        </row>
        <row r="392">
          <cell r="A392" t="str">
            <v>黄骅市筱楠五金门市部</v>
          </cell>
          <cell r="B392">
            <v>0</v>
          </cell>
        </row>
        <row r="393">
          <cell r="A393" t="str">
            <v>黄骅市新暖汽车座垫加工厂</v>
          </cell>
          <cell r="B393">
            <v>0</v>
          </cell>
        </row>
        <row r="394">
          <cell r="A394" t="str">
            <v>黄骅市新智环保技术有限公司</v>
          </cell>
          <cell r="B394">
            <v>0</v>
          </cell>
        </row>
        <row r="395">
          <cell r="A395" t="str">
            <v>黄骅市鑫昌五金制品厂</v>
          </cell>
          <cell r="B395">
            <v>-162297.8</v>
          </cell>
        </row>
        <row r="396">
          <cell r="A396" t="str">
            <v>黄骅市鑫宏祥电器门市部</v>
          </cell>
          <cell r="B396">
            <v>0</v>
          </cell>
        </row>
        <row r="397">
          <cell r="A397" t="str">
            <v>黄骅市鑫骅金属制品有限公司</v>
          </cell>
          <cell r="B397">
            <v>0</v>
          </cell>
        </row>
        <row r="398">
          <cell r="A398" t="str">
            <v>黄骅市鑫汇商贸有限公司</v>
          </cell>
          <cell r="B398">
            <v>9600</v>
          </cell>
        </row>
        <row r="399">
          <cell r="A399" t="str">
            <v>黄骅市鑫亮五金制品厂</v>
          </cell>
          <cell r="B399">
            <v>0</v>
          </cell>
        </row>
        <row r="400">
          <cell r="A400" t="str">
            <v>黄骅市鑫鹏商贸有限公司</v>
          </cell>
          <cell r="B400">
            <v>9780</v>
          </cell>
        </row>
        <row r="401">
          <cell r="A401" t="str">
            <v>黄骅市鑫祺汽车配件有限公司</v>
          </cell>
          <cell r="B401">
            <v>230000</v>
          </cell>
        </row>
        <row r="402">
          <cell r="A402" t="str">
            <v>黄骅市鑫盛物业服务有限公司</v>
          </cell>
          <cell r="B402">
            <v>0</v>
          </cell>
        </row>
        <row r="403">
          <cell r="A403" t="str">
            <v>黄骅市鑫宇五金制品厂</v>
          </cell>
          <cell r="B403">
            <v>0</v>
          </cell>
        </row>
        <row r="404">
          <cell r="A404" t="str">
            <v>黄骅市鑫源五金制品有限公司</v>
          </cell>
          <cell r="B404">
            <v>0</v>
          </cell>
        </row>
        <row r="405">
          <cell r="A405" t="str">
            <v>黄骅市兴朋包装材料有限公司</v>
          </cell>
          <cell r="B405">
            <v>0</v>
          </cell>
        </row>
        <row r="406">
          <cell r="A406" t="str">
            <v>黄骅市兴田弹簧有限公司</v>
          </cell>
          <cell r="B406">
            <v>0</v>
          </cell>
        </row>
        <row r="407">
          <cell r="A407" t="str">
            <v>黄骅市兴玉五金制品有限公司</v>
          </cell>
          <cell r="B407">
            <v>0</v>
          </cell>
        </row>
        <row r="408">
          <cell r="A408" t="str">
            <v>黄骅市亚星玻璃钢有限公司</v>
          </cell>
          <cell r="B408">
            <v>0</v>
          </cell>
        </row>
        <row r="409">
          <cell r="A409" t="str">
            <v>黄骅市亚征汽车配件有限公司</v>
          </cell>
          <cell r="B409">
            <v>0</v>
          </cell>
        </row>
        <row r="410">
          <cell r="A410" t="str">
            <v>黄骅市亿顺五金制品有限公司</v>
          </cell>
          <cell r="B410">
            <v>0</v>
          </cell>
        </row>
        <row r="411">
          <cell r="A411" t="str">
            <v>黄骅市益成五金门市部</v>
          </cell>
          <cell r="B411">
            <v>0</v>
          </cell>
        </row>
        <row r="412">
          <cell r="A412" t="str">
            <v>黄骅市益丰橡胶制品有限公司</v>
          </cell>
          <cell r="B412">
            <v>0</v>
          </cell>
        </row>
        <row r="413">
          <cell r="A413" t="str">
            <v>黄骅市益海五金制造有限公司</v>
          </cell>
          <cell r="B413">
            <v>0</v>
          </cell>
        </row>
        <row r="414">
          <cell r="A414" t="str">
            <v>黄骅市雍丰塑料制品有限公司</v>
          </cell>
          <cell r="B414">
            <v>180312.5</v>
          </cell>
        </row>
        <row r="415">
          <cell r="A415" t="str">
            <v>黄骅市友联嘉悦商贸有限公司</v>
          </cell>
          <cell r="B415">
            <v>19600</v>
          </cell>
        </row>
        <row r="416">
          <cell r="A416" t="str">
            <v>黄骅市宇丰运输有限公司</v>
          </cell>
          <cell r="B416">
            <v>0</v>
          </cell>
        </row>
        <row r="417">
          <cell r="A417" t="str">
            <v>黄骅市玉明五金模标门市部</v>
          </cell>
          <cell r="B417">
            <v>0</v>
          </cell>
        </row>
        <row r="418">
          <cell r="A418" t="str">
            <v>黄骅市誉焱制衣厂</v>
          </cell>
          <cell r="B418">
            <v>0</v>
          </cell>
        </row>
        <row r="419">
          <cell r="A419" t="str">
            <v>黄骅市元周五金制品有限公司</v>
          </cell>
          <cell r="B419">
            <v>30000</v>
          </cell>
        </row>
        <row r="420">
          <cell r="A420" t="str">
            <v>黄骅市月军五金制品厂</v>
          </cell>
          <cell r="B420">
            <v>0</v>
          </cell>
        </row>
        <row r="421">
          <cell r="A421" t="str">
            <v>黄骅市运输总公司华宇汽修厂</v>
          </cell>
          <cell r="B421">
            <v>0</v>
          </cell>
        </row>
        <row r="422">
          <cell r="A422" t="str">
            <v>黄骅市再兴汽车配件有限公司</v>
          </cell>
          <cell r="B422">
            <v>10000</v>
          </cell>
        </row>
        <row r="423">
          <cell r="A423" t="str">
            <v>黄骅市泽方模具有限公司</v>
          </cell>
          <cell r="B423">
            <v>0</v>
          </cell>
        </row>
        <row r="424">
          <cell r="A424" t="str">
            <v>黄骅市增鑫五金制品有限公司</v>
          </cell>
          <cell r="B424">
            <v>0</v>
          </cell>
        </row>
        <row r="425">
          <cell r="A425" t="str">
            <v>黄骅市兆展铁艺加工厂</v>
          </cell>
          <cell r="B425">
            <v>0</v>
          </cell>
        </row>
        <row r="426">
          <cell r="A426" t="str">
            <v>黄骅市赵福增运输队</v>
          </cell>
          <cell r="B426">
            <v>0</v>
          </cell>
        </row>
        <row r="427">
          <cell r="A427" t="str">
            <v>黄骅市祯祥金属制品有限责任公司</v>
          </cell>
          <cell r="B427">
            <v>5031.3</v>
          </cell>
        </row>
        <row r="428">
          <cell r="A428" t="str">
            <v>黄骅市振兴汽车灯镜厂</v>
          </cell>
          <cell r="B428">
            <v>0</v>
          </cell>
        </row>
        <row r="429">
          <cell r="A429" t="str">
            <v>黄骅市振兴五金制品厂</v>
          </cell>
          <cell r="B429">
            <v>10000</v>
          </cell>
        </row>
        <row r="430">
          <cell r="A430" t="str">
            <v>黄骅市震飞塑机辅机有限公司</v>
          </cell>
          <cell r="B430">
            <v>0</v>
          </cell>
        </row>
        <row r="431">
          <cell r="A431" t="str">
            <v>黄骅市震宇机动配件有限公司</v>
          </cell>
          <cell r="B431">
            <v>0</v>
          </cell>
        </row>
        <row r="432">
          <cell r="A432" t="str">
            <v>黄骅市正大纺织机械配件厂</v>
          </cell>
          <cell r="B432">
            <v>0</v>
          </cell>
        </row>
        <row r="433">
          <cell r="A433" t="str">
            <v>黄骅市正发五金机电经销处</v>
          </cell>
          <cell r="B433">
            <v>0</v>
          </cell>
        </row>
        <row r="434">
          <cell r="A434" t="str">
            <v>黄骅市正祥车辆部件有限公司</v>
          </cell>
          <cell r="B434">
            <v>18082.1</v>
          </cell>
        </row>
        <row r="435">
          <cell r="A435" t="str">
            <v>黄骅市志承车业有限公司</v>
          </cell>
          <cell r="B435">
            <v>0</v>
          </cell>
        </row>
        <row r="436">
          <cell r="A436" t="str">
            <v>黄骅市致远摩托车配件有限公司</v>
          </cell>
          <cell r="B436">
            <v>0</v>
          </cell>
        </row>
        <row r="437">
          <cell r="A437" t="str">
            <v>黄骅市智美办公用品门市部</v>
          </cell>
          <cell r="B437">
            <v>0</v>
          </cell>
        </row>
        <row r="438">
          <cell r="A438" t="str">
            <v>黄骅市中医医院</v>
          </cell>
          <cell r="B438">
            <v>0</v>
          </cell>
        </row>
        <row r="439">
          <cell r="A439" t="str">
            <v>黄骅信誉楼百货集团有限公司黄骅信誉楼商厦</v>
          </cell>
          <cell r="B439">
            <v>0</v>
          </cell>
        </row>
        <row r="440">
          <cell r="A440" t="str">
            <v>吉林省国际仓储运输有限公司</v>
          </cell>
          <cell r="B440">
            <v>0</v>
          </cell>
        </row>
        <row r="441">
          <cell r="A441" t="str">
            <v>吉林省裕隆机电设备零部件有限公司</v>
          </cell>
          <cell r="B441">
            <v>0</v>
          </cell>
        </row>
        <row r="442">
          <cell r="A442" t="str">
            <v>济南广武数控设备有限公司</v>
          </cell>
          <cell r="B442">
            <v>0</v>
          </cell>
        </row>
        <row r="443">
          <cell r="A443" t="str">
            <v>济南恒发一诚聚氨酯有限公司</v>
          </cell>
          <cell r="B443">
            <v>0</v>
          </cell>
        </row>
        <row r="444">
          <cell r="A444" t="str">
            <v>济南时代试金试验机有限公司</v>
          </cell>
          <cell r="B444">
            <v>0</v>
          </cell>
        </row>
        <row r="445">
          <cell r="A445" t="str">
            <v>济南岩安电子科技有限公司</v>
          </cell>
          <cell r="B445">
            <v>0</v>
          </cell>
        </row>
        <row r="446">
          <cell r="A446" t="str">
            <v>冀州市北内汽车座椅有限公司</v>
          </cell>
          <cell r="B446">
            <v>0</v>
          </cell>
        </row>
        <row r="447">
          <cell r="A447" t="str">
            <v>佳化化学（滨州）有限公司</v>
          </cell>
          <cell r="B447">
            <v>0</v>
          </cell>
        </row>
        <row r="448">
          <cell r="A448" t="str">
            <v>嘉兴市南湖区东栅街道嘉环中电子产品经营部</v>
          </cell>
          <cell r="B448">
            <v>0</v>
          </cell>
        </row>
        <row r="449">
          <cell r="A449" t="str">
            <v>嘉兴市松玖机电设备有限公司</v>
          </cell>
          <cell r="B449">
            <v>0</v>
          </cell>
        </row>
        <row r="450">
          <cell r="A450" t="str">
            <v>建生裕科（上海）贸易有限公司</v>
          </cell>
          <cell r="B450">
            <v>0</v>
          </cell>
        </row>
        <row r="451">
          <cell r="A451" t="str">
            <v>江苏艾文德悦达汽车内饰有限公司</v>
          </cell>
          <cell r="B451">
            <v>0</v>
          </cell>
        </row>
        <row r="452">
          <cell r="A452" t="str">
            <v>江苏力乐汽车部件股份有限公司</v>
          </cell>
          <cell r="B452">
            <v>0</v>
          </cell>
        </row>
        <row r="453">
          <cell r="A453" t="str">
            <v>江苏申牌万向轮有限公司</v>
          </cell>
          <cell r="B453">
            <v>0</v>
          </cell>
        </row>
        <row r="454">
          <cell r="A454" t="str">
            <v>江苏万金汽车零部件制造有限公司</v>
          </cell>
          <cell r="B454">
            <v>0</v>
          </cell>
        </row>
        <row r="455">
          <cell r="A455" t="str">
            <v>江苏扬力集团有限公司</v>
          </cell>
          <cell r="B455">
            <v>0</v>
          </cell>
        </row>
        <row r="456">
          <cell r="A456" t="str">
            <v>江苏忠明祥和精工股份有限公司</v>
          </cell>
          <cell r="B456">
            <v>0</v>
          </cell>
        </row>
        <row r="457">
          <cell r="A457" t="str">
            <v>江阴长青工艺品有限公司</v>
          </cell>
          <cell r="B457">
            <v>0</v>
          </cell>
        </row>
        <row r="458">
          <cell r="A458" t="str">
            <v>江阴市诚信模具有限公司</v>
          </cell>
          <cell r="B458">
            <v>0</v>
          </cell>
        </row>
        <row r="459">
          <cell r="A459" t="str">
            <v>江阴市达安汽车零部件有限公司</v>
          </cell>
          <cell r="B459">
            <v>0</v>
          </cell>
        </row>
        <row r="460">
          <cell r="A460" t="str">
            <v>江阴市利剑金刚石工磨具有限公司</v>
          </cell>
          <cell r="B460">
            <v>0</v>
          </cell>
        </row>
        <row r="461">
          <cell r="A461" t="str">
            <v>江阴市信佳科贸有限公司</v>
          </cell>
          <cell r="B461">
            <v>0</v>
          </cell>
        </row>
        <row r="462">
          <cell r="A462" t="str">
            <v>金丰（中国）机械工业有限公司</v>
          </cell>
          <cell r="B462">
            <v>0</v>
          </cell>
        </row>
        <row r="463">
          <cell r="A463" t="str">
            <v>金世纪电缆集团有限公司</v>
          </cell>
          <cell r="B463">
            <v>0</v>
          </cell>
        </row>
        <row r="464">
          <cell r="A464" t="str">
            <v>景德镇景兴物流有限公司</v>
          </cell>
          <cell r="B464">
            <v>0</v>
          </cell>
        </row>
        <row r="465">
          <cell r="A465" t="str">
            <v>孔令兰</v>
          </cell>
          <cell r="B465">
            <v>0</v>
          </cell>
        </row>
        <row r="466">
          <cell r="A466" t="str">
            <v>旷达汽车饰件系统有限公司</v>
          </cell>
          <cell r="B466">
            <v>200000</v>
          </cell>
        </row>
        <row r="467">
          <cell r="A467" t="str">
            <v>旷达汽车饰件有限公司</v>
          </cell>
          <cell r="B467">
            <v>610000</v>
          </cell>
        </row>
        <row r="468">
          <cell r="A468" t="str">
            <v>昆山福如斯精密机械有限公司</v>
          </cell>
          <cell r="B468">
            <v>0</v>
          </cell>
        </row>
        <row r="469">
          <cell r="A469" t="str">
            <v>昆山鸿毅达精密模具有限公司</v>
          </cell>
          <cell r="B469">
            <v>0</v>
          </cell>
        </row>
        <row r="470">
          <cell r="A470" t="str">
            <v>昆山瑞翔自动化科技有限公司</v>
          </cell>
          <cell r="B470">
            <v>0</v>
          </cell>
        </row>
        <row r="471">
          <cell r="A471" t="str">
            <v>昆山市永盛制线有限公司</v>
          </cell>
          <cell r="B471">
            <v>0</v>
          </cell>
        </row>
        <row r="472">
          <cell r="A472" t="str">
            <v>昆山市玉山镇钛晶邦机电商行</v>
          </cell>
          <cell r="B472">
            <v>0</v>
          </cell>
        </row>
        <row r="473">
          <cell r="A473" t="str">
            <v>昆山维尔利环保科技有限公司</v>
          </cell>
          <cell r="B473">
            <v>0</v>
          </cell>
        </row>
        <row r="474">
          <cell r="A474" t="str">
            <v>莱茵贝格电梯（北京）有限公司第六分公司</v>
          </cell>
          <cell r="B474">
            <v>0</v>
          </cell>
        </row>
        <row r="475">
          <cell r="A475" t="str">
            <v>廊坊华文机电设备有限公司</v>
          </cell>
          <cell r="B475">
            <v>0</v>
          </cell>
        </row>
        <row r="476">
          <cell r="A476" t="str">
            <v>廊坊开发区浩泰机械制造有限公司</v>
          </cell>
          <cell r="B476">
            <v>0</v>
          </cell>
        </row>
        <row r="477">
          <cell r="A477" t="str">
            <v>廊坊市烁鑫汽车配件有限公司</v>
          </cell>
          <cell r="B477">
            <v>0</v>
          </cell>
        </row>
        <row r="478">
          <cell r="A478" t="str">
            <v>廊坊一凡水处理工程有限公司</v>
          </cell>
          <cell r="B478">
            <v>0</v>
          </cell>
        </row>
        <row r="479">
          <cell r="A479" t="str">
            <v>廊坊中德汽车座椅制造有限公司</v>
          </cell>
          <cell r="B479">
            <v>0</v>
          </cell>
        </row>
        <row r="480">
          <cell r="A480" t="str">
            <v>李春林</v>
          </cell>
          <cell r="B480">
            <v>0</v>
          </cell>
        </row>
        <row r="481">
          <cell r="A481" t="str">
            <v>溧阳市鑫岩车辆配件厂</v>
          </cell>
          <cell r="B481">
            <v>0</v>
          </cell>
        </row>
        <row r="482">
          <cell r="A482" t="str">
            <v>溧阳万金汽车配件有限公司</v>
          </cell>
          <cell r="B482">
            <v>0</v>
          </cell>
        </row>
        <row r="483">
          <cell r="A483" t="str">
            <v>溧阳鑫岩汽车零部件有限公司</v>
          </cell>
          <cell r="B483">
            <v>0</v>
          </cell>
        </row>
        <row r="484">
          <cell r="A484" t="str">
            <v>辽宁德威纤维制品有限公司</v>
          </cell>
          <cell r="B484">
            <v>0</v>
          </cell>
        </row>
        <row r="485">
          <cell r="A485" t="str">
            <v>辽源市佳林造革有限责任公司</v>
          </cell>
          <cell r="B485">
            <v>0</v>
          </cell>
        </row>
        <row r="486">
          <cell r="A486" t="str">
            <v>刘东德</v>
          </cell>
          <cell r="B486">
            <v>0</v>
          </cell>
        </row>
        <row r="487">
          <cell r="A487" t="str">
            <v>刘金亮</v>
          </cell>
          <cell r="B487">
            <v>0</v>
          </cell>
        </row>
        <row r="488">
          <cell r="A488" t="str">
            <v>刘荣辉</v>
          </cell>
          <cell r="B488">
            <v>0</v>
          </cell>
        </row>
        <row r="489">
          <cell r="A489" t="str">
            <v>洛阳宏润塑业有限公司</v>
          </cell>
          <cell r="B489">
            <v>87670</v>
          </cell>
        </row>
        <row r="490">
          <cell r="A490" t="str">
            <v>马英强</v>
          </cell>
          <cell r="B490">
            <v>0</v>
          </cell>
        </row>
        <row r="491">
          <cell r="A491" t="str">
            <v>马志云</v>
          </cell>
          <cell r="B491">
            <v>0</v>
          </cell>
        </row>
        <row r="492">
          <cell r="A492" t="str">
            <v>美视伊汽车镜控（苏州）有限公司</v>
          </cell>
          <cell r="B492">
            <v>134121.96</v>
          </cell>
        </row>
        <row r="493">
          <cell r="A493" t="str">
            <v>孟村回族自治县旭日汽车配件厂</v>
          </cell>
          <cell r="B493">
            <v>0</v>
          </cell>
        </row>
        <row r="494">
          <cell r="A494" t="str">
            <v>米思米（中国）精密机械贸易有限公司</v>
          </cell>
          <cell r="B494">
            <v>0</v>
          </cell>
        </row>
        <row r="495">
          <cell r="A495" t="str">
            <v>密佳达（北京）塑料机械设备有限公司</v>
          </cell>
          <cell r="B495">
            <v>0</v>
          </cell>
        </row>
        <row r="496">
          <cell r="A496" t="str">
            <v>密山市龙兴制革有限公司</v>
          </cell>
          <cell r="B496">
            <v>0</v>
          </cell>
        </row>
        <row r="497">
          <cell r="A497" t="str">
            <v>明邦（天津）科技有限公司</v>
          </cell>
          <cell r="B497">
            <v>0</v>
          </cell>
        </row>
        <row r="498">
          <cell r="A498" t="str">
            <v>铭涛五金(苏州)有限公司</v>
          </cell>
          <cell r="B498">
            <v>0</v>
          </cell>
        </row>
        <row r="499">
          <cell r="A499" t="str">
            <v>慕斯汽车后视镜系统（无锡）有限公司</v>
          </cell>
          <cell r="B499">
            <v>10000</v>
          </cell>
        </row>
        <row r="500">
          <cell r="A500" t="str">
            <v>纳拓润滑技术（上海）有限公司</v>
          </cell>
          <cell r="B500">
            <v>0</v>
          </cell>
        </row>
        <row r="501">
          <cell r="A501" t="str">
            <v>纳新塑化（上海）有限公司</v>
          </cell>
          <cell r="B501">
            <v>38193.99</v>
          </cell>
        </row>
        <row r="502">
          <cell r="A502" t="str">
            <v>南方中金环境股份有限公司</v>
          </cell>
          <cell r="B502">
            <v>0</v>
          </cell>
        </row>
        <row r="503">
          <cell r="A503" t="str">
            <v>南京聚隆科技股份有限公司</v>
          </cell>
          <cell r="B503">
            <v>0</v>
          </cell>
        </row>
        <row r="504">
          <cell r="A504" t="str">
            <v>南京磐纳科技发展有限公司</v>
          </cell>
          <cell r="B504">
            <v>0</v>
          </cell>
        </row>
        <row r="505">
          <cell r="A505" t="str">
            <v>南皮国名冲压件厂</v>
          </cell>
          <cell r="B505">
            <v>0</v>
          </cell>
        </row>
        <row r="506">
          <cell r="A506" t="str">
            <v>南皮县聚金五金制品有限公司</v>
          </cell>
          <cell r="B506">
            <v>0</v>
          </cell>
        </row>
        <row r="507">
          <cell r="A507" t="str">
            <v>南皮县利辉五金接插件厂</v>
          </cell>
          <cell r="B507">
            <v>0</v>
          </cell>
        </row>
        <row r="508">
          <cell r="A508" t="str">
            <v>南皮县明光五金机电有限公司</v>
          </cell>
          <cell r="B508">
            <v>0</v>
          </cell>
        </row>
        <row r="509">
          <cell r="A509" t="str">
            <v>南皮县泰航五金制造有限公司</v>
          </cell>
          <cell r="B509">
            <v>0</v>
          </cell>
        </row>
        <row r="510">
          <cell r="A510" t="str">
            <v>南皮县望生金属材料有限公司</v>
          </cell>
          <cell r="B510">
            <v>0</v>
          </cell>
        </row>
        <row r="511">
          <cell r="A511" t="str">
            <v>南通南亚汽车新材料有限公司</v>
          </cell>
          <cell r="B511">
            <v>0</v>
          </cell>
        </row>
        <row r="512">
          <cell r="A512" t="str">
            <v>宁波精成车业有限公司</v>
          </cell>
          <cell r="B512">
            <v>0</v>
          </cell>
        </row>
        <row r="513">
          <cell r="A513" t="str">
            <v>宁波瑞元模塑有限公司</v>
          </cell>
          <cell r="B513">
            <v>0</v>
          </cell>
        </row>
        <row r="514">
          <cell r="A514" t="str">
            <v>宁波正耀汽车电器有限公司</v>
          </cell>
          <cell r="B514">
            <v>0</v>
          </cell>
        </row>
        <row r="515">
          <cell r="A515" t="str">
            <v>派博乐安全设备有限公司</v>
          </cell>
          <cell r="B515">
            <v>0</v>
          </cell>
        </row>
        <row r="516">
          <cell r="A516" t="str">
            <v>濮阳市汉克斯机械有限公司</v>
          </cell>
          <cell r="B516">
            <v>0</v>
          </cell>
        </row>
        <row r="517">
          <cell r="A517" t="str">
            <v>普罗名特贸易（大连）有限公司</v>
          </cell>
          <cell r="B517">
            <v>0</v>
          </cell>
        </row>
        <row r="518">
          <cell r="A518" t="str">
            <v>秦皇岛高鹏泡沫塑料有限公司</v>
          </cell>
          <cell r="B518">
            <v>0</v>
          </cell>
        </row>
        <row r="519">
          <cell r="A519" t="str">
            <v>青岛澳海源国际贸易有限公司</v>
          </cell>
          <cell r="B519">
            <v>0</v>
          </cell>
        </row>
        <row r="520">
          <cell r="A520" t="str">
            <v>青岛福基纺织有限公司</v>
          </cell>
          <cell r="B520">
            <v>0</v>
          </cell>
        </row>
        <row r="521">
          <cell r="A521" t="str">
            <v>青岛银泰洁净设备有限公司</v>
          </cell>
          <cell r="B521">
            <v>0</v>
          </cell>
        </row>
        <row r="522">
          <cell r="A522" t="str">
            <v>青县永胜焊接材料厂</v>
          </cell>
          <cell r="B522">
            <v>0</v>
          </cell>
        </row>
        <row r="523">
          <cell r="A523" t="str">
            <v>青州市万向机械有限公司</v>
          </cell>
          <cell r="B523">
            <v>0</v>
          </cell>
        </row>
        <row r="524">
          <cell r="A524" t="str">
            <v>曲阜陆航座椅辅料有限公司</v>
          </cell>
          <cell r="B524">
            <v>0</v>
          </cell>
        </row>
        <row r="525">
          <cell r="A525" t="str">
            <v>人民电器集团黄骅销售有限公司</v>
          </cell>
          <cell r="B525">
            <v>0</v>
          </cell>
        </row>
        <row r="526">
          <cell r="A526" t="str">
            <v>任丘市焊材厂</v>
          </cell>
          <cell r="B526">
            <v>30000</v>
          </cell>
        </row>
        <row r="527">
          <cell r="A527" t="str">
            <v>任丘市力洋压缩机制造有限公司</v>
          </cell>
          <cell r="B527">
            <v>0</v>
          </cell>
        </row>
        <row r="528">
          <cell r="A528" t="str">
            <v>三门县伟狄交通设施厂</v>
          </cell>
          <cell r="B528">
            <v>0</v>
          </cell>
        </row>
        <row r="529">
          <cell r="A529" t="str">
            <v>森织汽车内饰（武汉）有限公司</v>
          </cell>
          <cell r="B529">
            <v>0</v>
          </cell>
        </row>
        <row r="530">
          <cell r="A530" t="str">
            <v>山东东塑机械制造有限公司</v>
          </cell>
          <cell r="B530">
            <v>0</v>
          </cell>
        </row>
        <row r="531">
          <cell r="A531" t="str">
            <v>山东丰泽源皮革有限公司</v>
          </cell>
          <cell r="B531">
            <v>0</v>
          </cell>
        </row>
        <row r="532">
          <cell r="A532" t="str">
            <v>山东格瑞蓝热能设备有限公司</v>
          </cell>
          <cell r="B532">
            <v>0</v>
          </cell>
        </row>
        <row r="533">
          <cell r="A533" t="str">
            <v>山东金达汽车部件制造股份有限公司</v>
          </cell>
          <cell r="B533">
            <v>0</v>
          </cell>
        </row>
        <row r="534">
          <cell r="A534" t="str">
            <v>山东力丰重型机床有限公司</v>
          </cell>
          <cell r="B534">
            <v>0</v>
          </cell>
        </row>
        <row r="535">
          <cell r="A535" t="str">
            <v>山东隆华新材料股份有限公司</v>
          </cell>
          <cell r="B535">
            <v>0</v>
          </cell>
        </row>
        <row r="536">
          <cell r="A536" t="str">
            <v>山东浅海电气有限公司</v>
          </cell>
          <cell r="B536">
            <v>0</v>
          </cell>
        </row>
        <row r="537">
          <cell r="A537" t="str">
            <v>山东省禹城市阳光化工有限公司</v>
          </cell>
          <cell r="B537">
            <v>0</v>
          </cell>
        </row>
        <row r="538">
          <cell r="A538" t="str">
            <v>山东施密特热能设备有限公司</v>
          </cell>
          <cell r="B538">
            <v>0</v>
          </cell>
        </row>
        <row r="539">
          <cell r="A539" t="str">
            <v>山东泰鹏新材料有限公司</v>
          </cell>
          <cell r="B539">
            <v>0</v>
          </cell>
        </row>
        <row r="540">
          <cell r="A540" t="str">
            <v>商玉才</v>
          </cell>
          <cell r="B540">
            <v>0</v>
          </cell>
        </row>
        <row r="541">
          <cell r="A541" t="str">
            <v>上工富怡智能制造（天津）有限公司</v>
          </cell>
          <cell r="B541">
            <v>0</v>
          </cell>
        </row>
        <row r="542">
          <cell r="A542" t="str">
            <v>上海芭仲实业发展有限公司</v>
          </cell>
          <cell r="B542">
            <v>0</v>
          </cell>
        </row>
        <row r="543">
          <cell r="A543" t="str">
            <v>上海奔德汽车零部件有限公司</v>
          </cell>
          <cell r="B543">
            <v>60000</v>
          </cell>
        </row>
        <row r="544">
          <cell r="A544" t="str">
            <v>上海边锋实业有限公司</v>
          </cell>
          <cell r="B544">
            <v>0</v>
          </cell>
        </row>
        <row r="545">
          <cell r="A545" t="str">
            <v>上海畅聊网络科技有限公司</v>
          </cell>
          <cell r="B545">
            <v>0</v>
          </cell>
        </row>
        <row r="546">
          <cell r="A546" t="str">
            <v>上海导全自动化设备有限公司</v>
          </cell>
          <cell r="B546">
            <v>0</v>
          </cell>
        </row>
        <row r="547">
          <cell r="A547" t="str">
            <v>上海工博商贸有限公司</v>
          </cell>
          <cell r="B547">
            <v>0</v>
          </cell>
        </row>
        <row r="548">
          <cell r="A548" t="str">
            <v>上海购福电子商务有限公司</v>
          </cell>
          <cell r="B548">
            <v>0</v>
          </cell>
        </row>
        <row r="549">
          <cell r="A549" t="str">
            <v>上海昊诚泵阀有限公司</v>
          </cell>
          <cell r="B549">
            <v>0</v>
          </cell>
        </row>
        <row r="550">
          <cell r="A550" t="str">
            <v>上海和鹰机电设备有限公司</v>
          </cell>
          <cell r="B550">
            <v>0</v>
          </cell>
        </row>
        <row r="551">
          <cell r="A551" t="str">
            <v>上海亨斯迈聚氨酯有限公司</v>
          </cell>
          <cell r="B551">
            <v>0</v>
          </cell>
        </row>
        <row r="552">
          <cell r="A552" t="str">
            <v>上海沪熙商贸有限公司</v>
          </cell>
          <cell r="B552">
            <v>21745.78</v>
          </cell>
        </row>
        <row r="553">
          <cell r="A553" t="str">
            <v>上海怀德五金机电有限公司</v>
          </cell>
          <cell r="B553">
            <v>0</v>
          </cell>
        </row>
        <row r="554">
          <cell r="A554" t="str">
            <v>上海金力泰化工股份有限公司</v>
          </cell>
          <cell r="B554">
            <v>0</v>
          </cell>
        </row>
        <row r="555">
          <cell r="A555" t="str">
            <v>上海克来机电自动化工程有限公司</v>
          </cell>
          <cell r="B555">
            <v>0</v>
          </cell>
        </row>
        <row r="556">
          <cell r="A556" t="str">
            <v>上海利用锁具有限公司</v>
          </cell>
          <cell r="B556">
            <v>0</v>
          </cell>
        </row>
        <row r="557">
          <cell r="A557" t="str">
            <v>上海名华悬挂输送机有限公司</v>
          </cell>
          <cell r="B557">
            <v>0</v>
          </cell>
        </row>
        <row r="558">
          <cell r="A558" t="str">
            <v>上海明芳汽车零件有限公司</v>
          </cell>
          <cell r="B558">
            <v>0</v>
          </cell>
        </row>
        <row r="559">
          <cell r="A559" t="str">
            <v>上海腾基机械设备有限公司</v>
          </cell>
          <cell r="B559">
            <v>14115</v>
          </cell>
        </row>
        <row r="560">
          <cell r="A560" t="str">
            <v>上海旭伽贸易有限公司</v>
          </cell>
          <cell r="B560">
            <v>0</v>
          </cell>
        </row>
        <row r="561">
          <cell r="A561" t="str">
            <v>上海研润光机科技有限公司</v>
          </cell>
          <cell r="B561">
            <v>0</v>
          </cell>
        </row>
        <row r="562">
          <cell r="A562" t="str">
            <v>上海奕盛信息技术有限公司</v>
          </cell>
          <cell r="B562">
            <v>0</v>
          </cell>
        </row>
        <row r="563">
          <cell r="A563" t="str">
            <v>上海优诺特实业股份有限公司</v>
          </cell>
          <cell r="B563">
            <v>0</v>
          </cell>
        </row>
        <row r="564">
          <cell r="A564" t="str">
            <v>上海誉星电子有限公司</v>
          </cell>
          <cell r="B564">
            <v>0</v>
          </cell>
        </row>
        <row r="565">
          <cell r="A565" t="str">
            <v>上海绽奇工贸有限公司</v>
          </cell>
          <cell r="B565">
            <v>0</v>
          </cell>
        </row>
        <row r="566">
          <cell r="A566" t="str">
            <v>深圳市固特灵胶业有限公司</v>
          </cell>
          <cell r="B566">
            <v>0</v>
          </cell>
        </row>
        <row r="567">
          <cell r="A567" t="str">
            <v>深圳市宏升风机设备有限公司</v>
          </cell>
          <cell r="B567">
            <v>0</v>
          </cell>
        </row>
        <row r="568">
          <cell r="A568" t="str">
            <v>深圳市互成自动化设备有限公司</v>
          </cell>
          <cell r="B568">
            <v>0</v>
          </cell>
        </row>
        <row r="569">
          <cell r="A569" t="str">
            <v>深圳市华亚数控机床有限公司</v>
          </cell>
          <cell r="B569">
            <v>0</v>
          </cell>
        </row>
        <row r="570">
          <cell r="A570" t="str">
            <v>深圳市立恒视觉技术有限公司</v>
          </cell>
          <cell r="B570">
            <v>0</v>
          </cell>
        </row>
        <row r="571">
          <cell r="A571" t="str">
            <v>深圳市森瑞普电子有限公司</v>
          </cell>
          <cell r="B571">
            <v>0</v>
          </cell>
        </row>
        <row r="572">
          <cell r="A572" t="str">
            <v>深圳市顺镒五金机电有限公司</v>
          </cell>
          <cell r="B572">
            <v>0</v>
          </cell>
        </row>
        <row r="573">
          <cell r="A573" t="str">
            <v>深圳市万泉河科技有限公司</v>
          </cell>
          <cell r="B573">
            <v>0</v>
          </cell>
        </row>
        <row r="574">
          <cell r="A574" t="str">
            <v>深州市安广顺机械配件有限公司</v>
          </cell>
          <cell r="B574">
            <v>0</v>
          </cell>
        </row>
        <row r="575">
          <cell r="A575" t="str">
            <v>深州市华星塑胶制品有限公司</v>
          </cell>
          <cell r="B575">
            <v>0</v>
          </cell>
        </row>
        <row r="576">
          <cell r="A576" t="str">
            <v>深州市卓伦橡塑磨具有限公司</v>
          </cell>
          <cell r="B576">
            <v>170000</v>
          </cell>
        </row>
        <row r="577">
          <cell r="A577" t="str">
            <v>沈阳市鼎华机械设备制造厂</v>
          </cell>
          <cell r="B577">
            <v>0</v>
          </cell>
        </row>
        <row r="578">
          <cell r="A578" t="str">
            <v>石家庄霍克叉车设备有限公司</v>
          </cell>
          <cell r="B578">
            <v>0</v>
          </cell>
        </row>
        <row r="579">
          <cell r="A579" t="str">
            <v>石家庄金盾安全技术工程有限公司沧州分公司</v>
          </cell>
          <cell r="B579">
            <v>0</v>
          </cell>
        </row>
        <row r="580">
          <cell r="A580" t="str">
            <v>石家庄跨越物流有限公司</v>
          </cell>
          <cell r="B580">
            <v>85965.31</v>
          </cell>
        </row>
        <row r="581">
          <cell r="A581" t="str">
            <v>石家庄松樾机械设备销售有限公司</v>
          </cell>
          <cell r="B581">
            <v>0</v>
          </cell>
        </row>
        <row r="582">
          <cell r="A582" t="str">
            <v>市场采购</v>
          </cell>
          <cell r="B582">
            <v>0</v>
          </cell>
        </row>
        <row r="583">
          <cell r="A583" t="str">
            <v>沭阳县嘉福商贸中心</v>
          </cell>
          <cell r="B583">
            <v>0</v>
          </cell>
        </row>
        <row r="584">
          <cell r="A584" t="str">
            <v>苏瑞电子设备（北京）有限公司</v>
          </cell>
          <cell r="B584">
            <v>0</v>
          </cell>
        </row>
        <row r="585">
          <cell r="A585" t="str">
            <v>苏州高登威科技股份有限公司</v>
          </cell>
          <cell r="B585">
            <v>0</v>
          </cell>
        </row>
        <row r="586">
          <cell r="A586" t="str">
            <v>苏州高新区旭达输送机械有限公司</v>
          </cell>
          <cell r="B586">
            <v>0</v>
          </cell>
        </row>
        <row r="587">
          <cell r="A587" t="str">
            <v>苏州格力富机电科技有限公司</v>
          </cell>
          <cell r="B587">
            <v>0</v>
          </cell>
        </row>
        <row r="588">
          <cell r="A588" t="str">
            <v>苏州华尔普机械有限公司</v>
          </cell>
          <cell r="B588">
            <v>0</v>
          </cell>
        </row>
        <row r="589">
          <cell r="A589" t="str">
            <v>苏州瑞尔福精密模具有限公司</v>
          </cell>
          <cell r="B589">
            <v>0</v>
          </cell>
        </row>
        <row r="590">
          <cell r="A590" t="str">
            <v>苏州市荣威模具有限公司</v>
          </cell>
          <cell r="B590">
            <v>1595000</v>
          </cell>
        </row>
        <row r="591">
          <cell r="A591" t="str">
            <v>苏州泰克优自动化科技有限公司</v>
          </cell>
          <cell r="B591">
            <v>0</v>
          </cell>
        </row>
        <row r="592">
          <cell r="A592" t="str">
            <v>苏州耀腾光电有限公司</v>
          </cell>
          <cell r="B592">
            <v>0</v>
          </cell>
        </row>
        <row r="593">
          <cell r="A593" t="str">
            <v>苏州智华汽车电子有限公司</v>
          </cell>
          <cell r="B593">
            <v>0</v>
          </cell>
        </row>
        <row r="594">
          <cell r="A594" t="str">
            <v>宿迁京狗电子商务有限公司</v>
          </cell>
          <cell r="B594">
            <v>0</v>
          </cell>
        </row>
        <row r="595">
          <cell r="A595" t="str">
            <v>塑宝环保机械（太仓）有限公司</v>
          </cell>
          <cell r="B595">
            <v>0</v>
          </cell>
        </row>
        <row r="596">
          <cell r="A596" t="str">
            <v>泰州市罡阳龙宇机械厂</v>
          </cell>
          <cell r="B596">
            <v>0</v>
          </cell>
        </row>
        <row r="597">
          <cell r="A597" t="str">
            <v>唐山京联制线有限公司</v>
          </cell>
          <cell r="B597">
            <v>0</v>
          </cell>
        </row>
        <row r="598">
          <cell r="A598" t="str">
            <v>唐山市丰润区报喜坨扁钢厂（普通合伙）</v>
          </cell>
          <cell r="B598">
            <v>0</v>
          </cell>
        </row>
        <row r="599">
          <cell r="A599" t="str">
            <v>唐山松下产业机器有限公司</v>
          </cell>
          <cell r="B599">
            <v>0</v>
          </cell>
        </row>
        <row r="600">
          <cell r="A600" t="str">
            <v>唐兴压缩技术（昆山）有限公司</v>
          </cell>
          <cell r="B600">
            <v>0</v>
          </cell>
        </row>
        <row r="601">
          <cell r="A601" t="str">
            <v>天津安美润滑科技有限公司</v>
          </cell>
          <cell r="B601">
            <v>0</v>
          </cell>
        </row>
        <row r="602">
          <cell r="A602" t="str">
            <v>天津澳晨科技有限公司</v>
          </cell>
          <cell r="B602">
            <v>0</v>
          </cell>
        </row>
        <row r="603">
          <cell r="A603" t="str">
            <v>天津宝盈电脑机械有限公司</v>
          </cell>
          <cell r="B603">
            <v>0</v>
          </cell>
        </row>
        <row r="604">
          <cell r="A604" t="str">
            <v>天津北方合力叉车有限公司石家庄分公司</v>
          </cell>
          <cell r="B604">
            <v>0</v>
          </cell>
        </row>
        <row r="605">
          <cell r="A605" t="str">
            <v>天津冠崴精密机械有限公司</v>
          </cell>
          <cell r="B605">
            <v>0</v>
          </cell>
        </row>
        <row r="606">
          <cell r="A606" t="str">
            <v>天津恒昌达绝缘材料有限公司</v>
          </cell>
          <cell r="B606">
            <v>0</v>
          </cell>
        </row>
        <row r="607">
          <cell r="A607" t="str">
            <v>天津华钢投资发展有限公司</v>
          </cell>
          <cell r="B607">
            <v>0</v>
          </cell>
        </row>
        <row r="608">
          <cell r="A608" t="str">
            <v>天津华兰文鑫文化用品商贸有限公司</v>
          </cell>
          <cell r="B608">
            <v>0</v>
          </cell>
        </row>
        <row r="609">
          <cell r="A609" t="str">
            <v>天津级进精工科技有限公司</v>
          </cell>
          <cell r="B609">
            <v>0</v>
          </cell>
        </row>
        <row r="610">
          <cell r="A610" t="str">
            <v>天津金发新材料有限公司</v>
          </cell>
          <cell r="B610">
            <v>190000</v>
          </cell>
        </row>
        <row r="611">
          <cell r="A611" t="str">
            <v>天津精美特表面技术有限公司</v>
          </cell>
          <cell r="B611">
            <v>500000</v>
          </cell>
        </row>
        <row r="612">
          <cell r="A612" t="str">
            <v>天津景宝田金属材料贸易有限公司</v>
          </cell>
          <cell r="B612">
            <v>0</v>
          </cell>
        </row>
        <row r="613">
          <cell r="A613" t="str">
            <v>天津开山金属模具科技有限公司</v>
          </cell>
          <cell r="B613">
            <v>0</v>
          </cell>
        </row>
        <row r="614">
          <cell r="A614" t="str">
            <v>天津科特迪涂装设备有限公司</v>
          </cell>
          <cell r="B614">
            <v>0</v>
          </cell>
        </row>
        <row r="615">
          <cell r="A615" t="str">
            <v>天津利迪科技发展有限公司</v>
          </cell>
          <cell r="B615">
            <v>41000</v>
          </cell>
        </row>
        <row r="616">
          <cell r="A616" t="str">
            <v>天津联一劳务服务有限公司</v>
          </cell>
          <cell r="B616">
            <v>0</v>
          </cell>
        </row>
        <row r="617">
          <cell r="A617" t="str">
            <v>天津尼嘉斯机械设备销售有限公司</v>
          </cell>
          <cell r="B617">
            <v>0</v>
          </cell>
        </row>
        <row r="618">
          <cell r="A618" t="str">
            <v>天津欧尔派斯环保科技发展有限公司</v>
          </cell>
          <cell r="B618">
            <v>150000</v>
          </cell>
        </row>
        <row r="619">
          <cell r="A619" t="str">
            <v>天津霹雳马商贸有限公司</v>
          </cell>
          <cell r="B619">
            <v>0</v>
          </cell>
        </row>
        <row r="620">
          <cell r="A620" t="str">
            <v>天津市奥特威德焊接技术有限公司</v>
          </cell>
          <cell r="B620">
            <v>0</v>
          </cell>
        </row>
        <row r="621">
          <cell r="A621" t="str">
            <v>天津市佰盟科技发展有限公司</v>
          </cell>
          <cell r="B621">
            <v>0</v>
          </cell>
        </row>
        <row r="622">
          <cell r="A622" t="str">
            <v>天津市柏韦特润滑油脂有限公司</v>
          </cell>
          <cell r="B622">
            <v>0</v>
          </cell>
        </row>
        <row r="623">
          <cell r="A623" t="str">
            <v>天津市宝驰汽车部件有限公司</v>
          </cell>
          <cell r="B623">
            <v>0</v>
          </cell>
        </row>
        <row r="624">
          <cell r="A624" t="str">
            <v>天津市宝信达工贸有限公司</v>
          </cell>
          <cell r="B624">
            <v>0</v>
          </cell>
        </row>
        <row r="625">
          <cell r="A625" t="str">
            <v>天津市滨达五金交电有限公司</v>
          </cell>
          <cell r="B625">
            <v>0</v>
          </cell>
        </row>
        <row r="626">
          <cell r="A626" t="str">
            <v>天津市大港区宏达五金冲压厂（刘炳淮）</v>
          </cell>
          <cell r="B626">
            <v>0</v>
          </cell>
        </row>
        <row r="627">
          <cell r="A627" t="str">
            <v>天津市富安捷泡沫塑料制品有限公司</v>
          </cell>
          <cell r="B627">
            <v>0</v>
          </cell>
        </row>
        <row r="628">
          <cell r="A628" t="str">
            <v>天津市金晶气体压缩机制造有限公司</v>
          </cell>
          <cell r="B628">
            <v>0</v>
          </cell>
        </row>
        <row r="629">
          <cell r="A629" t="str">
            <v>天津市津荣兴钢铁贸易有限公司</v>
          </cell>
          <cell r="B629">
            <v>0</v>
          </cell>
        </row>
        <row r="630">
          <cell r="A630" t="str">
            <v>天津市科利达塑料制品有限公司</v>
          </cell>
          <cell r="B630">
            <v>0</v>
          </cell>
        </row>
        <row r="631">
          <cell r="A631" t="str">
            <v>天津市旷达汽车织物有限公司</v>
          </cell>
          <cell r="B631">
            <v>0</v>
          </cell>
        </row>
        <row r="632">
          <cell r="A632" t="str">
            <v>天津市鹏升汽车部件有限公司</v>
          </cell>
          <cell r="B632">
            <v>0</v>
          </cell>
        </row>
        <row r="633">
          <cell r="A633" t="str">
            <v>天津市平江工贸有限公司</v>
          </cell>
          <cell r="B633">
            <v>0</v>
          </cell>
        </row>
        <row r="634">
          <cell r="A634" t="str">
            <v>天津市双得利金属制品有限公司</v>
          </cell>
          <cell r="B634">
            <v>0</v>
          </cell>
        </row>
        <row r="635">
          <cell r="A635" t="str">
            <v>天津市腾达宇恒科技有限公司</v>
          </cell>
          <cell r="B635">
            <v>0</v>
          </cell>
        </row>
        <row r="636">
          <cell r="A636" t="str">
            <v>天津市天龙得冷成型部件有限公司</v>
          </cell>
          <cell r="B636">
            <v>0</v>
          </cell>
        </row>
        <row r="637">
          <cell r="A637" t="str">
            <v>天津市天一科技有限公司</v>
          </cell>
          <cell r="B637">
            <v>0</v>
          </cell>
        </row>
        <row r="638">
          <cell r="A638" t="str">
            <v>天津市先瑞科技有限公司</v>
          </cell>
          <cell r="B638">
            <v>0</v>
          </cell>
        </row>
        <row r="639">
          <cell r="A639" t="str">
            <v>天津市远丰化工产品贸易有限公司</v>
          </cell>
          <cell r="B639">
            <v>1537946</v>
          </cell>
        </row>
        <row r="640">
          <cell r="A640" t="str">
            <v>天津思锐自动化技术有限公司</v>
          </cell>
          <cell r="B640">
            <v>25990</v>
          </cell>
        </row>
        <row r="641">
          <cell r="A641" t="str">
            <v>天津速凯科技发展有限公司</v>
          </cell>
          <cell r="B641">
            <v>0</v>
          </cell>
        </row>
        <row r="642">
          <cell r="A642" t="str">
            <v>天津万塑新材料科技有限公司</v>
          </cell>
          <cell r="B642">
            <v>0</v>
          </cell>
        </row>
        <row r="643">
          <cell r="A643" t="str">
            <v>天津祥顺科技发展有限公司沧州分公司</v>
          </cell>
          <cell r="B643">
            <v>0</v>
          </cell>
        </row>
        <row r="644">
          <cell r="A644" t="str">
            <v>天津鑫强达工贸有限公司</v>
          </cell>
          <cell r="B644">
            <v>0</v>
          </cell>
        </row>
        <row r="645">
          <cell r="A645" t="str">
            <v>天津亚铁商贸有限公司</v>
          </cell>
          <cell r="B645">
            <v>0</v>
          </cell>
        </row>
        <row r="646">
          <cell r="A646" t="str">
            <v>天津一番荣科技有限公司</v>
          </cell>
          <cell r="B646">
            <v>0</v>
          </cell>
        </row>
        <row r="647">
          <cell r="A647" t="str">
            <v>天津优普达特科技有限公司</v>
          </cell>
          <cell r="B647">
            <v>0</v>
          </cell>
        </row>
        <row r="648">
          <cell r="A648" t="str">
            <v>天津舟洲劳务派遣有限公司</v>
          </cell>
          <cell r="B648">
            <v>0</v>
          </cell>
        </row>
        <row r="649">
          <cell r="A649" t="str">
            <v>天津洲海科技发展有限公司</v>
          </cell>
          <cell r="B649">
            <v>0</v>
          </cell>
        </row>
        <row r="650">
          <cell r="A650" t="str">
            <v>天津卓灿商贸有限公司</v>
          </cell>
          <cell r="B650">
            <v>0</v>
          </cell>
        </row>
        <row r="651">
          <cell r="A651" t="str">
            <v>万华化学（北京）有限公司</v>
          </cell>
          <cell r="B651">
            <v>0</v>
          </cell>
        </row>
        <row r="652">
          <cell r="A652" t="str">
            <v>万华化学（烟台）销售有限公司</v>
          </cell>
          <cell r="B652">
            <v>367000</v>
          </cell>
        </row>
        <row r="653">
          <cell r="A653" t="str">
            <v>王景辉</v>
          </cell>
          <cell r="B653">
            <v>0</v>
          </cell>
        </row>
        <row r="654">
          <cell r="A654" t="str">
            <v>王连营</v>
          </cell>
          <cell r="B654">
            <v>10000</v>
          </cell>
        </row>
        <row r="655">
          <cell r="A655" t="str">
            <v>网银在线（北京）科技有限公司客户备付金</v>
          </cell>
          <cell r="B655">
            <v>0</v>
          </cell>
        </row>
        <row r="656">
          <cell r="A656" t="str">
            <v>威县永盛汽车配件制造有限公司</v>
          </cell>
          <cell r="B656">
            <v>0</v>
          </cell>
        </row>
        <row r="657">
          <cell r="A657" t="str">
            <v>潍坊光华荣昌汽车技术有限公司</v>
          </cell>
          <cell r="B657">
            <v>5881869.79</v>
          </cell>
        </row>
        <row r="658">
          <cell r="A658" t="str">
            <v>温州市瓯海茶山同悦海绵制品厂</v>
          </cell>
          <cell r="B658">
            <v>3000</v>
          </cell>
        </row>
        <row r="659">
          <cell r="A659" t="str">
            <v>温州万福机电有限公司</v>
          </cell>
          <cell r="B659">
            <v>15742</v>
          </cell>
        </row>
        <row r="660">
          <cell r="A660" t="str">
            <v>温州万泰橡塑股份有限公司</v>
          </cell>
          <cell r="B660">
            <v>1800</v>
          </cell>
        </row>
        <row r="661">
          <cell r="A661" t="str">
            <v>文安县鲍氏模具皮纹加工有限公司</v>
          </cell>
          <cell r="B661">
            <v>0</v>
          </cell>
        </row>
        <row r="662">
          <cell r="A662" t="str">
            <v>文安县德实汽车配件有限公司</v>
          </cell>
          <cell r="B662">
            <v>20000</v>
          </cell>
        </row>
        <row r="663">
          <cell r="A663" t="str">
            <v>文登市凤凰婷装饰有限公司</v>
          </cell>
          <cell r="B663">
            <v>0</v>
          </cell>
        </row>
        <row r="664">
          <cell r="A664" t="str">
            <v>文登太成电子有限公司</v>
          </cell>
          <cell r="B664">
            <v>0</v>
          </cell>
        </row>
        <row r="665">
          <cell r="A665" t="str">
            <v>沃尔瓦格涂料（廊坊）有限公司</v>
          </cell>
          <cell r="B665">
            <v>0</v>
          </cell>
        </row>
        <row r="666">
          <cell r="A666" t="str">
            <v>无极县淼海皮革制品有限公司</v>
          </cell>
          <cell r="B666">
            <v>0</v>
          </cell>
        </row>
        <row r="667">
          <cell r="A667" t="str">
            <v>无锡赛典高频电子设备有限公司</v>
          </cell>
          <cell r="B667">
            <v>0</v>
          </cell>
        </row>
        <row r="668">
          <cell r="A668" t="str">
            <v>无锡市宏伟彩印包装有限公司</v>
          </cell>
          <cell r="B668">
            <v>0</v>
          </cell>
        </row>
        <row r="669">
          <cell r="A669" t="str">
            <v>无锡苏辰汽车部件有限公司</v>
          </cell>
          <cell r="B669">
            <v>45870</v>
          </cell>
        </row>
        <row r="670">
          <cell r="A670" t="str">
            <v>芜湖市卓人汽车配件有限公司</v>
          </cell>
          <cell r="B670">
            <v>10000</v>
          </cell>
        </row>
        <row r="671">
          <cell r="A671" t="str">
            <v>芜湖星火软轴控制索制造有限公司</v>
          </cell>
          <cell r="B671">
            <v>0</v>
          </cell>
        </row>
        <row r="672">
          <cell r="A672" t="str">
            <v>武汉恒新国仪科技有限公司</v>
          </cell>
          <cell r="B672">
            <v>0</v>
          </cell>
        </row>
        <row r="673">
          <cell r="A673" t="str">
            <v>西安光华荣昌汽车部件有限公司</v>
          </cell>
          <cell r="B673">
            <v>0</v>
          </cell>
        </row>
        <row r="674">
          <cell r="A674" t="str">
            <v>西安海容塑料制品有限责任公司</v>
          </cell>
          <cell r="B674">
            <v>14400</v>
          </cell>
        </row>
        <row r="675">
          <cell r="A675" t="str">
            <v>厦门劲亨五金工业有限公司</v>
          </cell>
          <cell r="B675">
            <v>0</v>
          </cell>
        </row>
        <row r="676">
          <cell r="A676" t="str">
            <v>厦门凯平化工有限公司</v>
          </cell>
          <cell r="B676">
            <v>0</v>
          </cell>
        </row>
        <row r="677">
          <cell r="A677" t="str">
            <v>厦门市三友和机械有限公司</v>
          </cell>
          <cell r="B677">
            <v>0</v>
          </cell>
        </row>
        <row r="678">
          <cell r="A678" t="str">
            <v>厦门中惠达贸易有限公司</v>
          </cell>
          <cell r="B678">
            <v>0</v>
          </cell>
        </row>
        <row r="679">
          <cell r="A679" t="str">
            <v>湘乡简美汽车部件有限公司</v>
          </cell>
          <cell r="B679">
            <v>0</v>
          </cell>
        </row>
        <row r="680">
          <cell r="A680" t="str">
            <v>襄阳杰创化工新材料有限公司</v>
          </cell>
          <cell r="B680">
            <v>0</v>
          </cell>
        </row>
        <row r="681">
          <cell r="A681" t="str">
            <v>象山天星汽配有限责任公司</v>
          </cell>
          <cell r="B681">
            <v>0</v>
          </cell>
        </row>
        <row r="682">
          <cell r="A682" t="str">
            <v>辛集市兴恒福利海绵复合厂</v>
          </cell>
          <cell r="B682">
            <v>0</v>
          </cell>
        </row>
        <row r="683">
          <cell r="A683" t="str">
            <v>新梦顶（上海）贸易有限公司</v>
          </cell>
          <cell r="B683">
            <v>0</v>
          </cell>
        </row>
        <row r="684">
          <cell r="A684" t="str">
            <v>新乡市中原起重机设备总厂有限公司</v>
          </cell>
          <cell r="B684">
            <v>0</v>
          </cell>
        </row>
        <row r="685">
          <cell r="A685" t="str">
            <v>雄县华增汽车饰件有限公司</v>
          </cell>
          <cell r="B685">
            <v>0</v>
          </cell>
        </row>
        <row r="686">
          <cell r="A686" t="str">
            <v>雄县五顺革塑有限公司</v>
          </cell>
          <cell r="B686">
            <v>5121.6</v>
          </cell>
        </row>
        <row r="687">
          <cell r="A687" t="str">
            <v>徐林强</v>
          </cell>
          <cell r="B687">
            <v>0</v>
          </cell>
        </row>
        <row r="688">
          <cell r="A688" t="str">
            <v>徐州华夏电子有限公司</v>
          </cell>
          <cell r="B688">
            <v>0</v>
          </cell>
        </row>
        <row r="689">
          <cell r="A689" t="str">
            <v>亚德客（天津）智能科技有限公司</v>
          </cell>
          <cell r="B689">
            <v>0</v>
          </cell>
        </row>
        <row r="690">
          <cell r="A690" t="str">
            <v>亚德客（中国）有限公司石家庄分公司</v>
          </cell>
          <cell r="B690">
            <v>0</v>
          </cell>
        </row>
        <row r="691">
          <cell r="A691" t="str">
            <v>烟台青沪纸业有限公司</v>
          </cell>
          <cell r="B691">
            <v>0</v>
          </cell>
        </row>
        <row r="692">
          <cell r="A692" t="str">
            <v>盐城恒明弹簧有限公司</v>
          </cell>
          <cell r="B692">
            <v>0</v>
          </cell>
        </row>
        <row r="693">
          <cell r="A693" t="str">
            <v>盐山县大华五金销售有限公司</v>
          </cell>
          <cell r="B693">
            <v>0</v>
          </cell>
        </row>
        <row r="694">
          <cell r="A694" t="str">
            <v>兖州市金达汽车装饰布业有限公司</v>
          </cell>
          <cell r="B694">
            <v>0</v>
          </cell>
        </row>
        <row r="695">
          <cell r="A695" t="str">
            <v>扬州康锴涂装机械有限公司</v>
          </cell>
          <cell r="B695">
            <v>0</v>
          </cell>
        </row>
        <row r="696">
          <cell r="A696" t="str">
            <v>扬州三鸣环保科技有限公司</v>
          </cell>
          <cell r="B696">
            <v>0</v>
          </cell>
        </row>
        <row r="697">
          <cell r="A697" t="str">
            <v>宜科（天津）电子有限公司</v>
          </cell>
          <cell r="B697">
            <v>0</v>
          </cell>
        </row>
        <row r="698">
          <cell r="A698" t="str">
            <v>易格斯拖链轴承仓储贸易（上海）有限公司</v>
          </cell>
          <cell r="B698">
            <v>2008.58</v>
          </cell>
        </row>
        <row r="699">
          <cell r="A699" t="str">
            <v>永年县国泰标准件有限公司</v>
          </cell>
          <cell r="B699">
            <v>0</v>
          </cell>
        </row>
        <row r="700">
          <cell r="A700" t="str">
            <v>于国才</v>
          </cell>
          <cell r="B700">
            <v>0</v>
          </cell>
        </row>
        <row r="701">
          <cell r="A701" t="str">
            <v>余姚市嘉瑞达机械配件厂</v>
          </cell>
          <cell r="B701">
            <v>0</v>
          </cell>
        </row>
        <row r="702">
          <cell r="A702" t="str">
            <v>禹城聚德丰化工有限公司</v>
          </cell>
          <cell r="B702">
            <v>0</v>
          </cell>
        </row>
        <row r="703">
          <cell r="A703" t="str">
            <v>张长峰</v>
          </cell>
          <cell r="B703">
            <v>0</v>
          </cell>
        </row>
        <row r="704">
          <cell r="A704" t="str">
            <v>张家港保税区得英达利化工材料有限公司</v>
          </cell>
          <cell r="B704">
            <v>9816.4</v>
          </cell>
        </row>
        <row r="705">
          <cell r="A705" t="str">
            <v>张家港方圆管业制造有限公司</v>
          </cell>
          <cell r="B705">
            <v>0</v>
          </cell>
        </row>
        <row r="706">
          <cell r="A706" t="str">
            <v>张家港市凯达机械制造有限公司</v>
          </cell>
          <cell r="B706">
            <v>0</v>
          </cell>
        </row>
        <row r="707">
          <cell r="A707" t="str">
            <v>张家港市万荣机械制造有限公司</v>
          </cell>
          <cell r="B707">
            <v>3400</v>
          </cell>
        </row>
        <row r="708">
          <cell r="A708" t="str">
            <v>张绍林</v>
          </cell>
          <cell r="B708">
            <v>200000</v>
          </cell>
        </row>
        <row r="709">
          <cell r="A709" t="str">
            <v>张松林</v>
          </cell>
          <cell r="B709">
            <v>0</v>
          </cell>
        </row>
        <row r="710">
          <cell r="A710" t="str">
            <v>张永祥</v>
          </cell>
          <cell r="B710">
            <v>0</v>
          </cell>
        </row>
        <row r="711">
          <cell r="A711" t="str">
            <v>赵月刚</v>
          </cell>
          <cell r="B711">
            <v>0</v>
          </cell>
        </row>
        <row r="712">
          <cell r="A712" t="str">
            <v>浙江富昌泰汽车零部件有限公司</v>
          </cell>
          <cell r="B712">
            <v>0</v>
          </cell>
        </row>
        <row r="713">
          <cell r="A713" t="str">
            <v>浙江华远锁业有限公司</v>
          </cell>
          <cell r="B713">
            <v>0</v>
          </cell>
        </row>
        <row r="714">
          <cell r="A714" t="str">
            <v>浙江华悦汽车零部件股份有限公司</v>
          </cell>
          <cell r="B714">
            <v>0</v>
          </cell>
        </row>
        <row r="715">
          <cell r="A715" t="str">
            <v>浙江佳龙电子有限公司</v>
          </cell>
          <cell r="B715">
            <v>0</v>
          </cell>
        </row>
        <row r="716">
          <cell r="A716" t="str">
            <v>浙江龙生汽车部件股份有限公司</v>
          </cell>
          <cell r="B716">
            <v>0</v>
          </cell>
        </row>
        <row r="717">
          <cell r="A717" t="str">
            <v>浙江路得坦摩汽车股份有限公司</v>
          </cell>
          <cell r="B717">
            <v>398000</v>
          </cell>
        </row>
        <row r="718">
          <cell r="A718" t="str">
            <v>浙江蒙力减振器有限公司</v>
          </cell>
          <cell r="B718">
            <v>0</v>
          </cell>
        </row>
        <row r="719">
          <cell r="A719" t="str">
            <v>浙江全盛无纺制品有限公司</v>
          </cell>
          <cell r="B719">
            <v>0</v>
          </cell>
        </row>
        <row r="720">
          <cell r="A720" t="str">
            <v>镇江市奥德铆压设备有限公司</v>
          </cell>
          <cell r="B720">
            <v>0</v>
          </cell>
        </row>
        <row r="721">
          <cell r="A721" t="str">
            <v>中广核俊尔新材料有限公司</v>
          </cell>
          <cell r="B721">
            <v>0</v>
          </cell>
        </row>
        <row r="722">
          <cell r="A722" t="str">
            <v>中国电子科技集团公司第二十六研究所</v>
          </cell>
          <cell r="B722">
            <v>0</v>
          </cell>
        </row>
        <row r="723">
          <cell r="A723" t="str">
            <v>中机寰宇认证检验有限公司</v>
          </cell>
          <cell r="B723">
            <v>0</v>
          </cell>
        </row>
        <row r="724">
          <cell r="A724" t="str">
            <v>中山市锐星新材料科技有限公司</v>
          </cell>
          <cell r="B724">
            <v>0</v>
          </cell>
        </row>
        <row r="725">
          <cell r="A725" t="str">
            <v>重庆光大产业有限公司</v>
          </cell>
          <cell r="B725">
            <v>0</v>
          </cell>
        </row>
        <row r="726">
          <cell r="A726" t="str">
            <v>重庆鑫颐塑胶有限责任公司</v>
          </cell>
          <cell r="B726">
            <v>0</v>
          </cell>
        </row>
        <row r="727">
          <cell r="A727" t="str">
            <v>重庆渝融兴汽车配件有限公司</v>
          </cell>
          <cell r="B727">
            <v>16550</v>
          </cell>
        </row>
        <row r="728">
          <cell r="A728" t="str">
            <v>舟山市德鑫科机械有限公司</v>
          </cell>
          <cell r="B728">
            <v>0</v>
          </cell>
        </row>
        <row r="729">
          <cell r="A729" t="str">
            <v>株洲博雅实业有限公司</v>
          </cell>
          <cell r="B729">
            <v>0</v>
          </cell>
        </row>
        <row r="730">
          <cell r="A730" t="str">
            <v>株洲市凡美斯汽车配件有限公司</v>
          </cell>
          <cell r="B730">
            <v>0</v>
          </cell>
        </row>
        <row r="731">
          <cell r="A731" t="str">
            <v>株洲泰瑞工贸有限公司</v>
          </cell>
          <cell r="B731">
            <v>0</v>
          </cell>
        </row>
        <row r="732">
          <cell r="A732" t="str">
            <v>诸城恒欣工贸有限公司</v>
          </cell>
          <cell r="B732">
            <v>0</v>
          </cell>
        </row>
        <row r="733">
          <cell r="A733" t="str">
            <v>诸城市黄海剑杆织布厂</v>
          </cell>
          <cell r="B733">
            <v>0</v>
          </cell>
        </row>
        <row r="734">
          <cell r="A734" t="str">
            <v>诸城市泰琨机械厂</v>
          </cell>
          <cell r="B734">
            <v>0</v>
          </cell>
        </row>
        <row r="735">
          <cell r="A735" t="str">
            <v>诸城市正大服装辅料有限公司</v>
          </cell>
          <cell r="B735">
            <v>0</v>
          </cell>
        </row>
        <row r="736">
          <cell r="A736" t="str">
            <v>诸暨市豪南机械配件经营部</v>
          </cell>
          <cell r="B736">
            <v>4588</v>
          </cell>
        </row>
        <row r="737">
          <cell r="A737" t="str">
            <v>涿州市天彤压铸制品有限公司</v>
          </cell>
          <cell r="B737">
            <v>0</v>
          </cell>
        </row>
        <row r="738">
          <cell r="A738" t="str">
            <v>淄博华亚数控机电有限公司</v>
          </cell>
          <cell r="B738">
            <v>0</v>
          </cell>
        </row>
        <row r="739">
          <cell r="A739" t="str">
            <v>总计</v>
          </cell>
          <cell r="B739">
            <v>17968557.58</v>
          </cell>
        </row>
      </sheetData>
      <sheetData sheetId="5" refreshError="1">
        <row r="1">
          <cell r="A1" t="str">
            <v>期间</v>
          </cell>
          <cell r="B1" t="str">
            <v>2019.11</v>
          </cell>
        </row>
        <row r="3">
          <cell r="B3" t="str">
            <v>值</v>
          </cell>
        </row>
        <row r="4">
          <cell r="A4" t="str">
            <v>项目名称</v>
          </cell>
          <cell r="B4" t="str">
            <v>求和项:本期借方</v>
          </cell>
        </row>
        <row r="5">
          <cell r="A5" t="str">
            <v>SMC（中国）有限公司</v>
          </cell>
          <cell r="B5">
            <v>0</v>
          </cell>
        </row>
        <row r="6">
          <cell r="A6" t="str">
            <v>阿克苏诺贝尔涂料（天津）有限公司</v>
          </cell>
          <cell r="B6">
            <v>100000</v>
          </cell>
        </row>
        <row r="7">
          <cell r="A7" t="str">
            <v>艾马斯润滑科技（天津）有限公司</v>
          </cell>
          <cell r="B7">
            <v>0</v>
          </cell>
        </row>
        <row r="8">
          <cell r="A8" t="str">
            <v>安徽博朗凯德织物有限公司</v>
          </cell>
          <cell r="B8">
            <v>0</v>
          </cell>
        </row>
        <row r="9">
          <cell r="A9" t="str">
            <v>安徽汉升工业部件股份有限公司</v>
          </cell>
          <cell r="B9">
            <v>68656.77</v>
          </cell>
        </row>
        <row r="10">
          <cell r="A10" t="str">
            <v>安徽汉升新金属技术有限公司</v>
          </cell>
          <cell r="B10">
            <v>0</v>
          </cell>
        </row>
        <row r="11">
          <cell r="A11" t="str">
            <v>安徽力鼎机械设备有限公司</v>
          </cell>
          <cell r="B11">
            <v>0</v>
          </cell>
        </row>
        <row r="12">
          <cell r="A12" t="str">
            <v>安吉县创鸿家具有限公司</v>
          </cell>
          <cell r="B12">
            <v>0</v>
          </cell>
        </row>
        <row r="13">
          <cell r="A13" t="str">
            <v>安路普（北京）汽车技术有限公司昌平分公司</v>
          </cell>
          <cell r="B13">
            <v>1000000</v>
          </cell>
        </row>
        <row r="14">
          <cell r="A14" t="str">
            <v>安路普（北京）汽车技术有限公司黄骅分公司</v>
          </cell>
          <cell r="B14">
            <v>0</v>
          </cell>
        </row>
        <row r="15">
          <cell r="A15" t="str">
            <v>霸州市广生冷弯机械有限公司</v>
          </cell>
          <cell r="B15">
            <v>0</v>
          </cell>
        </row>
        <row r="16">
          <cell r="A16" t="str">
            <v>霸州市宏海塑料制品有限公司</v>
          </cell>
          <cell r="B16">
            <v>0</v>
          </cell>
        </row>
        <row r="17">
          <cell r="A17" t="str">
            <v>霸州市自强汽车零部件厂</v>
          </cell>
          <cell r="B17">
            <v>0</v>
          </cell>
        </row>
        <row r="18">
          <cell r="A18" t="str">
            <v>百事腾（天津）国际贸易有限公司</v>
          </cell>
          <cell r="B18">
            <v>0</v>
          </cell>
        </row>
        <row r="19">
          <cell r="A19" t="str">
            <v>包头市万佳信息工程有限公司</v>
          </cell>
          <cell r="B19">
            <v>0</v>
          </cell>
        </row>
        <row r="20">
          <cell r="A20" t="str">
            <v>保定市枞彬商贸有限公司</v>
          </cell>
          <cell r="B20">
            <v>0</v>
          </cell>
        </row>
        <row r="21">
          <cell r="A21" t="str">
            <v>保定市佳奇整流器制造有限公司</v>
          </cell>
          <cell r="B21">
            <v>0</v>
          </cell>
        </row>
        <row r="22">
          <cell r="A22" t="str">
            <v>保定市京苑汽车装饰配件厂</v>
          </cell>
          <cell r="B22">
            <v>0</v>
          </cell>
        </row>
        <row r="23">
          <cell r="A23" t="str">
            <v>保定市源之枝商贸有限公司</v>
          </cell>
          <cell r="B23">
            <v>0</v>
          </cell>
        </row>
        <row r="24">
          <cell r="A24" t="str">
            <v>北京百联星纸业有限公司</v>
          </cell>
          <cell r="B24">
            <v>0</v>
          </cell>
        </row>
        <row r="25">
          <cell r="A25" t="str">
            <v>北京百仕特非织造布有限公司</v>
          </cell>
          <cell r="B25">
            <v>0</v>
          </cell>
        </row>
        <row r="26">
          <cell r="A26" t="str">
            <v>北京北鸿科科技发展有限公司</v>
          </cell>
          <cell r="B26">
            <v>0</v>
          </cell>
        </row>
        <row r="27">
          <cell r="A27" t="str">
            <v>北京博雅恒欣贸易有限公司</v>
          </cell>
          <cell r="B27">
            <v>0</v>
          </cell>
        </row>
        <row r="28">
          <cell r="A28" t="str">
            <v>北京昌隆永顺物资有限公司</v>
          </cell>
          <cell r="B28">
            <v>0</v>
          </cell>
        </row>
        <row r="29">
          <cell r="A29" t="str">
            <v>北京长宏建翔科技发展有限公司</v>
          </cell>
          <cell r="B29">
            <v>0</v>
          </cell>
        </row>
        <row r="30">
          <cell r="A30" t="str">
            <v>北京超凡志成知识产权代理事务所（普通合伙）</v>
          </cell>
          <cell r="B30">
            <v>0</v>
          </cell>
        </row>
        <row r="31">
          <cell r="A31" t="str">
            <v>北京朝阳隆华电线电缆有限公司</v>
          </cell>
          <cell r="B31">
            <v>0</v>
          </cell>
        </row>
        <row r="32">
          <cell r="A32" t="str">
            <v>北京德实汽车饰件有限公司</v>
          </cell>
          <cell r="B32">
            <v>0</v>
          </cell>
        </row>
        <row r="33">
          <cell r="A33" t="str">
            <v>北京迪阳自动化设备有限公司</v>
          </cell>
          <cell r="B33">
            <v>0</v>
          </cell>
        </row>
        <row r="34">
          <cell r="A34" t="str">
            <v>北京东方华康自动化有限公司</v>
          </cell>
          <cell r="B34">
            <v>0</v>
          </cell>
        </row>
        <row r="35">
          <cell r="A35" t="str">
            <v>北京多宾城建筑机械有限公司</v>
          </cell>
          <cell r="B35">
            <v>200000</v>
          </cell>
        </row>
        <row r="36">
          <cell r="A36" t="str">
            <v>北京伏牛山纸业有限公司</v>
          </cell>
          <cell r="B36">
            <v>0</v>
          </cell>
        </row>
        <row r="37">
          <cell r="A37" t="str">
            <v>北京符式百乐机电有限公司</v>
          </cell>
          <cell r="B37">
            <v>0</v>
          </cell>
        </row>
        <row r="38">
          <cell r="A38" t="str">
            <v>北京福田戴姆勒汽车有限公司</v>
          </cell>
          <cell r="B38">
            <v>0</v>
          </cell>
        </row>
        <row r="39">
          <cell r="A39" t="str">
            <v>北京格兰力士机电技术有限责任公司</v>
          </cell>
          <cell r="B39">
            <v>0</v>
          </cell>
        </row>
        <row r="40">
          <cell r="A40" t="str">
            <v>北京光华荣昌汽车部件有限公司</v>
          </cell>
          <cell r="B40">
            <v>0</v>
          </cell>
        </row>
        <row r="41">
          <cell r="A41" t="str">
            <v>北京国大联创科技发展有限公司</v>
          </cell>
          <cell r="B41">
            <v>0</v>
          </cell>
        </row>
        <row r="42">
          <cell r="A42" t="str">
            <v>北京航天融合环境科技发展有限公司</v>
          </cell>
          <cell r="B42">
            <v>0</v>
          </cell>
        </row>
        <row r="43">
          <cell r="A43" t="str">
            <v>北京航源鑫物资有限公司</v>
          </cell>
          <cell r="B43">
            <v>0</v>
          </cell>
        </row>
        <row r="44">
          <cell r="A44" t="str">
            <v>北京好伯特科技有限公司</v>
          </cell>
          <cell r="B44">
            <v>0</v>
          </cell>
        </row>
        <row r="45">
          <cell r="A45" t="str">
            <v>北京恒大隆压缩机制造厂</v>
          </cell>
          <cell r="B45">
            <v>0</v>
          </cell>
        </row>
        <row r="46">
          <cell r="A46" t="str">
            <v>北京宏达佳诚劳务派遣有限公司</v>
          </cell>
          <cell r="B46">
            <v>0</v>
          </cell>
        </row>
        <row r="47">
          <cell r="A47" t="str">
            <v>北京宏达翔科技有限公司</v>
          </cell>
          <cell r="B47">
            <v>0</v>
          </cell>
        </row>
        <row r="48">
          <cell r="A48" t="str">
            <v>北京华北轻合金有限公司</v>
          </cell>
          <cell r="B48">
            <v>0</v>
          </cell>
        </row>
        <row r="49">
          <cell r="A49" t="str">
            <v>北京华伟汇腾汽车部件有限公司</v>
          </cell>
          <cell r="B49">
            <v>0</v>
          </cell>
        </row>
        <row r="50">
          <cell r="A50" t="str">
            <v>北京怀安知恒机电设备有限公司</v>
          </cell>
          <cell r="B50">
            <v>0</v>
          </cell>
        </row>
        <row r="51">
          <cell r="A51" t="str">
            <v>北京机电研究所</v>
          </cell>
          <cell r="B51">
            <v>0</v>
          </cell>
        </row>
        <row r="52">
          <cell r="A52" t="str">
            <v>北京吉泰基业科技有限公司</v>
          </cell>
          <cell r="B52">
            <v>0</v>
          </cell>
        </row>
        <row r="53">
          <cell r="A53" t="str">
            <v>北京佳伟广源商贸有限公司</v>
          </cell>
          <cell r="B53">
            <v>0</v>
          </cell>
        </row>
        <row r="54">
          <cell r="A54" t="str">
            <v>北京嘉威达商贸有限公司</v>
          </cell>
          <cell r="B54">
            <v>0</v>
          </cell>
        </row>
        <row r="55">
          <cell r="A55" t="str">
            <v>北京捷安思丽技术开发有限公司</v>
          </cell>
          <cell r="B55">
            <v>50000</v>
          </cell>
        </row>
        <row r="56">
          <cell r="A56" t="str">
            <v>北京科创京成科技股份有限公司</v>
          </cell>
          <cell r="B56">
            <v>0</v>
          </cell>
        </row>
        <row r="57">
          <cell r="A57" t="str">
            <v>北京跨越速递有限公司</v>
          </cell>
          <cell r="B57">
            <v>0</v>
          </cell>
        </row>
        <row r="58">
          <cell r="A58" t="str">
            <v>北京力源恒胜仓储设备有限公司</v>
          </cell>
          <cell r="B58">
            <v>0</v>
          </cell>
        </row>
        <row r="59">
          <cell r="A59" t="str">
            <v>北京流遍润滑机械销售有限公司</v>
          </cell>
          <cell r="B59">
            <v>0</v>
          </cell>
        </row>
        <row r="60">
          <cell r="A60" t="str">
            <v>北京龙利弘达机械设备起重搬运有限公司</v>
          </cell>
          <cell r="B60">
            <v>0</v>
          </cell>
        </row>
        <row r="61">
          <cell r="A61" t="str">
            <v>北京浦东三浦标准件有限公司</v>
          </cell>
          <cell r="B61">
            <v>200000</v>
          </cell>
        </row>
        <row r="62">
          <cell r="A62" t="str">
            <v>北京奇美玉隆商贸有限公司</v>
          </cell>
          <cell r="B62">
            <v>0</v>
          </cell>
        </row>
        <row r="63">
          <cell r="A63" t="str">
            <v>北京奇美玉隆商贸有限责任公司</v>
          </cell>
          <cell r="B63">
            <v>30000</v>
          </cell>
        </row>
        <row r="64">
          <cell r="A64" t="str">
            <v>北京前哨青业科技发展有限公司</v>
          </cell>
          <cell r="B64">
            <v>0</v>
          </cell>
        </row>
        <row r="65">
          <cell r="A65" t="str">
            <v>北京瑞德佑业经贸有限责任公司</v>
          </cell>
          <cell r="B65">
            <v>0</v>
          </cell>
        </row>
        <row r="66">
          <cell r="A66" t="str">
            <v>北京瑞德佑业科技有限公司</v>
          </cell>
          <cell r="B66">
            <v>0</v>
          </cell>
        </row>
        <row r="67">
          <cell r="A67" t="str">
            <v>北京瑞林兴物资有限公司</v>
          </cell>
          <cell r="B67">
            <v>0</v>
          </cell>
        </row>
        <row r="68">
          <cell r="A68" t="str">
            <v>北京瑞隆祥科技有限公司</v>
          </cell>
          <cell r="B68">
            <v>0</v>
          </cell>
        </row>
        <row r="69">
          <cell r="A69" t="str">
            <v>北京瑞隆祥模具有限公司</v>
          </cell>
          <cell r="B69">
            <v>0</v>
          </cell>
        </row>
        <row r="70">
          <cell r="A70" t="str">
            <v>北京赛奥讯电梯安装工程有限公司</v>
          </cell>
          <cell r="B70">
            <v>0</v>
          </cell>
        </row>
        <row r="71">
          <cell r="A71" t="str">
            <v>北京赛博瑞鑫科技有限公司</v>
          </cell>
          <cell r="B71">
            <v>0</v>
          </cell>
        </row>
        <row r="72">
          <cell r="A72" t="str">
            <v>北京申汉机电设备有限公司</v>
          </cell>
          <cell r="B72">
            <v>0</v>
          </cell>
        </row>
        <row r="73">
          <cell r="A73" t="str">
            <v>北京盛奥金华包装有限公司</v>
          </cell>
          <cell r="B73">
            <v>0</v>
          </cell>
        </row>
        <row r="74">
          <cell r="A74" t="str">
            <v>北京盛大利诚科技有限公司</v>
          </cell>
          <cell r="B74">
            <v>0</v>
          </cell>
        </row>
        <row r="75">
          <cell r="A75" t="str">
            <v>北京世松机械制造有限公司</v>
          </cell>
          <cell r="B75">
            <v>0</v>
          </cell>
        </row>
        <row r="76">
          <cell r="A76" t="str">
            <v>北京市金京成条码印刷有限公司</v>
          </cell>
          <cell r="B76">
            <v>0</v>
          </cell>
        </row>
        <row r="77">
          <cell r="A77" t="str">
            <v>北京市橡塑减震器材厂</v>
          </cell>
          <cell r="B77">
            <v>0</v>
          </cell>
        </row>
        <row r="78">
          <cell r="A78" t="str">
            <v>北京泰双英商贸有限公司</v>
          </cell>
          <cell r="B78">
            <v>0</v>
          </cell>
        </row>
        <row r="79">
          <cell r="A79" t="str">
            <v>北京腾达新秀科技有限公司</v>
          </cell>
          <cell r="B79">
            <v>0</v>
          </cell>
        </row>
        <row r="80">
          <cell r="A80" t="str">
            <v>北京喜得利自动门技术有限公司</v>
          </cell>
          <cell r="B80">
            <v>0</v>
          </cell>
        </row>
        <row r="81">
          <cell r="A81" t="str">
            <v>北京小箱环保科技有限公司</v>
          </cell>
          <cell r="B81">
            <v>0</v>
          </cell>
        </row>
        <row r="82">
          <cell r="A82" t="str">
            <v>北京新天兴业科技有限公司</v>
          </cell>
          <cell r="B82">
            <v>0</v>
          </cell>
        </row>
        <row r="83">
          <cell r="A83" t="str">
            <v>北京鑫葆海商贸有限公司</v>
          </cell>
          <cell r="B83">
            <v>0</v>
          </cell>
        </row>
        <row r="84">
          <cell r="A84" t="str">
            <v>北京鑫乐工服装设备有限公司</v>
          </cell>
          <cell r="B84">
            <v>0</v>
          </cell>
        </row>
        <row r="85">
          <cell r="A85" t="str">
            <v>北京鑫隆仁景塑胶材料科技有限公司</v>
          </cell>
          <cell r="B85">
            <v>0</v>
          </cell>
        </row>
        <row r="86">
          <cell r="A86" t="str">
            <v>北京信恒佳诚商贸有限公司</v>
          </cell>
          <cell r="B86">
            <v>0</v>
          </cell>
        </row>
        <row r="87">
          <cell r="A87" t="str">
            <v>北京兴达恒源商贸有限公司</v>
          </cell>
          <cell r="B87">
            <v>0</v>
          </cell>
        </row>
        <row r="88">
          <cell r="A88" t="str">
            <v>北京逸伦众程自动化控制设备有限公司</v>
          </cell>
          <cell r="B88">
            <v>0</v>
          </cell>
        </row>
        <row r="89">
          <cell r="A89" t="str">
            <v>北京永安城机电设备有限公司</v>
          </cell>
          <cell r="B89">
            <v>0</v>
          </cell>
        </row>
        <row r="90">
          <cell r="A90" t="str">
            <v>北京正保远见教育科技有限公司</v>
          </cell>
          <cell r="B90">
            <v>0</v>
          </cell>
        </row>
        <row r="91">
          <cell r="A91" t="str">
            <v>北京志同信达科技发展有限公司</v>
          </cell>
          <cell r="B91">
            <v>0</v>
          </cell>
        </row>
        <row r="92">
          <cell r="A92" t="str">
            <v>北京中恒海润金铭科技设备有限公司</v>
          </cell>
          <cell r="B92">
            <v>0</v>
          </cell>
        </row>
        <row r="93">
          <cell r="A93" t="str">
            <v>北汽福田汽车股份有限公司诸城奥铃汽车厂</v>
          </cell>
          <cell r="B93">
            <v>0</v>
          </cell>
        </row>
        <row r="94">
          <cell r="A94" t="str">
            <v>滨州炬能电源有限公司</v>
          </cell>
          <cell r="B94">
            <v>0</v>
          </cell>
        </row>
        <row r="95">
          <cell r="A95" t="str">
            <v>泊头市路通机床工具有限公司</v>
          </cell>
          <cell r="B95">
            <v>0</v>
          </cell>
        </row>
        <row r="96">
          <cell r="A96" t="str">
            <v>泊头市如意五金冲压有限公司</v>
          </cell>
          <cell r="B96">
            <v>0</v>
          </cell>
        </row>
        <row r="97">
          <cell r="A97" t="str">
            <v>泊头市胜宏五金冲压有限公司</v>
          </cell>
          <cell r="B97">
            <v>0</v>
          </cell>
        </row>
        <row r="98">
          <cell r="A98" t="str">
            <v>泊头市通科机械设备有限公司</v>
          </cell>
          <cell r="B98">
            <v>0</v>
          </cell>
        </row>
        <row r="99">
          <cell r="A99" t="str">
            <v>泊头市鑫洪金属制品有限公司</v>
          </cell>
          <cell r="B99">
            <v>0</v>
          </cell>
        </row>
        <row r="100">
          <cell r="A100" t="str">
            <v>泊头市志诚模具厂</v>
          </cell>
          <cell r="B100">
            <v>0</v>
          </cell>
        </row>
        <row r="101">
          <cell r="A101" t="str">
            <v>博山供水泵厂</v>
          </cell>
          <cell r="B101">
            <v>0</v>
          </cell>
        </row>
        <row r="102">
          <cell r="A102" t="str">
            <v>沧县锅炉设备安装处</v>
          </cell>
          <cell r="B102">
            <v>0</v>
          </cell>
        </row>
        <row r="103">
          <cell r="A103" t="str">
            <v>沧县同硕焊接安装门市部</v>
          </cell>
          <cell r="B103">
            <v>0</v>
          </cell>
        </row>
        <row r="104">
          <cell r="A104" t="str">
            <v>沧县星宇精密铸造有限公司</v>
          </cell>
          <cell r="B104">
            <v>0</v>
          </cell>
        </row>
        <row r="105">
          <cell r="A105" t="str">
            <v>沧州澳航电子有限公司</v>
          </cell>
          <cell r="B105">
            <v>0</v>
          </cell>
        </row>
        <row r="106">
          <cell r="A106" t="str">
            <v>沧州渤海新区长宏货物运输有限公司</v>
          </cell>
          <cell r="B106">
            <v>0</v>
          </cell>
        </row>
        <row r="107">
          <cell r="A107" t="str">
            <v>沧州长河机电设备安装工程有限公司</v>
          </cell>
          <cell r="B107">
            <v>0</v>
          </cell>
        </row>
        <row r="108">
          <cell r="A108" t="str">
            <v>沧州超杰纺织品有限公司</v>
          </cell>
          <cell r="B108">
            <v>0</v>
          </cell>
        </row>
        <row r="109">
          <cell r="A109" t="str">
            <v>沧州鼎辉五金制造有限公司</v>
          </cell>
          <cell r="B109">
            <v>0</v>
          </cell>
        </row>
        <row r="110">
          <cell r="A110" t="str">
            <v>沧州广洋模具配件有限公司</v>
          </cell>
          <cell r="B110">
            <v>0</v>
          </cell>
        </row>
        <row r="111">
          <cell r="A111" t="str">
            <v>沧州华通电器部件有限公司</v>
          </cell>
          <cell r="B111">
            <v>0</v>
          </cell>
        </row>
        <row r="112">
          <cell r="A112" t="str">
            <v>沧州冀道商贸有限公司</v>
          </cell>
          <cell r="B112">
            <v>0</v>
          </cell>
        </row>
        <row r="113">
          <cell r="A113" t="str">
            <v>沧州经济开发区起点办公用品商行</v>
          </cell>
          <cell r="B113">
            <v>0</v>
          </cell>
        </row>
        <row r="114">
          <cell r="A114" t="str">
            <v>沧州靖丰塑料有限公司</v>
          </cell>
          <cell r="B114">
            <v>0</v>
          </cell>
        </row>
        <row r="115">
          <cell r="A115" t="str">
            <v>沧州坤翔化工机电有限公司</v>
          </cell>
          <cell r="B115">
            <v>0</v>
          </cell>
        </row>
        <row r="116">
          <cell r="A116" t="str">
            <v>沧州临港京捷金属材料热处理厂</v>
          </cell>
          <cell r="B116">
            <v>0</v>
          </cell>
        </row>
        <row r="117">
          <cell r="A117" t="str">
            <v>沧州临港明康汽车配件有限公司</v>
          </cell>
          <cell r="B117">
            <v>0</v>
          </cell>
        </row>
        <row r="118">
          <cell r="A118" t="str">
            <v>沧州茂源电器部件有限公司</v>
          </cell>
          <cell r="B118">
            <v>0</v>
          </cell>
        </row>
        <row r="119">
          <cell r="A119" t="str">
            <v>沧州梦依恋商贸有限公司</v>
          </cell>
          <cell r="B119">
            <v>0</v>
          </cell>
        </row>
        <row r="120">
          <cell r="A120" t="str">
            <v>沧州其源盛环保设备有限公司</v>
          </cell>
          <cell r="B120">
            <v>0</v>
          </cell>
        </row>
        <row r="121">
          <cell r="A121" t="str">
            <v>沧州强宇五金制造有限公司</v>
          </cell>
          <cell r="B121">
            <v>300000</v>
          </cell>
        </row>
        <row r="122">
          <cell r="A122" t="str">
            <v>沧州瑞海油脂化工有限公司</v>
          </cell>
          <cell r="B122">
            <v>0</v>
          </cell>
        </row>
        <row r="123">
          <cell r="A123" t="str">
            <v>沧州施普模具制造有限公司</v>
          </cell>
          <cell r="B123">
            <v>0</v>
          </cell>
        </row>
        <row r="124">
          <cell r="A124" t="str">
            <v>沧州市奥睿机械设备有限公司</v>
          </cell>
          <cell r="B124">
            <v>76579</v>
          </cell>
        </row>
        <row r="125">
          <cell r="A125" t="str">
            <v>沧州市长隆金属制品有限公司</v>
          </cell>
          <cell r="B125">
            <v>0</v>
          </cell>
        </row>
        <row r="126">
          <cell r="A126" t="str">
            <v>沧州市达盛化工产品有限公司</v>
          </cell>
          <cell r="B126">
            <v>0</v>
          </cell>
        </row>
        <row r="127">
          <cell r="A127" t="str">
            <v>沧州市华联钢管有限公司</v>
          </cell>
          <cell r="B127">
            <v>0</v>
          </cell>
        </row>
        <row r="128">
          <cell r="A128" t="str">
            <v>沧州市利昌汽车部件有限公司</v>
          </cell>
          <cell r="B128">
            <v>0</v>
          </cell>
        </row>
        <row r="129">
          <cell r="A129" t="str">
            <v>沧州市任沧机电有限公司</v>
          </cell>
          <cell r="B129">
            <v>0</v>
          </cell>
        </row>
        <row r="130">
          <cell r="A130" t="str">
            <v>沧州市润泽建筑涂装有限公司</v>
          </cell>
          <cell r="B130">
            <v>0</v>
          </cell>
        </row>
        <row r="131">
          <cell r="A131" t="str">
            <v>沧州市顺通五金有限公司</v>
          </cell>
          <cell r="B131">
            <v>0</v>
          </cell>
        </row>
        <row r="132">
          <cell r="A132" t="str">
            <v>沧州市万威物流有限公司</v>
          </cell>
          <cell r="B132">
            <v>0</v>
          </cell>
        </row>
        <row r="133">
          <cell r="A133" t="str">
            <v>沧州市维克机械设备有限公司</v>
          </cell>
          <cell r="B133">
            <v>0</v>
          </cell>
        </row>
        <row r="134">
          <cell r="A134" t="str">
            <v>沧州市翔圣会计服务有限公司</v>
          </cell>
          <cell r="B134">
            <v>0</v>
          </cell>
        </row>
        <row r="135">
          <cell r="A135" t="str">
            <v>沧州市鑫发缝纫机有限公司</v>
          </cell>
          <cell r="B135">
            <v>0</v>
          </cell>
        </row>
        <row r="136">
          <cell r="A136" t="str">
            <v>沧州市徐锻机床销售有限公司</v>
          </cell>
          <cell r="B136">
            <v>0</v>
          </cell>
        </row>
        <row r="137">
          <cell r="A137" t="str">
            <v>沧州市永佳物业服务有限公司</v>
          </cell>
          <cell r="B137">
            <v>0</v>
          </cell>
        </row>
        <row r="138">
          <cell r="A138" t="str">
            <v>沧州市远东缝纫机有限公司</v>
          </cell>
          <cell r="B138">
            <v>0</v>
          </cell>
        </row>
        <row r="139">
          <cell r="A139" t="str">
            <v>沧州市运河区建新广告装饰文化传媒中心</v>
          </cell>
          <cell r="B139">
            <v>0</v>
          </cell>
        </row>
        <row r="140">
          <cell r="A140" t="str">
            <v>沧州斯克艾商贸有限公司</v>
          </cell>
          <cell r="B140">
            <v>0</v>
          </cell>
        </row>
        <row r="141">
          <cell r="A141" t="str">
            <v>沧州天祥塑料制品有限公司</v>
          </cell>
          <cell r="B141">
            <v>0</v>
          </cell>
        </row>
        <row r="142">
          <cell r="A142" t="str">
            <v>沧州同城信息技术有限公司</v>
          </cell>
          <cell r="B142">
            <v>0</v>
          </cell>
        </row>
        <row r="143">
          <cell r="A143" t="str">
            <v>沧州威达聚氨酯高科股份有限公司</v>
          </cell>
          <cell r="B143">
            <v>0</v>
          </cell>
        </row>
        <row r="144">
          <cell r="A144" t="str">
            <v>沧州鑫晟纸制品有限公司</v>
          </cell>
          <cell r="B144">
            <v>0</v>
          </cell>
        </row>
        <row r="145">
          <cell r="A145" t="str">
            <v>沧州旭兴五金制品有限公司</v>
          </cell>
          <cell r="B145">
            <v>50000</v>
          </cell>
        </row>
        <row r="146">
          <cell r="A146" t="str">
            <v>沧州益昌汽车销售服务有限公司</v>
          </cell>
          <cell r="B146">
            <v>0</v>
          </cell>
        </row>
        <row r="147">
          <cell r="A147" t="str">
            <v>沧州宇诺五金制造有限公司</v>
          </cell>
          <cell r="B147">
            <v>130000</v>
          </cell>
        </row>
        <row r="148">
          <cell r="A148" t="str">
            <v>沧州云庆标准件有限公司</v>
          </cell>
          <cell r="B148">
            <v>0</v>
          </cell>
        </row>
        <row r="149">
          <cell r="A149" t="str">
            <v>沧州众智鑫成人力资源服务有限公司</v>
          </cell>
          <cell r="B149">
            <v>0</v>
          </cell>
        </row>
        <row r="150">
          <cell r="A150" t="str">
            <v>昌乐天齐色织布有限公司</v>
          </cell>
          <cell r="B150">
            <v>0</v>
          </cell>
        </row>
        <row r="151">
          <cell r="A151" t="str">
            <v>昌乐县天源色织布有限公司</v>
          </cell>
          <cell r="B151">
            <v>0</v>
          </cell>
        </row>
        <row r="152">
          <cell r="A152" t="str">
            <v>长春旷达汽车织物有限公司</v>
          </cell>
          <cell r="B152">
            <v>0</v>
          </cell>
        </row>
        <row r="153">
          <cell r="A153" t="str">
            <v>长春市新科试验仪器设备有限公司</v>
          </cell>
          <cell r="B153">
            <v>0</v>
          </cell>
        </row>
        <row r="154">
          <cell r="A154" t="str">
            <v>长春市沅呈汽车饰件有限公司</v>
          </cell>
          <cell r="B154">
            <v>0</v>
          </cell>
        </row>
        <row r="155">
          <cell r="A155" t="str">
            <v>长春天利得科技有限公司</v>
          </cell>
          <cell r="B155">
            <v>300000</v>
          </cell>
        </row>
        <row r="156">
          <cell r="A156" t="str">
            <v>长春亚大汽车零件制造有限公司</v>
          </cell>
          <cell r="B156">
            <v>0</v>
          </cell>
        </row>
        <row r="157">
          <cell r="A157" t="str">
            <v>长沙皓翰贸易有限公司</v>
          </cell>
          <cell r="B157">
            <v>0</v>
          </cell>
        </row>
        <row r="158">
          <cell r="A158" t="str">
            <v>长园和鹰智能设备有限公司</v>
          </cell>
          <cell r="B158">
            <v>0</v>
          </cell>
        </row>
        <row r="159">
          <cell r="A159" t="str">
            <v>常熟市创新电器厂</v>
          </cell>
          <cell r="B159">
            <v>0</v>
          </cell>
        </row>
        <row r="160">
          <cell r="A160" t="str">
            <v>常州国誉减速机厂</v>
          </cell>
          <cell r="B160">
            <v>0</v>
          </cell>
        </row>
        <row r="161">
          <cell r="A161" t="str">
            <v>常州华阳万联汽车附件有限公司</v>
          </cell>
          <cell r="B161">
            <v>200000</v>
          </cell>
        </row>
        <row r="162">
          <cell r="A162" t="str">
            <v>常州恺杰塑料模具有限公司</v>
          </cell>
          <cell r="B162">
            <v>0</v>
          </cell>
        </row>
        <row r="163">
          <cell r="A163" t="str">
            <v>常州市拓洋减速机厂</v>
          </cell>
          <cell r="B163">
            <v>0</v>
          </cell>
        </row>
        <row r="164">
          <cell r="A164" t="str">
            <v>常州市武进创新模具注塑有限公司</v>
          </cell>
          <cell r="B164">
            <v>100000</v>
          </cell>
        </row>
        <row r="165">
          <cell r="A165" t="str">
            <v>春雨（东莞）五金制品有限公司</v>
          </cell>
          <cell r="B165">
            <v>0</v>
          </cell>
        </row>
        <row r="166">
          <cell r="A166" t="str">
            <v>大连吉田拉链有限公司北京分公司</v>
          </cell>
          <cell r="B166">
            <v>0</v>
          </cell>
        </row>
        <row r="167">
          <cell r="A167" t="str">
            <v>丹阳市神州电器部件厂</v>
          </cell>
          <cell r="B167">
            <v>0</v>
          </cell>
        </row>
        <row r="168">
          <cell r="A168" t="str">
            <v>德清三和塑胶有限公司</v>
          </cell>
          <cell r="B168">
            <v>0</v>
          </cell>
        </row>
        <row r="169">
          <cell r="A169" t="str">
            <v>德州三志塑胶有限公司</v>
          </cell>
          <cell r="B169">
            <v>0</v>
          </cell>
        </row>
        <row r="170">
          <cell r="A170" t="str">
            <v>德州志鹏海绵制品有限公司</v>
          </cell>
          <cell r="B170">
            <v>0</v>
          </cell>
        </row>
        <row r="171">
          <cell r="A171" t="str">
            <v>邓景亮</v>
          </cell>
          <cell r="B171">
            <v>250000</v>
          </cell>
        </row>
        <row r="172">
          <cell r="A172" t="str">
            <v>东光县汽车减震器厂</v>
          </cell>
          <cell r="B172">
            <v>0</v>
          </cell>
        </row>
        <row r="173">
          <cell r="A173" t="str">
            <v>东来涂料技术（上海）股份有限公司</v>
          </cell>
          <cell r="B173">
            <v>100000</v>
          </cell>
        </row>
        <row r="174">
          <cell r="A174" t="str">
            <v>东莞市嘉刚机电科技发展有限公司</v>
          </cell>
          <cell r="B174">
            <v>0</v>
          </cell>
        </row>
        <row r="175">
          <cell r="A175" t="str">
            <v>东莞市卡索电子科技有限公司</v>
          </cell>
          <cell r="B175">
            <v>0</v>
          </cell>
        </row>
        <row r="176">
          <cell r="A176" t="str">
            <v>东莞市联恒自动化设备有限公司</v>
          </cell>
          <cell r="B176">
            <v>0</v>
          </cell>
        </row>
        <row r="177">
          <cell r="A177" t="str">
            <v>东莞市瑞辉机械制造有限公司</v>
          </cell>
          <cell r="B177">
            <v>0</v>
          </cell>
        </row>
        <row r="178">
          <cell r="A178" t="str">
            <v>东莞市深川工业设备有限公司</v>
          </cell>
          <cell r="B178">
            <v>0</v>
          </cell>
        </row>
        <row r="179">
          <cell r="A179" t="str">
            <v>东莞市双和机车拉索有限公司</v>
          </cell>
          <cell r="B179">
            <v>0</v>
          </cell>
        </row>
        <row r="180">
          <cell r="A180" t="str">
            <v>杜奥尔汽车技术（上海）有限公司</v>
          </cell>
          <cell r="B180">
            <v>0</v>
          </cell>
        </row>
        <row r="181">
          <cell r="A181" t="str">
            <v>杜倍汽车技术（上海）有限公司</v>
          </cell>
          <cell r="B181">
            <v>0</v>
          </cell>
        </row>
        <row r="182">
          <cell r="A182" t="str">
            <v>多科迪（北京）塑胶颜料有限公司</v>
          </cell>
          <cell r="B182">
            <v>0</v>
          </cell>
        </row>
        <row r="183">
          <cell r="A183" t="str">
            <v>丰电科技集团股份有限公司</v>
          </cell>
          <cell r="B183">
            <v>0</v>
          </cell>
        </row>
        <row r="184">
          <cell r="A184" t="str">
            <v>佛吉亚（无锡）座椅部件有限公司</v>
          </cell>
          <cell r="B184">
            <v>400000</v>
          </cell>
        </row>
        <row r="185">
          <cell r="A185" t="str">
            <v>佛山冈联汽车模具配件有限公司</v>
          </cell>
          <cell r="B185">
            <v>0</v>
          </cell>
        </row>
        <row r="186">
          <cell r="A186" t="str">
            <v>佛山市立久光电科技有限公司</v>
          </cell>
          <cell r="B186">
            <v>0</v>
          </cell>
        </row>
        <row r="187">
          <cell r="A187" t="str">
            <v>佛山市顺德区聚达汽车部件有限公司</v>
          </cell>
          <cell r="B187">
            <v>130000</v>
          </cell>
        </row>
        <row r="188">
          <cell r="A188" t="str">
            <v>佛山市益鑫禾机械自动化装备有限公司</v>
          </cell>
          <cell r="B188">
            <v>0</v>
          </cell>
        </row>
        <row r="189">
          <cell r="A189" t="str">
            <v>福跃五金制品厂</v>
          </cell>
          <cell r="B189">
            <v>0</v>
          </cell>
        </row>
        <row r="190">
          <cell r="A190" t="str">
            <v>福州聚博机电设备有限公司</v>
          </cell>
          <cell r="B190">
            <v>0</v>
          </cell>
        </row>
        <row r="191">
          <cell r="A191" t="str">
            <v>富港科技天津有限公司</v>
          </cell>
          <cell r="B191">
            <v>0</v>
          </cell>
        </row>
        <row r="192">
          <cell r="A192" t="str">
            <v>高碑店京华橡胶制品有限责任公司</v>
          </cell>
          <cell r="B192">
            <v>0</v>
          </cell>
        </row>
        <row r="193">
          <cell r="A193" t="str">
            <v>高碑店市晨奥汽车部件有限公司</v>
          </cell>
          <cell r="B193">
            <v>0</v>
          </cell>
        </row>
        <row r="194">
          <cell r="A194" t="str">
            <v>高碑店市晨奥五金制品有限公司</v>
          </cell>
          <cell r="B194">
            <v>0</v>
          </cell>
        </row>
        <row r="195">
          <cell r="A195" t="str">
            <v>高碑店市信德百利革业有限公司</v>
          </cell>
          <cell r="B195">
            <v>0</v>
          </cell>
        </row>
        <row r="196">
          <cell r="A196" t="str">
            <v>高唐强盛机械有限公司</v>
          </cell>
          <cell r="B196">
            <v>100000</v>
          </cell>
        </row>
        <row r="197">
          <cell r="A197" t="str">
            <v>共和兴塑胶（廊坊）有限公司</v>
          </cell>
          <cell r="B197">
            <v>0</v>
          </cell>
        </row>
        <row r="198">
          <cell r="A198" t="str">
            <v>古特曼商贸（上海）有限公司</v>
          </cell>
          <cell r="B198">
            <v>0</v>
          </cell>
        </row>
        <row r="199">
          <cell r="A199" t="str">
            <v>固安县乐通塑料中空板有限公司</v>
          </cell>
          <cell r="B199">
            <v>0</v>
          </cell>
        </row>
        <row r="200">
          <cell r="A200" t="str">
            <v>故城县智华再生海绵有限公司</v>
          </cell>
          <cell r="B200">
            <v>0</v>
          </cell>
        </row>
        <row r="201">
          <cell r="A201" t="str">
            <v>广东新金山环保材料股份有限公司</v>
          </cell>
          <cell r="B201">
            <v>70000</v>
          </cell>
        </row>
        <row r="202">
          <cell r="A202" t="str">
            <v>广州富士机工汽车部件有限公司</v>
          </cell>
          <cell r="B202">
            <v>0</v>
          </cell>
        </row>
        <row r="203">
          <cell r="A203" t="str">
            <v>广州吉中汽车内饰系统有限公司</v>
          </cell>
          <cell r="B203">
            <v>0</v>
          </cell>
        </row>
        <row r="204">
          <cell r="A204" t="str">
            <v>广州欧尼克焊接科技有限公司</v>
          </cell>
          <cell r="B204">
            <v>0</v>
          </cell>
        </row>
        <row r="205">
          <cell r="A205" t="str">
            <v>广州普华灵动机器人技术有限公司</v>
          </cell>
          <cell r="B205">
            <v>0</v>
          </cell>
        </row>
        <row r="206">
          <cell r="A206" t="str">
            <v>广州市奔途尔商贸有限公司</v>
          </cell>
          <cell r="B206">
            <v>0</v>
          </cell>
        </row>
        <row r="207">
          <cell r="A207" t="str">
            <v>广州市火龙焊接设备有限公司</v>
          </cell>
          <cell r="B207">
            <v>0</v>
          </cell>
        </row>
        <row r="208">
          <cell r="A208" t="str">
            <v>广州市盟力线业有限公司</v>
          </cell>
          <cell r="B208">
            <v>70000</v>
          </cell>
        </row>
        <row r="209">
          <cell r="A209" t="str">
            <v>广州市朋普机电技术有限公司</v>
          </cell>
          <cell r="B209">
            <v>0</v>
          </cell>
        </row>
        <row r="210">
          <cell r="A210" t="str">
            <v>广州泰昌汽车部件有限公司</v>
          </cell>
          <cell r="B210">
            <v>100000</v>
          </cell>
        </row>
        <row r="211">
          <cell r="A211" t="str">
            <v>广州熙锐自动化设备有限公司</v>
          </cell>
          <cell r="B211">
            <v>0</v>
          </cell>
        </row>
        <row r="212">
          <cell r="A212" t="str">
            <v>圭尔夫(天津)工业门有限公司</v>
          </cell>
          <cell r="B212">
            <v>0</v>
          </cell>
        </row>
        <row r="213">
          <cell r="A213" t="str">
            <v>国网河北省电力有限公司沧州供电分公司</v>
          </cell>
          <cell r="B213">
            <v>0</v>
          </cell>
        </row>
        <row r="214">
          <cell r="A214" t="str">
            <v>海安县绿色清洗剂厂</v>
          </cell>
          <cell r="B214">
            <v>0</v>
          </cell>
        </row>
        <row r="215">
          <cell r="A215" t="str">
            <v>海天塑机集团有限公司</v>
          </cell>
          <cell r="B215">
            <v>0</v>
          </cell>
        </row>
        <row r="216">
          <cell r="A216" t="str">
            <v>海兴中盛弹簧有限公司</v>
          </cell>
          <cell r="B216">
            <v>300000</v>
          </cell>
        </row>
        <row r="217">
          <cell r="A217" t="str">
            <v>韩竹林</v>
          </cell>
          <cell r="B217">
            <v>0</v>
          </cell>
        </row>
        <row r="218">
          <cell r="A218" t="str">
            <v>杭州金士顿实业有限公司</v>
          </cell>
          <cell r="B218">
            <v>0</v>
          </cell>
        </row>
        <row r="219">
          <cell r="A219" t="str">
            <v>杭州迈斯嘉电子科技有限公司</v>
          </cell>
          <cell r="B219">
            <v>0</v>
          </cell>
        </row>
        <row r="220">
          <cell r="A220" t="str">
            <v>杭州迈图贸易有限公司</v>
          </cell>
          <cell r="B220">
            <v>0</v>
          </cell>
        </row>
        <row r="221">
          <cell r="A221" t="str">
            <v>合肥光码商贸有限公司</v>
          </cell>
          <cell r="B221">
            <v>0</v>
          </cell>
        </row>
        <row r="222">
          <cell r="A222" t="str">
            <v>合肥洁邦清洁设备有限公司</v>
          </cell>
          <cell r="B222">
            <v>0</v>
          </cell>
        </row>
        <row r="223">
          <cell r="A223" t="str">
            <v>何香存</v>
          </cell>
          <cell r="B223">
            <v>0</v>
          </cell>
        </row>
        <row r="224">
          <cell r="A224" t="str">
            <v>和和机械（张家港）有限公司</v>
          </cell>
          <cell r="B224">
            <v>0</v>
          </cell>
        </row>
        <row r="225">
          <cell r="A225" t="str">
            <v>河北安闻汽车零部件有限公司</v>
          </cell>
          <cell r="B225">
            <v>0</v>
          </cell>
        </row>
        <row r="226">
          <cell r="A226" t="str">
            <v>河北长河税务师事务所有限公司</v>
          </cell>
          <cell r="B226">
            <v>0</v>
          </cell>
        </row>
        <row r="227">
          <cell r="A227" t="str">
            <v>河北辰丰制管有限公司</v>
          </cell>
          <cell r="B227">
            <v>200000</v>
          </cell>
        </row>
        <row r="228">
          <cell r="A228" t="str">
            <v>河北航凌电路板有限公司</v>
          </cell>
          <cell r="B228">
            <v>0</v>
          </cell>
        </row>
        <row r="229">
          <cell r="A229" t="str">
            <v>河北宏广橡塑金属制品有限公司</v>
          </cell>
          <cell r="B229">
            <v>0</v>
          </cell>
        </row>
        <row r="230">
          <cell r="A230" t="str">
            <v>河北宏通制管有限公司</v>
          </cell>
          <cell r="B230">
            <v>0</v>
          </cell>
        </row>
        <row r="231">
          <cell r="A231" t="str">
            <v>河北互通网络技术有限公司</v>
          </cell>
          <cell r="B231">
            <v>0</v>
          </cell>
        </row>
        <row r="232">
          <cell r="A232" t="str">
            <v>河北佳佰工程咨询有限公司</v>
          </cell>
          <cell r="B232">
            <v>0</v>
          </cell>
        </row>
        <row r="233">
          <cell r="A233" t="str">
            <v>河北聚福家用电器有限公司</v>
          </cell>
          <cell r="B233">
            <v>0</v>
          </cell>
        </row>
        <row r="234">
          <cell r="A234" t="str">
            <v>河北联庆五金制品有限公司</v>
          </cell>
          <cell r="B234">
            <v>0</v>
          </cell>
        </row>
        <row r="235">
          <cell r="A235" t="str">
            <v>河北量子环境检测有限公司</v>
          </cell>
          <cell r="B235">
            <v>0</v>
          </cell>
        </row>
        <row r="236">
          <cell r="A236" t="str">
            <v>河北美杭电梯安装有限公司</v>
          </cell>
          <cell r="B236">
            <v>0</v>
          </cell>
        </row>
        <row r="237">
          <cell r="A237" t="str">
            <v>河北耐力驰地坪装饰工程有限公司</v>
          </cell>
          <cell r="B237">
            <v>0</v>
          </cell>
        </row>
        <row r="238">
          <cell r="A238" t="str">
            <v>河北锐翰汽车零部件有限公司</v>
          </cell>
          <cell r="B238">
            <v>200000</v>
          </cell>
        </row>
        <row r="239">
          <cell r="A239" t="str">
            <v>河北润辉化工有限公司</v>
          </cell>
          <cell r="B239">
            <v>0</v>
          </cell>
        </row>
        <row r="240">
          <cell r="A240" t="str">
            <v>河北森凯环保科技有限公司</v>
          </cell>
          <cell r="B240">
            <v>0</v>
          </cell>
        </row>
        <row r="241">
          <cell r="A241" t="str">
            <v>河北省雄县龙华橡塑有限公司</v>
          </cell>
          <cell r="B241">
            <v>0</v>
          </cell>
        </row>
        <row r="242">
          <cell r="A242" t="str">
            <v>河北圣洁环境生物科技工程有限公司</v>
          </cell>
          <cell r="B242">
            <v>0</v>
          </cell>
        </row>
        <row r="243">
          <cell r="A243" t="str">
            <v>河北盛德燃气有限公司</v>
          </cell>
          <cell r="B243">
            <v>0</v>
          </cell>
        </row>
        <row r="244">
          <cell r="A244" t="str">
            <v>河北双力起重机械有限公司</v>
          </cell>
          <cell r="B244">
            <v>0</v>
          </cell>
        </row>
        <row r="245">
          <cell r="A245" t="str">
            <v>河北顺和职业卫生技术服务有限公司</v>
          </cell>
          <cell r="B245">
            <v>0</v>
          </cell>
        </row>
        <row r="246">
          <cell r="A246" t="str">
            <v>河北伟业聚氨酯泡绵有限公司</v>
          </cell>
          <cell r="B246">
            <v>0</v>
          </cell>
        </row>
        <row r="247">
          <cell r="A247" t="str">
            <v>河北新强力机械制造有限公司</v>
          </cell>
          <cell r="B247">
            <v>400000</v>
          </cell>
        </row>
        <row r="248">
          <cell r="A248" t="str">
            <v>河北新世泰机械有限公司</v>
          </cell>
          <cell r="B248">
            <v>0</v>
          </cell>
        </row>
        <row r="249">
          <cell r="A249" t="str">
            <v>河北艺能锅炉有限责任公司</v>
          </cell>
          <cell r="B249">
            <v>0</v>
          </cell>
        </row>
        <row r="250">
          <cell r="A250" t="str">
            <v>河北媛皓建筑机械科技有限公司</v>
          </cell>
          <cell r="B250">
            <v>0</v>
          </cell>
        </row>
        <row r="251">
          <cell r="A251" t="str">
            <v>河北岳钢数控设备有限公司</v>
          </cell>
          <cell r="B251">
            <v>50000</v>
          </cell>
        </row>
        <row r="252">
          <cell r="A252" t="str">
            <v>河北泽沃钢管制造有限公司</v>
          </cell>
          <cell r="B252">
            <v>0</v>
          </cell>
        </row>
        <row r="253">
          <cell r="A253" t="str">
            <v>河北智友机电制造有限公司</v>
          </cell>
          <cell r="B253">
            <v>0</v>
          </cell>
        </row>
        <row r="254">
          <cell r="A254" t="str">
            <v>河间市祥龙崇光电缆厂</v>
          </cell>
          <cell r="B254">
            <v>0</v>
          </cell>
        </row>
        <row r="255">
          <cell r="A255" t="str">
            <v>河间市正邦橡胶制品有限公司</v>
          </cell>
          <cell r="B255">
            <v>0</v>
          </cell>
        </row>
        <row r="256">
          <cell r="A256" t="str">
            <v>鹤壁市天星电器厂</v>
          </cell>
          <cell r="B256">
            <v>0</v>
          </cell>
        </row>
        <row r="257">
          <cell r="A257" t="str">
            <v>鹤山市润源化工有限公司</v>
          </cell>
          <cell r="B257">
            <v>0</v>
          </cell>
        </row>
        <row r="258">
          <cell r="A258" t="str">
            <v>恒华包装材料销售有限公司</v>
          </cell>
          <cell r="B258">
            <v>0</v>
          </cell>
        </row>
        <row r="259">
          <cell r="A259" t="str">
            <v>衡水鑫智汽车零部件有限公司</v>
          </cell>
          <cell r="B259">
            <v>0</v>
          </cell>
        </row>
        <row r="260">
          <cell r="A260" t="str">
            <v>湖北航嘉麦格纳座椅系统有限公司</v>
          </cell>
          <cell r="B260">
            <v>0</v>
          </cell>
        </row>
        <row r="261">
          <cell r="A261" t="str">
            <v>湖北中航精机科技有限公司</v>
          </cell>
          <cell r="B261">
            <v>0</v>
          </cell>
        </row>
        <row r="262">
          <cell r="A262" t="str">
            <v>湖北钟祥市正宏玻璃制品厂</v>
          </cell>
          <cell r="B262">
            <v>0</v>
          </cell>
        </row>
        <row r="263">
          <cell r="A263" t="str">
            <v>湖南光华荣昌汽车部件有限公司</v>
          </cell>
          <cell r="B263">
            <v>0</v>
          </cell>
        </row>
        <row r="264">
          <cell r="A264" t="str">
            <v>湖南精正设备制造有限公司</v>
          </cell>
          <cell r="B264">
            <v>0</v>
          </cell>
        </row>
        <row r="265">
          <cell r="A265" t="str">
            <v>华瑞志勤科技发展（北京）有限公司</v>
          </cell>
          <cell r="B265">
            <v>0</v>
          </cell>
        </row>
        <row r="266">
          <cell r="A266" t="str">
            <v>淮铭机械设备(上海)有限公司</v>
          </cell>
          <cell r="B266">
            <v>0</v>
          </cell>
        </row>
        <row r="267">
          <cell r="A267" t="str">
            <v>黄骅骅泰机动车配件有限公司</v>
          </cell>
          <cell r="B267">
            <v>0</v>
          </cell>
        </row>
        <row r="268">
          <cell r="A268" t="str">
            <v>黄骅市邦博五金电料经销部</v>
          </cell>
          <cell r="B268">
            <v>0</v>
          </cell>
        </row>
        <row r="269">
          <cell r="A269" t="str">
            <v>黄骅市宝丽洁家政有限公司</v>
          </cell>
          <cell r="B269">
            <v>0</v>
          </cell>
        </row>
        <row r="270">
          <cell r="A270" t="str">
            <v>黄骅市保俊成复合彩印厂</v>
          </cell>
          <cell r="B270">
            <v>0</v>
          </cell>
        </row>
        <row r="271">
          <cell r="A271" t="str">
            <v>黄骅市斌盛包装制品厂</v>
          </cell>
          <cell r="B271">
            <v>0</v>
          </cell>
        </row>
        <row r="272">
          <cell r="A272" t="str">
            <v>黄骅市滨海车业有限公司</v>
          </cell>
          <cell r="B272">
            <v>0</v>
          </cell>
        </row>
        <row r="273">
          <cell r="A273" t="str">
            <v>黄骅市博杰汽车部件有限公司</v>
          </cell>
          <cell r="B273">
            <v>38800</v>
          </cell>
        </row>
        <row r="274">
          <cell r="A274" t="str">
            <v>黄骅市渤海汽车摩托车配件有限公司</v>
          </cell>
          <cell r="B274">
            <v>0</v>
          </cell>
        </row>
        <row r="275">
          <cell r="A275" t="str">
            <v>黄骅市渤海庆丰车辆灯镜厂</v>
          </cell>
          <cell r="B275">
            <v>20000</v>
          </cell>
        </row>
        <row r="276">
          <cell r="A276" t="str">
            <v>黄骅市昌城网子经销部</v>
          </cell>
          <cell r="B276">
            <v>0</v>
          </cell>
        </row>
        <row r="277">
          <cell r="A277" t="str">
            <v>黄骅市长江塑料制品有限公司</v>
          </cell>
          <cell r="B277">
            <v>0</v>
          </cell>
        </row>
        <row r="278">
          <cell r="A278" t="str">
            <v>黄骅市长生汽车灯镜有限公司</v>
          </cell>
          <cell r="B278">
            <v>700000</v>
          </cell>
        </row>
        <row r="279">
          <cell r="A279" t="str">
            <v>黄骅市常郭镇街西纸箱厂</v>
          </cell>
          <cell r="B279">
            <v>100000</v>
          </cell>
        </row>
        <row r="280">
          <cell r="A280" t="str">
            <v>黄骅市常郭镇前尚永胜五金加工厂</v>
          </cell>
          <cell r="B280">
            <v>0</v>
          </cell>
        </row>
        <row r="281">
          <cell r="A281" t="str">
            <v>黄骅市超飞商贸有限公司有限公司</v>
          </cell>
          <cell r="B281">
            <v>0</v>
          </cell>
        </row>
        <row r="282">
          <cell r="A282" t="str">
            <v>黄骅市成卓汽车部件厂</v>
          </cell>
          <cell r="B282">
            <v>200000</v>
          </cell>
        </row>
        <row r="283">
          <cell r="A283" t="str">
            <v>黄骅市达旺机动车配件厂</v>
          </cell>
          <cell r="B283">
            <v>0</v>
          </cell>
        </row>
        <row r="284">
          <cell r="A284" t="str">
            <v>黄骅市大新模具有限公司</v>
          </cell>
          <cell r="B284">
            <v>0</v>
          </cell>
        </row>
        <row r="285">
          <cell r="A285" t="str">
            <v>黄骅市弹簧厂</v>
          </cell>
          <cell r="B285">
            <v>0</v>
          </cell>
        </row>
        <row r="286">
          <cell r="A286" t="str">
            <v>黄骅市德信成家具经销部</v>
          </cell>
          <cell r="B286">
            <v>0</v>
          </cell>
        </row>
        <row r="287">
          <cell r="A287" t="str">
            <v>黄骅市鼎盾电力工程有限公司</v>
          </cell>
          <cell r="B287">
            <v>0</v>
          </cell>
        </row>
        <row r="288">
          <cell r="A288" t="str">
            <v>黄骅市方达泵阀有限公司</v>
          </cell>
          <cell r="B288">
            <v>0</v>
          </cell>
        </row>
        <row r="289">
          <cell r="A289" t="str">
            <v>黄骅市方正五金机电责任有限公司</v>
          </cell>
          <cell r="B289">
            <v>0</v>
          </cell>
        </row>
        <row r="290">
          <cell r="A290" t="str">
            <v>黄骅市飞扬办公用品经营部</v>
          </cell>
          <cell r="B290">
            <v>0</v>
          </cell>
        </row>
        <row r="291">
          <cell r="A291" t="str">
            <v>黄骅市富康静电喷涂厂</v>
          </cell>
          <cell r="B291">
            <v>0</v>
          </cell>
        </row>
        <row r="292">
          <cell r="A292" t="str">
            <v>黄骅市富丽达不锈钢制品经销处</v>
          </cell>
          <cell r="B292">
            <v>0</v>
          </cell>
        </row>
        <row r="293">
          <cell r="A293" t="str">
            <v>黄骅市港骅工业气体销售有限公司</v>
          </cell>
          <cell r="B293">
            <v>0</v>
          </cell>
        </row>
        <row r="294">
          <cell r="A294" t="str">
            <v>黄骅市功盛五金电料经销处</v>
          </cell>
          <cell r="B294">
            <v>0</v>
          </cell>
        </row>
        <row r="295">
          <cell r="A295" t="str">
            <v>黄骅市固诺装饰工程有限公司</v>
          </cell>
          <cell r="B295">
            <v>0</v>
          </cell>
        </row>
        <row r="296">
          <cell r="A296" t="str">
            <v>黄骅市故县国福汽车灯厂</v>
          </cell>
          <cell r="B296">
            <v>0</v>
          </cell>
        </row>
        <row r="297">
          <cell r="A297" t="str">
            <v>黄骅市光大橡胶制品厂</v>
          </cell>
          <cell r="B297">
            <v>0</v>
          </cell>
        </row>
        <row r="298">
          <cell r="A298" t="str">
            <v>黄骅市广际五金产品销售有限公司</v>
          </cell>
          <cell r="B298">
            <v>0</v>
          </cell>
        </row>
        <row r="299">
          <cell r="A299" t="str">
            <v>黄骅市广兴建筑安装工程有限公司</v>
          </cell>
          <cell r="B299">
            <v>0</v>
          </cell>
        </row>
        <row r="300">
          <cell r="A300" t="str">
            <v>黄骅市广亿汽车部件有限公司</v>
          </cell>
          <cell r="B300">
            <v>600000</v>
          </cell>
        </row>
        <row r="301">
          <cell r="A301" t="str">
            <v>黄骅市国贸物资有限公司</v>
          </cell>
          <cell r="B301">
            <v>0</v>
          </cell>
        </row>
        <row r="302">
          <cell r="A302" t="str">
            <v>黄骅市海举五金加工厂</v>
          </cell>
          <cell r="B302">
            <v>0</v>
          </cell>
        </row>
        <row r="303">
          <cell r="A303" t="str">
            <v>黄骅市海良汽车摩托车配件有限公司</v>
          </cell>
          <cell r="B303">
            <v>0</v>
          </cell>
        </row>
        <row r="304">
          <cell r="A304" t="str">
            <v>黄骅市海生五金模具厂</v>
          </cell>
          <cell r="B304">
            <v>0</v>
          </cell>
        </row>
        <row r="305">
          <cell r="A305" t="str">
            <v>黄骅市海泰祥钢材贸易有限公司</v>
          </cell>
          <cell r="B305">
            <v>0</v>
          </cell>
        </row>
        <row r="306">
          <cell r="A306" t="str">
            <v>黄骅市氦普气体销售有限公司</v>
          </cell>
          <cell r="B306">
            <v>0</v>
          </cell>
        </row>
        <row r="307">
          <cell r="A307" t="str">
            <v>黄骅市和顺易大件吊装搬运有限公司</v>
          </cell>
          <cell r="B307">
            <v>0</v>
          </cell>
        </row>
        <row r="308">
          <cell r="A308" t="str">
            <v>黄骅市恒基五金轴承工具有限公司</v>
          </cell>
          <cell r="B308">
            <v>0</v>
          </cell>
        </row>
        <row r="309">
          <cell r="A309" t="str">
            <v>黄骅市恒茂土产门市部</v>
          </cell>
          <cell r="B309">
            <v>0</v>
          </cell>
        </row>
        <row r="310">
          <cell r="A310" t="str">
            <v>黄骅市恒顺昌商贸有限公司</v>
          </cell>
          <cell r="B310">
            <v>0</v>
          </cell>
        </row>
        <row r="311">
          <cell r="A311" t="str">
            <v>黄骅市恒通土产劳保门市部</v>
          </cell>
          <cell r="B311">
            <v>0</v>
          </cell>
        </row>
        <row r="312">
          <cell r="A312" t="str">
            <v>黄骅市恒伟五金制品有限公司</v>
          </cell>
          <cell r="B312">
            <v>300000</v>
          </cell>
        </row>
        <row r="313">
          <cell r="A313" t="str">
            <v>黄骅市衡星计量仪器有限公司</v>
          </cell>
          <cell r="B313">
            <v>0</v>
          </cell>
        </row>
        <row r="314">
          <cell r="A314" t="str">
            <v>黄骅市宏成五金制品有限公司</v>
          </cell>
          <cell r="B314">
            <v>0</v>
          </cell>
        </row>
        <row r="315">
          <cell r="A315" t="str">
            <v>黄骅市宏辉运输队</v>
          </cell>
          <cell r="B315">
            <v>0</v>
          </cell>
        </row>
        <row r="316">
          <cell r="A316" t="str">
            <v>黄骅市宏顺模具厂</v>
          </cell>
          <cell r="B316">
            <v>0</v>
          </cell>
        </row>
        <row r="317">
          <cell r="A317" t="str">
            <v>黄骅市宏信五金交电门市部</v>
          </cell>
          <cell r="B317">
            <v>0</v>
          </cell>
        </row>
        <row r="318">
          <cell r="A318" t="str">
            <v>黄骅市洪赫五金加工厂</v>
          </cell>
          <cell r="B318">
            <v>0</v>
          </cell>
        </row>
        <row r="319">
          <cell r="A319" t="str">
            <v>黄骅市鸿鹄线缆经销部</v>
          </cell>
          <cell r="B319">
            <v>0</v>
          </cell>
        </row>
        <row r="320">
          <cell r="A320" t="str">
            <v>黄骅市鸿基盛业地面工程有限公司</v>
          </cell>
          <cell r="B320">
            <v>0</v>
          </cell>
        </row>
        <row r="321">
          <cell r="A321" t="str">
            <v>黄骅市鸿晟伟业电脑经营部</v>
          </cell>
          <cell r="B321">
            <v>0</v>
          </cell>
        </row>
        <row r="322">
          <cell r="A322" t="str">
            <v>黄骅市厚德建筑队</v>
          </cell>
          <cell r="B322">
            <v>0</v>
          </cell>
        </row>
        <row r="323">
          <cell r="A323" t="str">
            <v>黄骅市辉煌建筑队</v>
          </cell>
          <cell r="B323">
            <v>0</v>
          </cell>
        </row>
        <row r="324">
          <cell r="A324" t="str">
            <v>黄骅市汇铭汽车部件有限公司</v>
          </cell>
          <cell r="B324">
            <v>300000</v>
          </cell>
        </row>
        <row r="325">
          <cell r="A325" t="str">
            <v>黄骅市慧勤五金电料经销处</v>
          </cell>
          <cell r="B325">
            <v>0</v>
          </cell>
        </row>
        <row r="326">
          <cell r="A326" t="str">
            <v>黄骅市慧仁纵横电脑销售有限公司</v>
          </cell>
          <cell r="B326">
            <v>0</v>
          </cell>
        </row>
        <row r="327">
          <cell r="A327" t="str">
            <v>黄骅市佳佰工程咨询有限公司</v>
          </cell>
          <cell r="B327">
            <v>0</v>
          </cell>
        </row>
        <row r="328">
          <cell r="A328" t="str">
            <v>黄骅市佳祥五金制品有限公司</v>
          </cell>
          <cell r="B328">
            <v>20000</v>
          </cell>
        </row>
        <row r="329">
          <cell r="A329" t="str">
            <v>黄骅市建材市场港骅钢材经销部</v>
          </cell>
          <cell r="B329">
            <v>0</v>
          </cell>
        </row>
        <row r="330">
          <cell r="A330" t="str">
            <v>黄骅市建昌塑料制品有限公司</v>
          </cell>
          <cell r="B330">
            <v>30000</v>
          </cell>
        </row>
        <row r="331">
          <cell r="A331" t="str">
            <v>黄骅市建华液压配件销售服务中心</v>
          </cell>
          <cell r="B331">
            <v>0</v>
          </cell>
        </row>
        <row r="332">
          <cell r="A332" t="str">
            <v>黄骅市建伟五金制品厂</v>
          </cell>
          <cell r="B332">
            <v>0</v>
          </cell>
        </row>
        <row r="333">
          <cell r="A333" t="str">
            <v>黄骅市洁霸汽车零部件制造有限公司</v>
          </cell>
          <cell r="B333">
            <v>0</v>
          </cell>
        </row>
        <row r="334">
          <cell r="A334" t="str">
            <v>黄骅市金宝成钢材经销有限公司</v>
          </cell>
          <cell r="B334">
            <v>0</v>
          </cell>
        </row>
        <row r="335">
          <cell r="A335" t="str">
            <v>黄骅市金城五金制品厂</v>
          </cell>
          <cell r="B335">
            <v>0</v>
          </cell>
        </row>
        <row r="336">
          <cell r="A336" t="str">
            <v>黄骅市金华保温材料有限公司</v>
          </cell>
          <cell r="B336">
            <v>0</v>
          </cell>
        </row>
        <row r="337">
          <cell r="A337" t="str">
            <v>黄骅市金月五金制品厂</v>
          </cell>
          <cell r="B337">
            <v>0</v>
          </cell>
        </row>
        <row r="338">
          <cell r="A338" t="str">
            <v>黄骅市津华汽车部件有限公司</v>
          </cell>
          <cell r="B338">
            <v>200000</v>
          </cell>
        </row>
        <row r="339">
          <cell r="A339" t="str">
            <v>黄骅市锦绣制衣部</v>
          </cell>
          <cell r="B339">
            <v>0</v>
          </cell>
        </row>
        <row r="340">
          <cell r="A340" t="str">
            <v>黄骅市京港机电设备有限公司</v>
          </cell>
          <cell r="B340">
            <v>50000</v>
          </cell>
        </row>
        <row r="341">
          <cell r="A341" t="str">
            <v>黄骅市久峰五金制品有限公司</v>
          </cell>
          <cell r="B341">
            <v>0</v>
          </cell>
        </row>
        <row r="342">
          <cell r="A342" t="str">
            <v>黄骅市俊隆五金包装有限公司</v>
          </cell>
          <cell r="B342">
            <v>0</v>
          </cell>
        </row>
        <row r="343">
          <cell r="A343" t="str">
            <v>黄骅市俊有塑染经销处</v>
          </cell>
          <cell r="B343">
            <v>0</v>
          </cell>
        </row>
        <row r="344">
          <cell r="A344" t="str">
            <v>黄骅市凯翔车业有限公司</v>
          </cell>
          <cell r="B344">
            <v>0</v>
          </cell>
        </row>
        <row r="345">
          <cell r="A345" t="str">
            <v>黄骅市康宁街光华化工门市部</v>
          </cell>
          <cell r="B345">
            <v>0</v>
          </cell>
        </row>
        <row r="346">
          <cell r="A346" t="str">
            <v>黄骅市科友汇商贸有限公司</v>
          </cell>
          <cell r="B346">
            <v>0</v>
          </cell>
        </row>
        <row r="347">
          <cell r="A347" t="str">
            <v>黄骅市联视电子科技有限公司</v>
          </cell>
          <cell r="B347">
            <v>0</v>
          </cell>
        </row>
        <row r="348">
          <cell r="A348" t="str">
            <v>黄骅市龙腾五金机电门市部</v>
          </cell>
          <cell r="B348">
            <v>0</v>
          </cell>
        </row>
        <row r="349">
          <cell r="A349" t="str">
            <v>黄骅市隆盛达车业有限公司</v>
          </cell>
          <cell r="B349">
            <v>0</v>
          </cell>
        </row>
        <row r="350">
          <cell r="A350" t="str">
            <v>黄骅市隆鑫五金制品有限公司</v>
          </cell>
          <cell r="B350">
            <v>0</v>
          </cell>
        </row>
        <row r="351">
          <cell r="A351" t="str">
            <v>黄骅市美家隆商贸有限公司</v>
          </cell>
          <cell r="B351">
            <v>0</v>
          </cell>
        </row>
        <row r="352">
          <cell r="A352" t="str">
            <v>黄骅市明昶电料门市部</v>
          </cell>
          <cell r="B352">
            <v>0</v>
          </cell>
        </row>
        <row r="353">
          <cell r="A353" t="str">
            <v>黄骅市宁鑫商贸有限公司</v>
          </cell>
          <cell r="B353">
            <v>0</v>
          </cell>
        </row>
        <row r="354">
          <cell r="A354" t="str">
            <v>黄骅市齐西纺织五金配件厂</v>
          </cell>
          <cell r="B354">
            <v>0</v>
          </cell>
        </row>
        <row r="355">
          <cell r="A355" t="str">
            <v>黄骅市乾泰祥五金制品厂</v>
          </cell>
          <cell r="B355">
            <v>0</v>
          </cell>
        </row>
        <row r="356">
          <cell r="A356" t="str">
            <v>黄骅市庆华机动车配件有限公司</v>
          </cell>
          <cell r="B356">
            <v>0</v>
          </cell>
        </row>
        <row r="357">
          <cell r="A357" t="str">
            <v>黄骅市庆军五金制品有限公司</v>
          </cell>
          <cell r="B357">
            <v>0</v>
          </cell>
        </row>
        <row r="358">
          <cell r="A358" t="str">
            <v>黄骅市荣邦汽车部件有限公司</v>
          </cell>
          <cell r="B358">
            <v>0</v>
          </cell>
        </row>
        <row r="359">
          <cell r="A359" t="str">
            <v>黄骅市荣达工业气体销售有限公司</v>
          </cell>
          <cell r="B359">
            <v>0</v>
          </cell>
        </row>
        <row r="360">
          <cell r="A360" t="str">
            <v>黄骅市荣丰塑料模具有限公司</v>
          </cell>
          <cell r="B360">
            <v>0</v>
          </cell>
        </row>
        <row r="361">
          <cell r="A361" t="str">
            <v>黄骅市瑞达塑料模具有限公司</v>
          </cell>
          <cell r="B361">
            <v>0</v>
          </cell>
        </row>
        <row r="362">
          <cell r="A362" t="str">
            <v>黄骅市瑞丰五金制品有限公司</v>
          </cell>
          <cell r="B362">
            <v>20000</v>
          </cell>
        </row>
        <row r="363">
          <cell r="A363" t="str">
            <v>黄骅市三江商贸有限公司</v>
          </cell>
          <cell r="B363">
            <v>8529</v>
          </cell>
        </row>
        <row r="364">
          <cell r="A364" t="str">
            <v>黄骅市三姐五金经销部</v>
          </cell>
          <cell r="B364">
            <v>4798</v>
          </cell>
        </row>
        <row r="365">
          <cell r="A365" t="str">
            <v>黄骅市三星电脑科技有限公司</v>
          </cell>
          <cell r="B365">
            <v>0</v>
          </cell>
        </row>
        <row r="366">
          <cell r="A366" t="str">
            <v>黄骅市神农百草堂药品连锁有限公司</v>
          </cell>
          <cell r="B366">
            <v>0</v>
          </cell>
        </row>
        <row r="367">
          <cell r="A367" t="str">
            <v>黄骅市盛发五金制品有限公司</v>
          </cell>
          <cell r="B367">
            <v>0</v>
          </cell>
        </row>
        <row r="368">
          <cell r="A368" t="str">
            <v>黄骅市盛荣汽车零部件制造有限公司</v>
          </cell>
          <cell r="B368">
            <v>9700</v>
          </cell>
        </row>
        <row r="369">
          <cell r="A369" t="str">
            <v>黄骅市盛泰五金制品厂</v>
          </cell>
          <cell r="B369">
            <v>0</v>
          </cell>
        </row>
        <row r="370">
          <cell r="A370" t="str">
            <v>黄骅市石港路兆荣装饰家园</v>
          </cell>
          <cell r="B370">
            <v>0</v>
          </cell>
        </row>
        <row r="371">
          <cell r="A371" t="str">
            <v>黄骅市双得金属制品销售有限公司</v>
          </cell>
          <cell r="B371">
            <v>20000</v>
          </cell>
        </row>
        <row r="372">
          <cell r="A372" t="str">
            <v>黄骅市顺驰车业配件有限公司</v>
          </cell>
          <cell r="B372">
            <v>0</v>
          </cell>
        </row>
        <row r="373">
          <cell r="A373" t="str">
            <v>黄骅市四通模具厂</v>
          </cell>
          <cell r="B373">
            <v>0</v>
          </cell>
        </row>
        <row r="374">
          <cell r="A374" t="str">
            <v>黄骅市泰坤五金机电经销部</v>
          </cell>
          <cell r="B374">
            <v>0</v>
          </cell>
        </row>
        <row r="375">
          <cell r="A375" t="str">
            <v>黄骅市泰行汽车配件厂</v>
          </cell>
          <cell r="B375">
            <v>30000</v>
          </cell>
        </row>
        <row r="376">
          <cell r="A376" t="str">
            <v>黄骅市唐氏焊割设备经销处</v>
          </cell>
          <cell r="B376">
            <v>0</v>
          </cell>
        </row>
        <row r="377">
          <cell r="A377" t="str">
            <v>黄骅市天丰汽车配件有限公司</v>
          </cell>
          <cell r="B377">
            <v>400000</v>
          </cell>
        </row>
        <row r="378">
          <cell r="A378" t="str">
            <v>黄骅市通和五金制品有限公司</v>
          </cell>
          <cell r="B378">
            <v>0</v>
          </cell>
        </row>
        <row r="379">
          <cell r="A379" t="str">
            <v>黄骅市通乐贸易有限公司</v>
          </cell>
          <cell r="B379">
            <v>26568</v>
          </cell>
        </row>
        <row r="380">
          <cell r="A380" t="str">
            <v>黄骅市通顺五金机电商店</v>
          </cell>
          <cell r="B380">
            <v>0</v>
          </cell>
        </row>
        <row r="381">
          <cell r="A381" t="str">
            <v>黄骅市通祥模具厂</v>
          </cell>
          <cell r="B381">
            <v>0</v>
          </cell>
        </row>
        <row r="382">
          <cell r="A382" t="str">
            <v>黄骅市同德商贸有限公司</v>
          </cell>
          <cell r="B382">
            <v>0</v>
          </cell>
        </row>
        <row r="383">
          <cell r="A383" t="str">
            <v>黄骅市同辉汽车配件有限公司</v>
          </cell>
          <cell r="B383">
            <v>0</v>
          </cell>
        </row>
        <row r="384">
          <cell r="A384" t="str">
            <v>黄骅市屯鑫五金经销部</v>
          </cell>
          <cell r="B384">
            <v>0</v>
          </cell>
        </row>
        <row r="385">
          <cell r="A385" t="str">
            <v>黄骅市万安挂车配件有限公司</v>
          </cell>
          <cell r="B385">
            <v>0</v>
          </cell>
        </row>
        <row r="386">
          <cell r="A386" t="str">
            <v>黄骅市万昌五金制品有限公司</v>
          </cell>
          <cell r="B386">
            <v>403549.6</v>
          </cell>
        </row>
        <row r="387">
          <cell r="A387" t="str">
            <v>黄骅市万方五金塑料制品有限公司</v>
          </cell>
          <cell r="B387">
            <v>0</v>
          </cell>
        </row>
        <row r="388">
          <cell r="A388" t="str">
            <v>黄骅市万寿汽车配件有限公司</v>
          </cell>
          <cell r="B388">
            <v>50000</v>
          </cell>
        </row>
        <row r="389">
          <cell r="A389" t="str">
            <v>黄骅市魏波五金制品经营部</v>
          </cell>
          <cell r="B389">
            <v>0</v>
          </cell>
        </row>
        <row r="390">
          <cell r="A390" t="str">
            <v>黄骅市西环路宏大电热仪表电器经销处</v>
          </cell>
          <cell r="B390">
            <v>0</v>
          </cell>
        </row>
        <row r="391">
          <cell r="A391" t="str">
            <v>黄骅市祥义塑料模具有限公司</v>
          </cell>
          <cell r="B391">
            <v>0</v>
          </cell>
        </row>
        <row r="392">
          <cell r="A392" t="str">
            <v>黄骅市翔华电子设备经销处</v>
          </cell>
          <cell r="B392">
            <v>0</v>
          </cell>
        </row>
        <row r="393">
          <cell r="A393" t="str">
            <v>黄骅市筱楠五金门市部</v>
          </cell>
          <cell r="B393">
            <v>0</v>
          </cell>
        </row>
        <row r="394">
          <cell r="A394" t="str">
            <v>黄骅市新暖汽车座垫加工厂</v>
          </cell>
          <cell r="B394">
            <v>0</v>
          </cell>
        </row>
        <row r="395">
          <cell r="A395" t="str">
            <v>黄骅市新智环保技术有限公司</v>
          </cell>
          <cell r="B395">
            <v>0</v>
          </cell>
        </row>
        <row r="396">
          <cell r="A396" t="str">
            <v>黄骅市鑫昌五金制品厂</v>
          </cell>
          <cell r="B396">
            <v>400000</v>
          </cell>
        </row>
        <row r="397">
          <cell r="A397" t="str">
            <v>黄骅市鑫宏祥电器门市部</v>
          </cell>
          <cell r="B397">
            <v>0</v>
          </cell>
        </row>
        <row r="398">
          <cell r="A398" t="str">
            <v>黄骅市鑫骅金属制品有限公司</v>
          </cell>
          <cell r="B398">
            <v>0</v>
          </cell>
        </row>
        <row r="399">
          <cell r="A399" t="str">
            <v>黄骅市鑫汇商贸有限公司</v>
          </cell>
          <cell r="B399">
            <v>0</v>
          </cell>
        </row>
        <row r="400">
          <cell r="A400" t="str">
            <v>黄骅市鑫亮五金制品厂</v>
          </cell>
          <cell r="B400">
            <v>0</v>
          </cell>
        </row>
        <row r="401">
          <cell r="A401" t="str">
            <v>黄骅市鑫鹏商贸有限公司</v>
          </cell>
          <cell r="B401">
            <v>0</v>
          </cell>
        </row>
        <row r="402">
          <cell r="A402" t="str">
            <v>黄骅市鑫祺汽车配件有限公司</v>
          </cell>
          <cell r="B402">
            <v>400000</v>
          </cell>
        </row>
        <row r="403">
          <cell r="A403" t="str">
            <v>黄骅市鑫盛物业服务有限公司</v>
          </cell>
          <cell r="B403">
            <v>0</v>
          </cell>
        </row>
        <row r="404">
          <cell r="A404" t="str">
            <v>黄骅市鑫宇五金制品厂</v>
          </cell>
          <cell r="B404">
            <v>0</v>
          </cell>
        </row>
        <row r="405">
          <cell r="A405" t="str">
            <v>黄骅市鑫源五金制品有限公司</v>
          </cell>
          <cell r="B405">
            <v>0</v>
          </cell>
        </row>
        <row r="406">
          <cell r="A406" t="str">
            <v>黄骅市兴朋包装材料有限公司</v>
          </cell>
          <cell r="B406">
            <v>0</v>
          </cell>
        </row>
        <row r="407">
          <cell r="A407" t="str">
            <v>黄骅市兴田弹簧有限公司</v>
          </cell>
          <cell r="B407">
            <v>0</v>
          </cell>
        </row>
        <row r="408">
          <cell r="A408" t="str">
            <v>黄骅市兴玉五金制品有限公司</v>
          </cell>
          <cell r="B408">
            <v>0</v>
          </cell>
        </row>
        <row r="409">
          <cell r="A409" t="str">
            <v>黄骅市亚星玻璃钢有限公司</v>
          </cell>
          <cell r="B409">
            <v>0</v>
          </cell>
        </row>
        <row r="410">
          <cell r="A410" t="str">
            <v>黄骅市亚征汽车配件有限公司</v>
          </cell>
          <cell r="B410">
            <v>50000</v>
          </cell>
        </row>
        <row r="411">
          <cell r="A411" t="str">
            <v>黄骅市亿顺五金制品有限公司</v>
          </cell>
          <cell r="B411">
            <v>0</v>
          </cell>
        </row>
        <row r="412">
          <cell r="A412" t="str">
            <v>黄骅市益成五金门市部</v>
          </cell>
          <cell r="B412">
            <v>0</v>
          </cell>
        </row>
        <row r="413">
          <cell r="A413" t="str">
            <v>黄骅市益丰橡胶制品有限公司</v>
          </cell>
          <cell r="B413">
            <v>0</v>
          </cell>
        </row>
        <row r="414">
          <cell r="A414" t="str">
            <v>黄骅市益海五金制造有限公司</v>
          </cell>
          <cell r="B414">
            <v>0</v>
          </cell>
        </row>
        <row r="415">
          <cell r="A415" t="str">
            <v>黄骅市雍丰塑料制品有限公司</v>
          </cell>
          <cell r="B415">
            <v>400000</v>
          </cell>
        </row>
        <row r="416">
          <cell r="A416" t="str">
            <v>黄骅市友联嘉悦商贸有限公司</v>
          </cell>
          <cell r="B416">
            <v>0</v>
          </cell>
        </row>
        <row r="417">
          <cell r="A417" t="str">
            <v>黄骅市宇丰运输有限公司</v>
          </cell>
          <cell r="B417">
            <v>0</v>
          </cell>
        </row>
        <row r="418">
          <cell r="A418" t="str">
            <v>黄骅市玉明五金模标门市部</v>
          </cell>
          <cell r="B418">
            <v>0</v>
          </cell>
        </row>
        <row r="419">
          <cell r="A419" t="str">
            <v>黄骅市誉焱制衣厂</v>
          </cell>
          <cell r="B419">
            <v>0</v>
          </cell>
        </row>
        <row r="420">
          <cell r="A420" t="str">
            <v>黄骅市元周五金制品有限公司</v>
          </cell>
          <cell r="B420">
            <v>0</v>
          </cell>
        </row>
        <row r="421">
          <cell r="A421" t="str">
            <v>黄骅市月军五金制品厂</v>
          </cell>
          <cell r="B421">
            <v>0</v>
          </cell>
        </row>
        <row r="422">
          <cell r="A422" t="str">
            <v>黄骅市运输总公司华宇汽修厂</v>
          </cell>
          <cell r="B422">
            <v>0</v>
          </cell>
        </row>
        <row r="423">
          <cell r="A423" t="str">
            <v>黄骅市再兴汽车配件有限公司</v>
          </cell>
          <cell r="B423">
            <v>35472.74</v>
          </cell>
        </row>
        <row r="424">
          <cell r="A424" t="str">
            <v>黄骅市泽方模具有限公司</v>
          </cell>
          <cell r="B424">
            <v>0</v>
          </cell>
        </row>
        <row r="425">
          <cell r="A425" t="str">
            <v>黄骅市增鑫五金制品有限公司</v>
          </cell>
          <cell r="B425">
            <v>0</v>
          </cell>
        </row>
        <row r="426">
          <cell r="A426" t="str">
            <v>黄骅市兆展铁艺加工厂</v>
          </cell>
          <cell r="B426">
            <v>0</v>
          </cell>
        </row>
        <row r="427">
          <cell r="A427" t="str">
            <v>黄骅市赵福增运输队</v>
          </cell>
          <cell r="B427">
            <v>0</v>
          </cell>
        </row>
        <row r="428">
          <cell r="A428" t="str">
            <v>黄骅市祯祥金属制品有限责任公司</v>
          </cell>
          <cell r="B428">
            <v>0</v>
          </cell>
        </row>
        <row r="429">
          <cell r="A429" t="str">
            <v>黄骅市振兴汽车灯镜厂</v>
          </cell>
          <cell r="B429">
            <v>0</v>
          </cell>
        </row>
        <row r="430">
          <cell r="A430" t="str">
            <v>黄骅市振兴五金制品厂</v>
          </cell>
          <cell r="B430">
            <v>0</v>
          </cell>
        </row>
        <row r="431">
          <cell r="A431" t="str">
            <v>黄骅市震飞塑机辅机有限公司</v>
          </cell>
          <cell r="B431">
            <v>12110</v>
          </cell>
        </row>
        <row r="432">
          <cell r="A432" t="str">
            <v>黄骅市震宇机动配件有限公司</v>
          </cell>
          <cell r="B432">
            <v>0</v>
          </cell>
        </row>
        <row r="433">
          <cell r="A433" t="str">
            <v>黄骅市正大纺织机械配件厂</v>
          </cell>
          <cell r="B433">
            <v>20000</v>
          </cell>
        </row>
        <row r="434">
          <cell r="A434" t="str">
            <v>黄骅市正发五金机电经销处</v>
          </cell>
          <cell r="B434">
            <v>0</v>
          </cell>
        </row>
        <row r="435">
          <cell r="A435" t="str">
            <v>黄骅市正祥车辆部件有限公司</v>
          </cell>
          <cell r="B435">
            <v>30000</v>
          </cell>
        </row>
        <row r="436">
          <cell r="A436" t="str">
            <v>黄骅市志承车业有限公司</v>
          </cell>
          <cell r="B436">
            <v>0</v>
          </cell>
        </row>
        <row r="437">
          <cell r="A437" t="str">
            <v>黄骅市致远摩托车配件有限公司</v>
          </cell>
          <cell r="B437">
            <v>0</v>
          </cell>
        </row>
        <row r="438">
          <cell r="A438" t="str">
            <v>黄骅市智美办公用品门市部</v>
          </cell>
          <cell r="B438">
            <v>0</v>
          </cell>
        </row>
        <row r="439">
          <cell r="A439" t="str">
            <v>黄骅市中医医院</v>
          </cell>
          <cell r="B439">
            <v>0</v>
          </cell>
        </row>
        <row r="440">
          <cell r="A440" t="str">
            <v>黄骅信誉楼百货集团有限公司黄骅信誉楼商厦</v>
          </cell>
          <cell r="B440">
            <v>0</v>
          </cell>
        </row>
        <row r="441">
          <cell r="A441" t="str">
            <v>吉林省国际仓储运输有限公司</v>
          </cell>
          <cell r="B441">
            <v>0</v>
          </cell>
        </row>
        <row r="442">
          <cell r="A442" t="str">
            <v>吉林省裕隆机电设备零部件有限公司</v>
          </cell>
          <cell r="B442">
            <v>0</v>
          </cell>
        </row>
        <row r="443">
          <cell r="A443" t="str">
            <v>济南广武数控设备有限公司</v>
          </cell>
          <cell r="B443">
            <v>0</v>
          </cell>
        </row>
        <row r="444">
          <cell r="A444" t="str">
            <v>济南恒发一诚聚氨酯有限公司</v>
          </cell>
          <cell r="B444">
            <v>0</v>
          </cell>
        </row>
        <row r="445">
          <cell r="A445" t="str">
            <v>济南时代试金试验机有限公司</v>
          </cell>
          <cell r="B445">
            <v>0</v>
          </cell>
        </row>
        <row r="446">
          <cell r="A446" t="str">
            <v>济南岩安电子科技有限公司</v>
          </cell>
          <cell r="B446">
            <v>0</v>
          </cell>
        </row>
        <row r="447">
          <cell r="A447" t="str">
            <v>冀州市北内汽车座椅有限公司</v>
          </cell>
          <cell r="B447">
            <v>0</v>
          </cell>
        </row>
        <row r="448">
          <cell r="A448" t="str">
            <v>佳化化学（滨州）有限公司</v>
          </cell>
          <cell r="B448">
            <v>0</v>
          </cell>
        </row>
        <row r="449">
          <cell r="A449" t="str">
            <v>嘉兴市南湖区东栅街道嘉环中电子产品经营部</v>
          </cell>
          <cell r="B449">
            <v>0</v>
          </cell>
        </row>
        <row r="450">
          <cell r="A450" t="str">
            <v>嘉兴市松玖机电设备有限公司</v>
          </cell>
          <cell r="B450">
            <v>0</v>
          </cell>
        </row>
        <row r="451">
          <cell r="A451" t="str">
            <v>建生裕科（上海）贸易有限公司</v>
          </cell>
          <cell r="B451">
            <v>0</v>
          </cell>
        </row>
        <row r="452">
          <cell r="A452" t="str">
            <v>江苏艾文德悦达汽车内饰有限公司</v>
          </cell>
          <cell r="B452">
            <v>30000</v>
          </cell>
        </row>
        <row r="453">
          <cell r="A453" t="str">
            <v>江苏力乐汽车部件股份有限公司</v>
          </cell>
          <cell r="B453">
            <v>100000</v>
          </cell>
        </row>
        <row r="454">
          <cell r="A454" t="str">
            <v>江苏申牌万向轮有限公司</v>
          </cell>
          <cell r="B454">
            <v>0</v>
          </cell>
        </row>
        <row r="455">
          <cell r="A455" t="str">
            <v>江苏万金汽车零部件制造有限公司</v>
          </cell>
          <cell r="B455">
            <v>100000</v>
          </cell>
        </row>
        <row r="456">
          <cell r="A456" t="str">
            <v>江苏扬力集团有限公司</v>
          </cell>
          <cell r="B456">
            <v>0</v>
          </cell>
        </row>
        <row r="457">
          <cell r="A457" t="str">
            <v>江苏忠明祥和精工股份有限公司</v>
          </cell>
          <cell r="B457">
            <v>0</v>
          </cell>
        </row>
        <row r="458">
          <cell r="A458" t="str">
            <v>江阴长青工艺品有限公司</v>
          </cell>
          <cell r="B458">
            <v>0</v>
          </cell>
        </row>
        <row r="459">
          <cell r="A459" t="str">
            <v>江阴市诚信模具有限公司</v>
          </cell>
          <cell r="B459">
            <v>0</v>
          </cell>
        </row>
        <row r="460">
          <cell r="A460" t="str">
            <v>江阴市达安汽车零部件有限公司</v>
          </cell>
          <cell r="B460">
            <v>0</v>
          </cell>
        </row>
        <row r="461">
          <cell r="A461" t="str">
            <v>江阴市利剑金刚石工磨具有限公司</v>
          </cell>
          <cell r="B461">
            <v>0</v>
          </cell>
        </row>
        <row r="462">
          <cell r="A462" t="str">
            <v>江阴市信佳科贸有限公司</v>
          </cell>
          <cell r="B462">
            <v>50000</v>
          </cell>
        </row>
        <row r="463">
          <cell r="A463" t="str">
            <v>金丰（中国）机械工业有限公司</v>
          </cell>
          <cell r="B463">
            <v>0</v>
          </cell>
        </row>
        <row r="464">
          <cell r="A464" t="str">
            <v>金世纪电缆集团有限公司</v>
          </cell>
          <cell r="B464">
            <v>0</v>
          </cell>
        </row>
        <row r="465">
          <cell r="A465" t="str">
            <v>景德镇景兴物流有限公司</v>
          </cell>
          <cell r="B465">
            <v>0</v>
          </cell>
        </row>
        <row r="466">
          <cell r="A466" t="str">
            <v>孔令兰</v>
          </cell>
          <cell r="B466">
            <v>0</v>
          </cell>
        </row>
        <row r="467">
          <cell r="A467" t="str">
            <v>旷达汽车饰件系统有限公司</v>
          </cell>
          <cell r="B467">
            <v>0</v>
          </cell>
        </row>
        <row r="468">
          <cell r="A468" t="str">
            <v>旷达汽车饰件有限公司</v>
          </cell>
          <cell r="B468">
            <v>0</v>
          </cell>
        </row>
        <row r="469">
          <cell r="A469" t="str">
            <v>昆山福如斯精密机械有限公司</v>
          </cell>
          <cell r="B469">
            <v>0</v>
          </cell>
        </row>
        <row r="470">
          <cell r="A470" t="str">
            <v>昆山鸿毅达精密模具有限公司</v>
          </cell>
          <cell r="B470">
            <v>0</v>
          </cell>
        </row>
        <row r="471">
          <cell r="A471" t="str">
            <v>昆山瑞翔自动化科技有限公司</v>
          </cell>
          <cell r="B471">
            <v>0</v>
          </cell>
        </row>
        <row r="472">
          <cell r="A472" t="str">
            <v>昆山市永盛制线有限公司</v>
          </cell>
          <cell r="B472">
            <v>0</v>
          </cell>
        </row>
        <row r="473">
          <cell r="A473" t="str">
            <v>昆山市玉山镇钛晶邦机电商行</v>
          </cell>
          <cell r="B473">
            <v>0</v>
          </cell>
        </row>
        <row r="474">
          <cell r="A474" t="str">
            <v>昆山维尔利环保科技有限公司</v>
          </cell>
          <cell r="B474">
            <v>50000</v>
          </cell>
        </row>
        <row r="475">
          <cell r="A475" t="str">
            <v>莱茵贝格电梯（北京）有限公司第六分公司</v>
          </cell>
          <cell r="B475">
            <v>0</v>
          </cell>
        </row>
        <row r="476">
          <cell r="A476" t="str">
            <v>廊坊华文机电设备有限公司</v>
          </cell>
          <cell r="B476">
            <v>0</v>
          </cell>
        </row>
        <row r="477">
          <cell r="A477" t="str">
            <v>廊坊开发区浩泰机械制造有限公司</v>
          </cell>
          <cell r="B477">
            <v>0</v>
          </cell>
        </row>
        <row r="478">
          <cell r="A478" t="str">
            <v>廊坊市烁鑫汽车配件有限公司</v>
          </cell>
          <cell r="B478">
            <v>50000</v>
          </cell>
        </row>
        <row r="479">
          <cell r="A479" t="str">
            <v>廊坊一凡水处理工程有限公司</v>
          </cell>
          <cell r="B479">
            <v>0</v>
          </cell>
        </row>
        <row r="480">
          <cell r="A480" t="str">
            <v>廊坊中德汽车座椅制造有限公司</v>
          </cell>
          <cell r="B480">
            <v>0</v>
          </cell>
        </row>
        <row r="481">
          <cell r="A481" t="str">
            <v>李春林</v>
          </cell>
          <cell r="B481">
            <v>0</v>
          </cell>
        </row>
        <row r="482">
          <cell r="A482" t="str">
            <v>溧阳市鑫岩车辆配件厂</v>
          </cell>
          <cell r="B482">
            <v>0</v>
          </cell>
        </row>
        <row r="483">
          <cell r="A483" t="str">
            <v>溧阳万金汽车配件有限公司</v>
          </cell>
          <cell r="B483">
            <v>0</v>
          </cell>
        </row>
        <row r="484">
          <cell r="A484" t="str">
            <v>溧阳鑫岩汽车零部件有限公司</v>
          </cell>
          <cell r="B484">
            <v>0</v>
          </cell>
        </row>
        <row r="485">
          <cell r="A485" t="str">
            <v>辽宁德威纤维制品有限公司</v>
          </cell>
          <cell r="B485">
            <v>0</v>
          </cell>
        </row>
        <row r="486">
          <cell r="A486" t="str">
            <v>辽源市佳林造革有限责任公司</v>
          </cell>
          <cell r="B486">
            <v>0</v>
          </cell>
        </row>
        <row r="487">
          <cell r="A487" t="str">
            <v>刘东德</v>
          </cell>
          <cell r="B487">
            <v>0</v>
          </cell>
        </row>
        <row r="488">
          <cell r="A488" t="str">
            <v>刘金亮</v>
          </cell>
          <cell r="B488">
            <v>0</v>
          </cell>
        </row>
        <row r="489">
          <cell r="A489" t="str">
            <v>刘荣辉</v>
          </cell>
          <cell r="B489">
            <v>0</v>
          </cell>
        </row>
        <row r="490">
          <cell r="A490" t="str">
            <v>洛阳宏润塑业有限公司</v>
          </cell>
          <cell r="B490">
            <v>175340</v>
          </cell>
        </row>
        <row r="491">
          <cell r="A491" t="str">
            <v>马英强</v>
          </cell>
          <cell r="B491">
            <v>0</v>
          </cell>
        </row>
        <row r="492">
          <cell r="A492" t="str">
            <v>马志云</v>
          </cell>
          <cell r="B492">
            <v>0</v>
          </cell>
        </row>
        <row r="493">
          <cell r="A493" t="str">
            <v>美视伊汽车镜控（苏州）有限公司</v>
          </cell>
          <cell r="B493">
            <v>0</v>
          </cell>
        </row>
        <row r="494">
          <cell r="A494" t="str">
            <v>孟村回族自治县旭日汽车配件厂</v>
          </cell>
          <cell r="B494">
            <v>0</v>
          </cell>
        </row>
        <row r="495">
          <cell r="A495" t="str">
            <v>米思米（中国）精密机械贸易有限公司</v>
          </cell>
          <cell r="B495">
            <v>0</v>
          </cell>
        </row>
        <row r="496">
          <cell r="A496" t="str">
            <v>密佳达（北京）塑料机械设备有限公司</v>
          </cell>
          <cell r="B496">
            <v>0</v>
          </cell>
        </row>
        <row r="497">
          <cell r="A497" t="str">
            <v>密山市龙兴制革有限公司</v>
          </cell>
          <cell r="B497">
            <v>0</v>
          </cell>
        </row>
        <row r="498">
          <cell r="A498" t="str">
            <v>明邦（天津）科技有限公司</v>
          </cell>
          <cell r="B498">
            <v>0</v>
          </cell>
        </row>
        <row r="499">
          <cell r="A499" t="str">
            <v>铭涛五金(苏州)有限公司</v>
          </cell>
          <cell r="B499">
            <v>0</v>
          </cell>
        </row>
        <row r="500">
          <cell r="A500" t="str">
            <v>慕斯汽车后视镜系统（无锡）有限公司</v>
          </cell>
          <cell r="B500">
            <v>100000</v>
          </cell>
        </row>
        <row r="501">
          <cell r="A501" t="str">
            <v>纳拓润滑技术（上海）有限公司</v>
          </cell>
          <cell r="B501">
            <v>0</v>
          </cell>
        </row>
        <row r="502">
          <cell r="A502" t="str">
            <v>纳新塑化（上海）有限公司</v>
          </cell>
          <cell r="B502">
            <v>30000</v>
          </cell>
        </row>
        <row r="503">
          <cell r="A503" t="str">
            <v>南方中金环境股份有限公司</v>
          </cell>
          <cell r="B503">
            <v>0</v>
          </cell>
        </row>
        <row r="504">
          <cell r="A504" t="str">
            <v>南京聚隆科技股份有限公司</v>
          </cell>
          <cell r="B504">
            <v>0</v>
          </cell>
        </row>
        <row r="505">
          <cell r="A505" t="str">
            <v>南京磐纳科技发展有限公司</v>
          </cell>
          <cell r="B505">
            <v>0</v>
          </cell>
        </row>
        <row r="506">
          <cell r="A506" t="str">
            <v>南皮国名冲压件厂</v>
          </cell>
          <cell r="B506">
            <v>9209.69</v>
          </cell>
        </row>
        <row r="507">
          <cell r="A507" t="str">
            <v>南皮县聚金五金制品有限公司</v>
          </cell>
          <cell r="B507">
            <v>0</v>
          </cell>
        </row>
        <row r="508">
          <cell r="A508" t="str">
            <v>南皮县利辉五金接插件厂</v>
          </cell>
          <cell r="B508">
            <v>0</v>
          </cell>
        </row>
        <row r="509">
          <cell r="A509" t="str">
            <v>南皮县明光五金机电有限公司</v>
          </cell>
          <cell r="B509">
            <v>0</v>
          </cell>
        </row>
        <row r="510">
          <cell r="A510" t="str">
            <v>南皮县泰航五金制造有限公司</v>
          </cell>
          <cell r="B510">
            <v>0</v>
          </cell>
        </row>
        <row r="511">
          <cell r="A511" t="str">
            <v>南皮县望生金属材料有限公司</v>
          </cell>
          <cell r="B511">
            <v>0</v>
          </cell>
        </row>
        <row r="512">
          <cell r="A512" t="str">
            <v>南通南亚汽车新材料有限公司</v>
          </cell>
          <cell r="B512">
            <v>0</v>
          </cell>
        </row>
        <row r="513">
          <cell r="A513" t="str">
            <v>宁波精成车业有限公司</v>
          </cell>
          <cell r="B513">
            <v>200000</v>
          </cell>
        </row>
        <row r="514">
          <cell r="A514" t="str">
            <v>宁波瑞元模塑有限公司</v>
          </cell>
          <cell r="B514">
            <v>0</v>
          </cell>
        </row>
        <row r="515">
          <cell r="A515" t="str">
            <v>宁波正耀汽车电器有限公司</v>
          </cell>
          <cell r="B515">
            <v>0</v>
          </cell>
        </row>
        <row r="516">
          <cell r="A516" t="str">
            <v>派博乐安全设备有限公司</v>
          </cell>
          <cell r="B516">
            <v>0</v>
          </cell>
        </row>
        <row r="517">
          <cell r="A517" t="str">
            <v>濮阳市汉克斯机械有限公司</v>
          </cell>
          <cell r="B517">
            <v>0</v>
          </cell>
        </row>
        <row r="518">
          <cell r="A518" t="str">
            <v>普罗名特贸易（大连）有限公司</v>
          </cell>
          <cell r="B518">
            <v>0</v>
          </cell>
        </row>
        <row r="519">
          <cell r="A519" t="str">
            <v>秦皇岛高鹏泡沫塑料有限公司</v>
          </cell>
          <cell r="B519">
            <v>0</v>
          </cell>
        </row>
        <row r="520">
          <cell r="A520" t="str">
            <v>青岛澳海源国际贸易有限公司</v>
          </cell>
          <cell r="B520">
            <v>0</v>
          </cell>
        </row>
        <row r="521">
          <cell r="A521" t="str">
            <v>青岛福基纺织有限公司</v>
          </cell>
          <cell r="B521">
            <v>992500</v>
          </cell>
        </row>
        <row r="522">
          <cell r="A522" t="str">
            <v>青岛银泰洁净设备有限公司</v>
          </cell>
          <cell r="B522">
            <v>0</v>
          </cell>
        </row>
        <row r="523">
          <cell r="A523" t="str">
            <v>青县永胜焊接材料厂</v>
          </cell>
          <cell r="B523">
            <v>0</v>
          </cell>
        </row>
        <row r="524">
          <cell r="A524" t="str">
            <v>青州市万向机械有限公司</v>
          </cell>
          <cell r="B524">
            <v>0</v>
          </cell>
        </row>
        <row r="525">
          <cell r="A525" t="str">
            <v>曲阜陆航座椅辅料有限公司</v>
          </cell>
          <cell r="B525">
            <v>0</v>
          </cell>
        </row>
        <row r="526">
          <cell r="A526" t="str">
            <v>人民电器集团黄骅销售有限公司</v>
          </cell>
          <cell r="B526">
            <v>0</v>
          </cell>
        </row>
        <row r="527">
          <cell r="A527" t="str">
            <v>任丘市焊材厂</v>
          </cell>
          <cell r="B527">
            <v>0</v>
          </cell>
        </row>
        <row r="528">
          <cell r="A528" t="str">
            <v>任丘市力洋压缩机制造有限公司</v>
          </cell>
          <cell r="B528">
            <v>0</v>
          </cell>
        </row>
        <row r="529">
          <cell r="A529" t="str">
            <v>三门县伟狄交通设施厂</v>
          </cell>
          <cell r="B529">
            <v>0</v>
          </cell>
        </row>
        <row r="530">
          <cell r="A530" t="str">
            <v>森织汽车内饰（武汉）有限公司</v>
          </cell>
          <cell r="B530">
            <v>0</v>
          </cell>
        </row>
        <row r="531">
          <cell r="A531" t="str">
            <v>山东东塑机械制造有限公司</v>
          </cell>
          <cell r="B531">
            <v>0</v>
          </cell>
        </row>
        <row r="532">
          <cell r="A532" t="str">
            <v>山东丰泽源皮革有限公司</v>
          </cell>
          <cell r="B532">
            <v>0</v>
          </cell>
        </row>
        <row r="533">
          <cell r="A533" t="str">
            <v>山东格瑞蓝热能设备有限公司</v>
          </cell>
          <cell r="B533">
            <v>0</v>
          </cell>
        </row>
        <row r="534">
          <cell r="A534" t="str">
            <v>山东金达汽车部件制造股份有限公司</v>
          </cell>
          <cell r="B534">
            <v>1050000</v>
          </cell>
        </row>
        <row r="535">
          <cell r="A535" t="str">
            <v>山东力丰重型机床有限公司</v>
          </cell>
          <cell r="B535">
            <v>0</v>
          </cell>
        </row>
        <row r="536">
          <cell r="A536" t="str">
            <v>山东隆华新材料股份有限公司</v>
          </cell>
          <cell r="B536">
            <v>0</v>
          </cell>
        </row>
        <row r="537">
          <cell r="A537" t="str">
            <v>山东浅海电气有限公司</v>
          </cell>
          <cell r="B537">
            <v>0</v>
          </cell>
        </row>
        <row r="538">
          <cell r="A538" t="str">
            <v>山东省禹城市阳光化工有限公司</v>
          </cell>
          <cell r="B538">
            <v>0</v>
          </cell>
        </row>
        <row r="539">
          <cell r="A539" t="str">
            <v>山东施密特热能设备有限公司</v>
          </cell>
          <cell r="B539">
            <v>0</v>
          </cell>
        </row>
        <row r="540">
          <cell r="A540" t="str">
            <v>山东泰鹏新材料有限公司</v>
          </cell>
          <cell r="B540">
            <v>0</v>
          </cell>
        </row>
        <row r="541">
          <cell r="A541" t="str">
            <v>商玉才</v>
          </cell>
          <cell r="B541">
            <v>0</v>
          </cell>
        </row>
        <row r="542">
          <cell r="A542" t="str">
            <v>上工富怡智能制造（天津）有限公司</v>
          </cell>
          <cell r="B542">
            <v>0</v>
          </cell>
        </row>
        <row r="543">
          <cell r="A543" t="str">
            <v>上海芭仲实业发展有限公司</v>
          </cell>
          <cell r="B543">
            <v>0</v>
          </cell>
        </row>
        <row r="544">
          <cell r="A544" t="str">
            <v>上海奔德汽车零部件有限公司</v>
          </cell>
          <cell r="B544">
            <v>0</v>
          </cell>
        </row>
        <row r="545">
          <cell r="A545" t="str">
            <v>上海边锋实业有限公司</v>
          </cell>
          <cell r="B545">
            <v>0</v>
          </cell>
        </row>
        <row r="546">
          <cell r="A546" t="str">
            <v>上海畅聊网络科技有限公司</v>
          </cell>
          <cell r="B546">
            <v>0</v>
          </cell>
        </row>
        <row r="547">
          <cell r="A547" t="str">
            <v>上海导全自动化设备有限公司</v>
          </cell>
          <cell r="B547">
            <v>0</v>
          </cell>
        </row>
        <row r="548">
          <cell r="A548" t="str">
            <v>上海工博商贸有限公司</v>
          </cell>
          <cell r="B548">
            <v>0</v>
          </cell>
        </row>
        <row r="549">
          <cell r="A549" t="str">
            <v>上海购福电子商务有限公司</v>
          </cell>
          <cell r="B549">
            <v>0</v>
          </cell>
        </row>
        <row r="550">
          <cell r="A550" t="str">
            <v>上海昊诚泵阀有限公司</v>
          </cell>
          <cell r="B550">
            <v>0</v>
          </cell>
        </row>
        <row r="551">
          <cell r="A551" t="str">
            <v>上海和鹰机电设备有限公司</v>
          </cell>
          <cell r="B551">
            <v>0</v>
          </cell>
        </row>
        <row r="552">
          <cell r="A552" t="str">
            <v>上海亨斯迈聚氨酯有限公司</v>
          </cell>
          <cell r="B552">
            <v>0</v>
          </cell>
        </row>
        <row r="553">
          <cell r="A553" t="str">
            <v>上海沪熙商贸有限公司</v>
          </cell>
          <cell r="B553">
            <v>14200</v>
          </cell>
        </row>
        <row r="554">
          <cell r="A554" t="str">
            <v>上海怀德五金机电有限公司</v>
          </cell>
          <cell r="B554">
            <v>0</v>
          </cell>
        </row>
        <row r="555">
          <cell r="A555" t="str">
            <v>上海金力泰化工股份有限公司</v>
          </cell>
          <cell r="B555">
            <v>0</v>
          </cell>
        </row>
        <row r="556">
          <cell r="A556" t="str">
            <v>上海克来机电自动化工程有限公司</v>
          </cell>
          <cell r="B556">
            <v>0</v>
          </cell>
        </row>
        <row r="557">
          <cell r="A557" t="str">
            <v>上海利用锁具有限公司</v>
          </cell>
          <cell r="B557">
            <v>0</v>
          </cell>
        </row>
        <row r="558">
          <cell r="A558" t="str">
            <v>上海名华悬挂输送机有限公司</v>
          </cell>
          <cell r="B558">
            <v>0</v>
          </cell>
        </row>
        <row r="559">
          <cell r="A559" t="str">
            <v>上海明芳汽车零件有限公司</v>
          </cell>
          <cell r="B559">
            <v>50000</v>
          </cell>
        </row>
        <row r="560">
          <cell r="A560" t="str">
            <v>上海腾基机械设备有限公司</v>
          </cell>
          <cell r="B560">
            <v>0</v>
          </cell>
        </row>
        <row r="561">
          <cell r="A561" t="str">
            <v>上海旭伽贸易有限公司</v>
          </cell>
          <cell r="B561">
            <v>0</v>
          </cell>
        </row>
        <row r="562">
          <cell r="A562" t="str">
            <v>上海研润光机科技有限公司</v>
          </cell>
          <cell r="B562">
            <v>0</v>
          </cell>
        </row>
        <row r="563">
          <cell r="A563" t="str">
            <v>上海奕盛信息技术有限公司</v>
          </cell>
          <cell r="B563">
            <v>0</v>
          </cell>
        </row>
        <row r="564">
          <cell r="A564" t="str">
            <v>上海优诺特实业股份有限公司</v>
          </cell>
          <cell r="B564">
            <v>0</v>
          </cell>
        </row>
        <row r="565">
          <cell r="A565" t="str">
            <v>上海誉星电子有限公司</v>
          </cell>
          <cell r="B565">
            <v>0</v>
          </cell>
        </row>
        <row r="566">
          <cell r="A566" t="str">
            <v>上海绽奇工贸有限公司</v>
          </cell>
          <cell r="B566">
            <v>0</v>
          </cell>
        </row>
        <row r="567">
          <cell r="A567" t="str">
            <v>深圳市固特灵胶业有限公司</v>
          </cell>
          <cell r="B567">
            <v>0</v>
          </cell>
        </row>
        <row r="568">
          <cell r="A568" t="str">
            <v>深圳市宏升风机设备有限公司</v>
          </cell>
          <cell r="B568">
            <v>0</v>
          </cell>
        </row>
        <row r="569">
          <cell r="A569" t="str">
            <v>深圳市互成自动化设备有限公司</v>
          </cell>
          <cell r="B569">
            <v>0</v>
          </cell>
        </row>
        <row r="570">
          <cell r="A570" t="str">
            <v>深圳市华亚数控机床有限公司</v>
          </cell>
          <cell r="B570">
            <v>0</v>
          </cell>
        </row>
        <row r="571">
          <cell r="A571" t="str">
            <v>深圳市立恒视觉技术有限公司</v>
          </cell>
          <cell r="B571">
            <v>0</v>
          </cell>
        </row>
        <row r="572">
          <cell r="A572" t="str">
            <v>深圳市森瑞普电子有限公司</v>
          </cell>
          <cell r="B572">
            <v>0</v>
          </cell>
        </row>
        <row r="573">
          <cell r="A573" t="str">
            <v>深圳市顺镒五金机电有限公司</v>
          </cell>
          <cell r="B573">
            <v>0</v>
          </cell>
        </row>
        <row r="574">
          <cell r="A574" t="str">
            <v>深圳市万泉河科技有限公司</v>
          </cell>
          <cell r="B574">
            <v>0</v>
          </cell>
        </row>
        <row r="575">
          <cell r="A575" t="str">
            <v>深州市安广顺机械配件有限公司</v>
          </cell>
          <cell r="B575">
            <v>0</v>
          </cell>
        </row>
        <row r="576">
          <cell r="A576" t="str">
            <v>深州市华星塑胶制品有限公司</v>
          </cell>
          <cell r="B576">
            <v>0</v>
          </cell>
        </row>
        <row r="577">
          <cell r="A577" t="str">
            <v>深州市卓伦橡塑磨具有限公司</v>
          </cell>
          <cell r="B577">
            <v>100000</v>
          </cell>
        </row>
        <row r="578">
          <cell r="A578" t="str">
            <v>沈阳市鼎华机械设备制造厂</v>
          </cell>
          <cell r="B578">
            <v>0</v>
          </cell>
        </row>
        <row r="579">
          <cell r="A579" t="str">
            <v>石家庄霍克叉车设备有限公司</v>
          </cell>
          <cell r="B579">
            <v>0</v>
          </cell>
        </row>
        <row r="580">
          <cell r="A580" t="str">
            <v>石家庄金盾安全技术工程有限公司沧州分公司</v>
          </cell>
          <cell r="B580">
            <v>0</v>
          </cell>
        </row>
        <row r="581">
          <cell r="A581" t="str">
            <v>石家庄跨越物流有限公司</v>
          </cell>
          <cell r="B581">
            <v>0</v>
          </cell>
        </row>
        <row r="582">
          <cell r="A582" t="str">
            <v>石家庄松樾机械设备销售有限公司</v>
          </cell>
          <cell r="B582">
            <v>0</v>
          </cell>
        </row>
        <row r="583">
          <cell r="A583" t="str">
            <v>市场采购</v>
          </cell>
          <cell r="B583">
            <v>0</v>
          </cell>
        </row>
        <row r="584">
          <cell r="A584" t="str">
            <v>沭阳县嘉福商贸中心</v>
          </cell>
          <cell r="B584">
            <v>0</v>
          </cell>
        </row>
        <row r="585">
          <cell r="A585" t="str">
            <v>苏瑞电子设备（北京）有限公司</v>
          </cell>
          <cell r="B585">
            <v>0</v>
          </cell>
        </row>
        <row r="586">
          <cell r="A586" t="str">
            <v>苏州高登威科技股份有限公司</v>
          </cell>
          <cell r="B586">
            <v>0</v>
          </cell>
        </row>
        <row r="587">
          <cell r="A587" t="str">
            <v>苏州高新区旭达输送机械有限公司</v>
          </cell>
          <cell r="B587">
            <v>0</v>
          </cell>
        </row>
        <row r="588">
          <cell r="A588" t="str">
            <v>苏州格力富机电科技有限公司</v>
          </cell>
          <cell r="B588">
            <v>0</v>
          </cell>
        </row>
        <row r="589">
          <cell r="A589" t="str">
            <v>苏州华尔普机械有限公司</v>
          </cell>
          <cell r="B589">
            <v>0</v>
          </cell>
        </row>
        <row r="590">
          <cell r="A590" t="str">
            <v>苏州瑞尔福精密模具有限公司</v>
          </cell>
          <cell r="B590">
            <v>0</v>
          </cell>
        </row>
        <row r="591">
          <cell r="A591" t="str">
            <v>苏州市荣威模具有限公司</v>
          </cell>
          <cell r="B591">
            <v>0</v>
          </cell>
        </row>
        <row r="592">
          <cell r="A592" t="str">
            <v>苏州泰克优自动化科技有限公司</v>
          </cell>
          <cell r="B592">
            <v>0</v>
          </cell>
        </row>
        <row r="593">
          <cell r="A593" t="str">
            <v>苏州耀腾光电有限公司</v>
          </cell>
          <cell r="B593">
            <v>20000</v>
          </cell>
        </row>
        <row r="594">
          <cell r="A594" t="str">
            <v>苏州智华汽车电子有限公司</v>
          </cell>
          <cell r="B594">
            <v>0</v>
          </cell>
        </row>
        <row r="595">
          <cell r="A595" t="str">
            <v>宿迁京狗电子商务有限公司</v>
          </cell>
          <cell r="B595">
            <v>0</v>
          </cell>
        </row>
        <row r="596">
          <cell r="A596" t="str">
            <v>塑宝环保机械（太仓）有限公司</v>
          </cell>
          <cell r="B596">
            <v>0</v>
          </cell>
        </row>
        <row r="597">
          <cell r="A597" t="str">
            <v>泰州市罡阳龙宇机械厂</v>
          </cell>
          <cell r="B597">
            <v>0</v>
          </cell>
        </row>
        <row r="598">
          <cell r="A598" t="str">
            <v>唐山京联制线有限公司</v>
          </cell>
          <cell r="B598">
            <v>0</v>
          </cell>
        </row>
        <row r="599">
          <cell r="A599" t="str">
            <v>唐山市丰润区报喜坨扁钢厂（普通合伙）</v>
          </cell>
          <cell r="B599">
            <v>0</v>
          </cell>
        </row>
        <row r="600">
          <cell r="A600" t="str">
            <v>唐山松下产业机器有限公司</v>
          </cell>
          <cell r="B600">
            <v>0</v>
          </cell>
        </row>
        <row r="601">
          <cell r="A601" t="str">
            <v>唐兴压缩技术（昆山）有限公司</v>
          </cell>
          <cell r="B601">
            <v>0</v>
          </cell>
        </row>
        <row r="602">
          <cell r="A602" t="str">
            <v>天津安美润滑科技有限公司</v>
          </cell>
          <cell r="B602">
            <v>0</v>
          </cell>
        </row>
        <row r="603">
          <cell r="A603" t="str">
            <v>天津澳晨科技有限公司</v>
          </cell>
          <cell r="B603">
            <v>0</v>
          </cell>
        </row>
        <row r="604">
          <cell r="A604" t="str">
            <v>天津宝盈电脑机械有限公司</v>
          </cell>
          <cell r="B604">
            <v>0</v>
          </cell>
        </row>
        <row r="605">
          <cell r="A605" t="str">
            <v>天津北方合力叉车有限公司石家庄分公司</v>
          </cell>
          <cell r="B605">
            <v>0</v>
          </cell>
        </row>
        <row r="606">
          <cell r="A606" t="str">
            <v>天津冠崴精密机械有限公司</v>
          </cell>
          <cell r="B606">
            <v>0</v>
          </cell>
        </row>
        <row r="607">
          <cell r="A607" t="str">
            <v>天津恒昌达绝缘材料有限公司</v>
          </cell>
          <cell r="B607">
            <v>0</v>
          </cell>
        </row>
        <row r="608">
          <cell r="A608" t="str">
            <v>天津华钢投资发展有限公司</v>
          </cell>
          <cell r="B608">
            <v>0</v>
          </cell>
        </row>
        <row r="609">
          <cell r="A609" t="str">
            <v>天津华兰文鑫文化用品商贸有限公司</v>
          </cell>
          <cell r="B609">
            <v>0</v>
          </cell>
        </row>
        <row r="610">
          <cell r="A610" t="str">
            <v>天津级进精工科技有限公司</v>
          </cell>
          <cell r="B610">
            <v>0</v>
          </cell>
        </row>
        <row r="611">
          <cell r="A611" t="str">
            <v>天津金发新材料有限公司</v>
          </cell>
          <cell r="B611">
            <v>0</v>
          </cell>
        </row>
        <row r="612">
          <cell r="A612" t="str">
            <v>天津精美特表面技术有限公司</v>
          </cell>
          <cell r="B612">
            <v>500000</v>
          </cell>
        </row>
        <row r="613">
          <cell r="A613" t="str">
            <v>天津景宝田金属材料贸易有限公司</v>
          </cell>
          <cell r="B613">
            <v>0</v>
          </cell>
        </row>
        <row r="614">
          <cell r="A614" t="str">
            <v>天津开山金属模具科技有限公司</v>
          </cell>
          <cell r="B614">
            <v>0</v>
          </cell>
        </row>
        <row r="615">
          <cell r="A615" t="str">
            <v>天津科特迪涂装设备有限公司</v>
          </cell>
          <cell r="B615">
            <v>0</v>
          </cell>
        </row>
        <row r="616">
          <cell r="A616" t="str">
            <v>天津利迪科技发展有限公司</v>
          </cell>
          <cell r="B616">
            <v>0</v>
          </cell>
        </row>
        <row r="617">
          <cell r="A617" t="str">
            <v>天津联一劳务服务有限公司</v>
          </cell>
          <cell r="B617">
            <v>0</v>
          </cell>
        </row>
        <row r="618">
          <cell r="A618" t="str">
            <v>天津尼嘉斯机械设备销售有限公司</v>
          </cell>
          <cell r="B618">
            <v>0</v>
          </cell>
        </row>
        <row r="619">
          <cell r="A619" t="str">
            <v>天津欧尔派斯环保科技发展有限公司</v>
          </cell>
          <cell r="B619">
            <v>100000</v>
          </cell>
        </row>
        <row r="620">
          <cell r="A620" t="str">
            <v>天津霹雳马商贸有限公司</v>
          </cell>
          <cell r="B620">
            <v>0</v>
          </cell>
        </row>
        <row r="621">
          <cell r="A621" t="str">
            <v>天津市奥特威德焊接技术有限公司</v>
          </cell>
          <cell r="B621">
            <v>0</v>
          </cell>
        </row>
        <row r="622">
          <cell r="A622" t="str">
            <v>天津市佰盟科技发展有限公司</v>
          </cell>
          <cell r="B622">
            <v>0</v>
          </cell>
        </row>
        <row r="623">
          <cell r="A623" t="str">
            <v>天津市柏韦特润滑油脂有限公司</v>
          </cell>
          <cell r="B623">
            <v>0</v>
          </cell>
        </row>
        <row r="624">
          <cell r="A624" t="str">
            <v>天津市宝驰汽车部件有限公司</v>
          </cell>
          <cell r="B624">
            <v>0</v>
          </cell>
        </row>
        <row r="625">
          <cell r="A625" t="str">
            <v>天津市宝信达工贸有限公司</v>
          </cell>
          <cell r="B625">
            <v>0</v>
          </cell>
        </row>
        <row r="626">
          <cell r="A626" t="str">
            <v>天津市滨达五金交电有限公司</v>
          </cell>
          <cell r="B626">
            <v>0</v>
          </cell>
        </row>
        <row r="627">
          <cell r="A627" t="str">
            <v>天津市大港区宏达五金冲压厂（刘炳淮）</v>
          </cell>
          <cell r="B627">
            <v>0</v>
          </cell>
        </row>
        <row r="628">
          <cell r="A628" t="str">
            <v>天津市富安捷泡沫塑料制品有限公司</v>
          </cell>
          <cell r="B628">
            <v>0</v>
          </cell>
        </row>
        <row r="629">
          <cell r="A629" t="str">
            <v>天津市金晶气体压缩机制造有限公司</v>
          </cell>
          <cell r="B629">
            <v>0</v>
          </cell>
        </row>
        <row r="630">
          <cell r="A630" t="str">
            <v>天津市津荣兴钢铁贸易有限公司</v>
          </cell>
          <cell r="B630">
            <v>0</v>
          </cell>
        </row>
        <row r="631">
          <cell r="A631" t="str">
            <v>天津市科利达塑料制品有限公司</v>
          </cell>
          <cell r="B631">
            <v>0</v>
          </cell>
        </row>
        <row r="632">
          <cell r="A632" t="str">
            <v>天津市旷达汽车织物有限公司</v>
          </cell>
          <cell r="B632">
            <v>0</v>
          </cell>
        </row>
        <row r="633">
          <cell r="A633" t="str">
            <v>天津市鹏升汽车部件有限公司</v>
          </cell>
          <cell r="B633">
            <v>1344000</v>
          </cell>
        </row>
        <row r="634">
          <cell r="A634" t="str">
            <v>天津市平江工贸有限公司</v>
          </cell>
          <cell r="B634">
            <v>0</v>
          </cell>
        </row>
        <row r="635">
          <cell r="A635" t="str">
            <v>天津市双得利金属制品有限公司</v>
          </cell>
          <cell r="B635">
            <v>0</v>
          </cell>
        </row>
        <row r="636">
          <cell r="A636" t="str">
            <v>天津市腾达宇恒科技有限公司</v>
          </cell>
          <cell r="B636">
            <v>0</v>
          </cell>
        </row>
        <row r="637">
          <cell r="A637" t="str">
            <v>天津市天龙得冷成型部件有限公司</v>
          </cell>
          <cell r="B637">
            <v>0</v>
          </cell>
        </row>
        <row r="638">
          <cell r="A638" t="str">
            <v>天津市天一科技有限公司</v>
          </cell>
          <cell r="B638">
            <v>0</v>
          </cell>
        </row>
        <row r="639">
          <cell r="A639" t="str">
            <v>天津市先瑞科技有限公司</v>
          </cell>
          <cell r="B639">
            <v>0</v>
          </cell>
        </row>
        <row r="640">
          <cell r="A640" t="str">
            <v>天津市远丰化工产品贸易有限公司</v>
          </cell>
          <cell r="B640">
            <v>344000</v>
          </cell>
        </row>
        <row r="641">
          <cell r="A641" t="str">
            <v>天津思锐自动化技术有限公司</v>
          </cell>
          <cell r="B641">
            <v>0</v>
          </cell>
        </row>
        <row r="642">
          <cell r="A642" t="str">
            <v>天津速凯科技发展有限公司</v>
          </cell>
          <cell r="B642">
            <v>0</v>
          </cell>
        </row>
        <row r="643">
          <cell r="A643" t="str">
            <v>天津万塑新材料科技有限公司</v>
          </cell>
          <cell r="B643">
            <v>0</v>
          </cell>
        </row>
        <row r="644">
          <cell r="A644" t="str">
            <v>天津祥顺科技发展有限公司沧州分公司</v>
          </cell>
          <cell r="B644">
            <v>0</v>
          </cell>
        </row>
        <row r="645">
          <cell r="A645" t="str">
            <v>天津鑫强达工贸有限公司</v>
          </cell>
          <cell r="B645">
            <v>0</v>
          </cell>
        </row>
        <row r="646">
          <cell r="A646" t="str">
            <v>天津亚铁商贸有限公司</v>
          </cell>
          <cell r="B646">
            <v>200000</v>
          </cell>
        </row>
        <row r="647">
          <cell r="A647" t="str">
            <v>天津一番荣科技有限公司</v>
          </cell>
          <cell r="B647">
            <v>0</v>
          </cell>
        </row>
        <row r="648">
          <cell r="A648" t="str">
            <v>天津优普达特科技有限公司</v>
          </cell>
          <cell r="B648">
            <v>0</v>
          </cell>
        </row>
        <row r="649">
          <cell r="A649" t="str">
            <v>天津舟洲劳务派遣有限公司</v>
          </cell>
          <cell r="B649">
            <v>0</v>
          </cell>
        </row>
        <row r="650">
          <cell r="A650" t="str">
            <v>天津洲海科技发展有限公司</v>
          </cell>
          <cell r="B650">
            <v>0</v>
          </cell>
        </row>
        <row r="651">
          <cell r="A651" t="str">
            <v>天津卓灿商贸有限公司</v>
          </cell>
          <cell r="B651">
            <v>0</v>
          </cell>
        </row>
        <row r="652">
          <cell r="A652" t="str">
            <v>万华化学（北京）有限公司</v>
          </cell>
          <cell r="B652">
            <v>0</v>
          </cell>
        </row>
        <row r="653">
          <cell r="A653" t="str">
            <v>万华化学（烟台）销售有限公司</v>
          </cell>
          <cell r="B653">
            <v>600000</v>
          </cell>
        </row>
        <row r="654">
          <cell r="A654" t="str">
            <v>王景辉</v>
          </cell>
          <cell r="B654">
            <v>0</v>
          </cell>
        </row>
        <row r="655">
          <cell r="A655" t="str">
            <v>王连营</v>
          </cell>
          <cell r="B655">
            <v>0</v>
          </cell>
        </row>
        <row r="656">
          <cell r="A656" t="str">
            <v>网银在线（北京）科技有限公司客户备付金</v>
          </cell>
          <cell r="B656">
            <v>0</v>
          </cell>
        </row>
        <row r="657">
          <cell r="A657" t="str">
            <v>威县永盛汽车配件制造有限公司</v>
          </cell>
          <cell r="B657">
            <v>0</v>
          </cell>
        </row>
        <row r="658">
          <cell r="A658" t="str">
            <v>潍坊光华荣昌汽车技术有限公司</v>
          </cell>
          <cell r="B658">
            <v>2940000</v>
          </cell>
        </row>
        <row r="659">
          <cell r="A659" t="str">
            <v>温州市瓯海茶山同悦海绵制品厂</v>
          </cell>
          <cell r="B659">
            <v>0</v>
          </cell>
        </row>
        <row r="660">
          <cell r="A660" t="str">
            <v>温州万福机电有限公司</v>
          </cell>
          <cell r="B660">
            <v>20000</v>
          </cell>
        </row>
        <row r="661">
          <cell r="A661" t="str">
            <v>温州万泰橡塑股份有限公司</v>
          </cell>
          <cell r="B661">
            <v>0</v>
          </cell>
        </row>
        <row r="662">
          <cell r="A662" t="str">
            <v>文安县鲍氏模具皮纹加工有限公司</v>
          </cell>
          <cell r="B662">
            <v>0</v>
          </cell>
        </row>
        <row r="663">
          <cell r="A663" t="str">
            <v>文安县德实汽车配件有限公司</v>
          </cell>
          <cell r="B663">
            <v>0</v>
          </cell>
        </row>
        <row r="664">
          <cell r="A664" t="str">
            <v>文登市凤凰婷装饰有限公司</v>
          </cell>
          <cell r="B664">
            <v>0</v>
          </cell>
        </row>
        <row r="665">
          <cell r="A665" t="str">
            <v>文登太成电子有限公司</v>
          </cell>
          <cell r="B665">
            <v>100000</v>
          </cell>
        </row>
        <row r="666">
          <cell r="A666" t="str">
            <v>沃尔瓦格涂料（廊坊）有限公司</v>
          </cell>
          <cell r="B666">
            <v>100000</v>
          </cell>
        </row>
        <row r="667">
          <cell r="A667" t="str">
            <v>无极县淼海皮革制品有限公司</v>
          </cell>
          <cell r="B667">
            <v>0</v>
          </cell>
        </row>
        <row r="668">
          <cell r="A668" t="str">
            <v>无锡赛典高频电子设备有限公司</v>
          </cell>
          <cell r="B668">
            <v>0</v>
          </cell>
        </row>
        <row r="669">
          <cell r="A669" t="str">
            <v>无锡市宏伟彩印包装有限公司</v>
          </cell>
          <cell r="B669">
            <v>0</v>
          </cell>
        </row>
        <row r="670">
          <cell r="A670" t="str">
            <v>无锡苏辰汽车部件有限公司</v>
          </cell>
          <cell r="B670">
            <v>0</v>
          </cell>
        </row>
        <row r="671">
          <cell r="A671" t="str">
            <v>芜湖市卓人汽车配件有限公司</v>
          </cell>
          <cell r="B671">
            <v>0</v>
          </cell>
        </row>
        <row r="672">
          <cell r="A672" t="str">
            <v>芜湖星火软轴控制索制造有限公司</v>
          </cell>
          <cell r="B672">
            <v>0</v>
          </cell>
        </row>
        <row r="673">
          <cell r="A673" t="str">
            <v>武汉恒新国仪科技有限公司</v>
          </cell>
          <cell r="B673">
            <v>0</v>
          </cell>
        </row>
        <row r="674">
          <cell r="A674" t="str">
            <v>西安光华荣昌汽车部件有限公司</v>
          </cell>
          <cell r="B674">
            <v>0</v>
          </cell>
        </row>
        <row r="675">
          <cell r="A675" t="str">
            <v>西安海容塑料制品有限责任公司</v>
          </cell>
          <cell r="B675">
            <v>0</v>
          </cell>
        </row>
        <row r="676">
          <cell r="A676" t="str">
            <v>厦门劲亨五金工业有限公司</v>
          </cell>
          <cell r="B676">
            <v>0</v>
          </cell>
        </row>
        <row r="677">
          <cell r="A677" t="str">
            <v>厦门凯平化工有限公司</v>
          </cell>
          <cell r="B677">
            <v>100000</v>
          </cell>
        </row>
        <row r="678">
          <cell r="A678" t="str">
            <v>厦门市三友和机械有限公司</v>
          </cell>
          <cell r="B678">
            <v>0</v>
          </cell>
        </row>
        <row r="679">
          <cell r="A679" t="str">
            <v>厦门中惠达贸易有限公司</v>
          </cell>
          <cell r="B679">
            <v>0</v>
          </cell>
        </row>
        <row r="680">
          <cell r="A680" t="str">
            <v>湘乡简美汽车部件有限公司</v>
          </cell>
          <cell r="B680">
            <v>0</v>
          </cell>
        </row>
        <row r="681">
          <cell r="A681" t="str">
            <v>襄阳杰创化工新材料有限公司</v>
          </cell>
          <cell r="B681">
            <v>100000</v>
          </cell>
        </row>
        <row r="682">
          <cell r="A682" t="str">
            <v>象山天星汽配有限责任公司</v>
          </cell>
          <cell r="B682">
            <v>0</v>
          </cell>
        </row>
        <row r="683">
          <cell r="A683" t="str">
            <v>辛集市兴恒福利海绵复合厂</v>
          </cell>
          <cell r="B683">
            <v>0</v>
          </cell>
        </row>
        <row r="684">
          <cell r="A684" t="str">
            <v>新梦顶（上海）贸易有限公司</v>
          </cell>
          <cell r="B684">
            <v>0</v>
          </cell>
        </row>
        <row r="685">
          <cell r="A685" t="str">
            <v>新乡市中原起重机设备总厂有限公司</v>
          </cell>
          <cell r="B685">
            <v>0</v>
          </cell>
        </row>
        <row r="686">
          <cell r="A686" t="str">
            <v>雄县华增汽车饰件有限公司</v>
          </cell>
          <cell r="B686">
            <v>20000</v>
          </cell>
        </row>
        <row r="687">
          <cell r="A687" t="str">
            <v>雄县五顺革塑有限公司</v>
          </cell>
          <cell r="B687">
            <v>0</v>
          </cell>
        </row>
        <row r="688">
          <cell r="A688" t="str">
            <v>徐林强</v>
          </cell>
          <cell r="B688">
            <v>0</v>
          </cell>
        </row>
        <row r="689">
          <cell r="A689" t="str">
            <v>徐州华夏电子有限公司</v>
          </cell>
          <cell r="B689">
            <v>200000</v>
          </cell>
        </row>
        <row r="690">
          <cell r="A690" t="str">
            <v>亚德客（天津）智能科技有限公司</v>
          </cell>
          <cell r="B690">
            <v>0</v>
          </cell>
        </row>
        <row r="691">
          <cell r="A691" t="str">
            <v>亚德客（中国）有限公司石家庄分公司</v>
          </cell>
          <cell r="B691">
            <v>0</v>
          </cell>
        </row>
        <row r="692">
          <cell r="A692" t="str">
            <v>烟台青沪纸业有限公司</v>
          </cell>
          <cell r="B692">
            <v>40000</v>
          </cell>
        </row>
        <row r="693">
          <cell r="A693" t="str">
            <v>盐城恒明弹簧有限公司</v>
          </cell>
          <cell r="B693">
            <v>0</v>
          </cell>
        </row>
        <row r="694">
          <cell r="A694" t="str">
            <v>盐山县大华五金销售有限公司</v>
          </cell>
          <cell r="B694">
            <v>0</v>
          </cell>
        </row>
        <row r="695">
          <cell r="A695" t="str">
            <v>兖州市金达汽车装饰布业有限公司</v>
          </cell>
          <cell r="B695">
            <v>0</v>
          </cell>
        </row>
        <row r="696">
          <cell r="A696" t="str">
            <v>扬州康锴涂装机械有限公司</v>
          </cell>
          <cell r="B696">
            <v>0</v>
          </cell>
        </row>
        <row r="697">
          <cell r="A697" t="str">
            <v>扬州三鸣环保科技有限公司</v>
          </cell>
          <cell r="B697">
            <v>0</v>
          </cell>
        </row>
        <row r="698">
          <cell r="A698" t="str">
            <v>宜科（天津）电子有限公司</v>
          </cell>
          <cell r="B698">
            <v>0</v>
          </cell>
        </row>
        <row r="699">
          <cell r="A699" t="str">
            <v>易格斯拖链轴承仓储贸易（上海）有限公司</v>
          </cell>
          <cell r="B699">
            <v>51189</v>
          </cell>
        </row>
        <row r="700">
          <cell r="A700" t="str">
            <v>永年县国泰标准件有限公司</v>
          </cell>
          <cell r="B700">
            <v>0</v>
          </cell>
        </row>
        <row r="701">
          <cell r="A701" t="str">
            <v>于国才</v>
          </cell>
          <cell r="B701">
            <v>0</v>
          </cell>
        </row>
        <row r="702">
          <cell r="A702" t="str">
            <v>余姚市嘉瑞达机械配件厂</v>
          </cell>
          <cell r="B702">
            <v>0</v>
          </cell>
        </row>
        <row r="703">
          <cell r="A703" t="str">
            <v>禹城聚德丰化工有限公司</v>
          </cell>
          <cell r="B703">
            <v>0</v>
          </cell>
        </row>
        <row r="704">
          <cell r="A704" t="str">
            <v>张长峰</v>
          </cell>
          <cell r="B704">
            <v>0</v>
          </cell>
        </row>
        <row r="705">
          <cell r="A705" t="str">
            <v>张家港保税区得英达利化工材料有限公司</v>
          </cell>
          <cell r="B705">
            <v>0</v>
          </cell>
        </row>
        <row r="706">
          <cell r="A706" t="str">
            <v>张家港方圆管业制造有限公司</v>
          </cell>
          <cell r="B706">
            <v>0</v>
          </cell>
        </row>
        <row r="707">
          <cell r="A707" t="str">
            <v>张家港市凯达机械制造有限公司</v>
          </cell>
          <cell r="B707">
            <v>0</v>
          </cell>
        </row>
        <row r="708">
          <cell r="A708" t="str">
            <v>张家港市万荣机械制造有限公司</v>
          </cell>
          <cell r="B708">
            <v>0</v>
          </cell>
        </row>
        <row r="709">
          <cell r="A709" t="str">
            <v>张绍林</v>
          </cell>
          <cell r="B709">
            <v>900000</v>
          </cell>
        </row>
        <row r="710">
          <cell r="A710" t="str">
            <v>张松林</v>
          </cell>
          <cell r="B710">
            <v>0</v>
          </cell>
        </row>
        <row r="711">
          <cell r="A711" t="str">
            <v>张永祥</v>
          </cell>
          <cell r="B711">
            <v>0</v>
          </cell>
        </row>
        <row r="712">
          <cell r="A712" t="str">
            <v>赵月刚</v>
          </cell>
          <cell r="B712">
            <v>33200</v>
          </cell>
        </row>
        <row r="713">
          <cell r="A713" t="str">
            <v>浙江富昌泰汽车零部件有限公司</v>
          </cell>
          <cell r="B713">
            <v>101074.44</v>
          </cell>
        </row>
        <row r="714">
          <cell r="A714" t="str">
            <v>浙江华远锁业有限公司</v>
          </cell>
          <cell r="B714">
            <v>0</v>
          </cell>
        </row>
        <row r="715">
          <cell r="A715" t="str">
            <v>浙江华悦汽车零部件股份有限公司</v>
          </cell>
          <cell r="B715">
            <v>0</v>
          </cell>
        </row>
        <row r="716">
          <cell r="A716" t="str">
            <v>浙江佳龙电子有限公司</v>
          </cell>
          <cell r="B716">
            <v>0</v>
          </cell>
        </row>
        <row r="717">
          <cell r="A717" t="str">
            <v>浙江龙生汽车部件股份有限公司</v>
          </cell>
          <cell r="B717">
            <v>0</v>
          </cell>
        </row>
        <row r="718">
          <cell r="A718" t="str">
            <v>浙江路得坦摩汽车股份有限公司</v>
          </cell>
          <cell r="B718">
            <v>0</v>
          </cell>
        </row>
        <row r="719">
          <cell r="A719" t="str">
            <v>浙江蒙力减振器有限公司</v>
          </cell>
          <cell r="B719">
            <v>0</v>
          </cell>
        </row>
        <row r="720">
          <cell r="A720" t="str">
            <v>浙江全盛无纺制品有限公司</v>
          </cell>
          <cell r="B720">
            <v>0</v>
          </cell>
        </row>
        <row r="721">
          <cell r="A721" t="str">
            <v>镇江市奥德铆压设备有限公司</v>
          </cell>
          <cell r="B721">
            <v>0</v>
          </cell>
        </row>
        <row r="722">
          <cell r="A722" t="str">
            <v>中广核俊尔新材料有限公司</v>
          </cell>
          <cell r="B722">
            <v>37290</v>
          </cell>
        </row>
        <row r="723">
          <cell r="A723" t="str">
            <v>中国电子科技集团公司第二十六研究所</v>
          </cell>
          <cell r="B723">
            <v>0</v>
          </cell>
        </row>
        <row r="724">
          <cell r="A724" t="str">
            <v>中国石化销售有限公司河北沧州石油分公司</v>
          </cell>
          <cell r="B724">
            <v>5000</v>
          </cell>
        </row>
        <row r="725">
          <cell r="A725" t="str">
            <v>中机寰宇认证检验有限公司</v>
          </cell>
          <cell r="B725">
            <v>0</v>
          </cell>
        </row>
        <row r="726">
          <cell r="A726" t="str">
            <v>中山市锐星新材料科技有限公司</v>
          </cell>
          <cell r="B726">
            <v>0</v>
          </cell>
        </row>
        <row r="727">
          <cell r="A727" t="str">
            <v>重庆光大产业有限公司</v>
          </cell>
          <cell r="B727">
            <v>0</v>
          </cell>
        </row>
        <row r="728">
          <cell r="A728" t="str">
            <v>重庆鑫颐塑胶有限责任公司</v>
          </cell>
          <cell r="B728">
            <v>0</v>
          </cell>
        </row>
        <row r="729">
          <cell r="A729" t="str">
            <v>重庆渝融兴汽车配件有限公司</v>
          </cell>
          <cell r="B729">
            <v>0</v>
          </cell>
        </row>
        <row r="730">
          <cell r="A730" t="str">
            <v>舟山市德鑫科机械有限公司</v>
          </cell>
          <cell r="B730">
            <v>0</v>
          </cell>
        </row>
        <row r="731">
          <cell r="A731" t="str">
            <v>株洲博雅实业有限公司</v>
          </cell>
          <cell r="B731">
            <v>0</v>
          </cell>
        </row>
        <row r="732">
          <cell r="A732" t="str">
            <v>株洲市凡美斯汽车配件有限公司</v>
          </cell>
          <cell r="B732">
            <v>0</v>
          </cell>
        </row>
        <row r="733">
          <cell r="A733" t="str">
            <v>株洲泰瑞工贸有限公司</v>
          </cell>
          <cell r="B733">
            <v>0</v>
          </cell>
        </row>
        <row r="734">
          <cell r="A734" t="str">
            <v>诸城恒欣工贸有限公司</v>
          </cell>
          <cell r="B734">
            <v>0</v>
          </cell>
        </row>
        <row r="735">
          <cell r="A735" t="str">
            <v>诸城市黄海剑杆织布厂</v>
          </cell>
          <cell r="B735">
            <v>100000</v>
          </cell>
        </row>
        <row r="736">
          <cell r="A736" t="str">
            <v>诸城市泰琨机械厂</v>
          </cell>
          <cell r="B736">
            <v>0</v>
          </cell>
        </row>
        <row r="737">
          <cell r="A737" t="str">
            <v>诸城市正大服装辅料有限公司</v>
          </cell>
          <cell r="B737">
            <v>0</v>
          </cell>
        </row>
        <row r="738">
          <cell r="A738" t="str">
            <v>诸暨市豪南机械配件经营部</v>
          </cell>
          <cell r="B738">
            <v>0</v>
          </cell>
        </row>
        <row r="739">
          <cell r="A739" t="str">
            <v>涿州市天彤压铸制品有限公司</v>
          </cell>
          <cell r="B739">
            <v>18995</v>
          </cell>
        </row>
        <row r="740">
          <cell r="A740" t="str">
            <v>淄博华亚数控机电有限公司</v>
          </cell>
          <cell r="B740">
            <v>0</v>
          </cell>
        </row>
        <row r="741">
          <cell r="A741" t="str">
            <v>总计</v>
          </cell>
          <cell r="B741">
            <v>21130761.24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数据!R319C4" advise="1">
            <x14:values>
              <value t="e">
                <val>#VALUE!</val>
              </value>
            </x14:values>
          </x14:oleItem>
        </mc:Choice>
        <mc:Fallback>
          <oleItem name="!数据!R319C4" advise="1"/>
        </mc:Fallback>
      </mc:AlternateContent>
    </oleItems>
  </oleLin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C98"/>
  <sheetViews>
    <sheetView workbookViewId="0">
      <pane xSplit="46" ySplit="4" topLeftCell="BK5" activePane="bottomRight" state="frozen"/>
      <selection/>
      <selection pane="topRight"/>
      <selection pane="bottomLeft"/>
      <selection pane="bottomRight" activeCell="CB13" sqref="CB13"/>
    </sheetView>
  </sheetViews>
  <sheetFormatPr defaultColWidth="8" defaultRowHeight="15"/>
  <cols>
    <col min="1" max="1" width="1.4537037037037" style="22" customWidth="1"/>
    <col min="2" max="2" width="7.09259259259259" style="23" customWidth="1"/>
    <col min="3" max="3" width="10.6296296296296" style="22" customWidth="1"/>
    <col min="4" max="4" width="27.3611111111111" style="24" customWidth="1"/>
    <col min="5" max="8" width="13.7222222222222" style="22" hidden="1" customWidth="1"/>
    <col min="9" max="17" width="15" style="22" hidden="1" customWidth="1"/>
    <col min="18" max="22" width="13.7222222222222" style="22" hidden="1" customWidth="1"/>
    <col min="23" max="26" width="12.9074074074074" style="22" hidden="1" customWidth="1"/>
    <col min="27" max="27" width="13.7222222222222" style="22" hidden="1" customWidth="1"/>
    <col min="28" max="28" width="11.2685185185185" style="22" hidden="1" customWidth="1"/>
    <col min="29" max="34" width="12" style="22" hidden="1" customWidth="1"/>
    <col min="35" max="37" width="13" style="111" hidden="1" customWidth="1"/>
    <col min="38" max="38" width="13.3611111111111" style="111" hidden="1" customWidth="1"/>
    <col min="39" max="39" width="13.0925925925926" style="111" hidden="1" customWidth="1"/>
    <col min="40" max="41" width="13" style="111" hidden="1" customWidth="1"/>
    <col min="42" max="46" width="13.2685185185185" style="111" hidden="1" customWidth="1"/>
    <col min="47" max="47" width="13.2685185185185" style="111" customWidth="1"/>
    <col min="48" max="48" width="13.2685185185185" style="210" hidden="1" customWidth="1"/>
    <col min="49" max="55" width="13.2685185185185" style="111" hidden="1" customWidth="1"/>
    <col min="56" max="56" width="12.9074074074074" style="111" hidden="1" customWidth="1"/>
    <col min="57" max="58" width="14.2685185185185" style="111" hidden="1" customWidth="1"/>
    <col min="59" max="59" width="13.6296296296296" style="111" hidden="1" customWidth="1"/>
    <col min="60" max="67" width="14.2685185185185" style="111" customWidth="1"/>
    <col min="68" max="68" width="14.4537037037037" style="111" customWidth="1"/>
    <col min="69" max="69" width="1.62962962962963" style="111" hidden="1" customWidth="1"/>
    <col min="70" max="70" width="2" style="111" hidden="1" customWidth="1"/>
    <col min="71" max="71" width="3.72222222222222" style="22" hidden="1" customWidth="1"/>
    <col min="72" max="72" width="0.907407407407407" style="22" hidden="1" customWidth="1"/>
    <col min="73" max="73" width="5.26851851851852" style="22" customWidth="1"/>
    <col min="74" max="74" width="4.4537037037037" style="22" customWidth="1"/>
    <col min="75" max="75" width="4.90740740740741" style="22" customWidth="1"/>
    <col min="76" max="76" width="15" style="112" customWidth="1"/>
    <col min="77" max="77" width="9.4537037037037" style="112" hidden="1" customWidth="1"/>
    <col min="78" max="78" width="16.3611111111111" style="112" customWidth="1"/>
    <col min="79" max="79" width="13" style="112" customWidth="1"/>
    <col min="80" max="81" width="15.7222222222222" style="22" customWidth="1"/>
    <col min="82" max="16384" width="8" style="22"/>
  </cols>
  <sheetData>
    <row r="1" ht="21" customHeight="1" spans="2:81">
      <c r="B1" s="113" t="s">
        <v>0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244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4"/>
      <c r="BT1" s="114"/>
      <c r="BU1" s="114"/>
      <c r="BV1" s="114"/>
      <c r="BW1" s="114"/>
      <c r="BX1" s="115"/>
      <c r="BY1" s="115"/>
      <c r="BZ1" s="115"/>
      <c r="CA1" s="115"/>
      <c r="CB1" s="114"/>
      <c r="CC1" s="114"/>
    </row>
    <row r="2" ht="18" customHeight="1" spans="2:81">
      <c r="B2" s="211" t="s">
        <v>1</v>
      </c>
      <c r="C2" s="212" t="s">
        <v>2</v>
      </c>
      <c r="D2" s="212" t="s">
        <v>3</v>
      </c>
      <c r="E2" s="213" t="s">
        <v>4</v>
      </c>
      <c r="F2" s="213" t="s">
        <v>5</v>
      </c>
      <c r="G2" s="213" t="s">
        <v>6</v>
      </c>
      <c r="H2" s="213" t="s">
        <v>7</v>
      </c>
      <c r="I2" s="213" t="s">
        <v>8</v>
      </c>
      <c r="J2" s="213" t="s">
        <v>9</v>
      </c>
      <c r="K2" s="213" t="s">
        <v>10</v>
      </c>
      <c r="L2" s="213" t="s">
        <v>11</v>
      </c>
      <c r="M2" s="213" t="s">
        <v>12</v>
      </c>
      <c r="N2" s="213" t="s">
        <v>13</v>
      </c>
      <c r="O2" s="213" t="s">
        <v>14</v>
      </c>
      <c r="P2" s="213" t="s">
        <v>15</v>
      </c>
      <c r="Q2" s="213" t="s">
        <v>16</v>
      </c>
      <c r="R2" s="213" t="s">
        <v>17</v>
      </c>
      <c r="S2" s="213" t="s">
        <v>18</v>
      </c>
      <c r="T2" s="213" t="s">
        <v>19</v>
      </c>
      <c r="U2" s="213" t="s">
        <v>20</v>
      </c>
      <c r="V2" s="213" t="s">
        <v>21</v>
      </c>
      <c r="W2" s="213" t="s">
        <v>22</v>
      </c>
      <c r="X2" s="213" t="s">
        <v>23</v>
      </c>
      <c r="Y2" s="213" t="s">
        <v>24</v>
      </c>
      <c r="Z2" s="213" t="s">
        <v>25</v>
      </c>
      <c r="AA2" s="213" t="s">
        <v>26</v>
      </c>
      <c r="AB2" s="238" t="s">
        <v>27</v>
      </c>
      <c r="AC2" s="238" t="s">
        <v>28</v>
      </c>
      <c r="AD2" s="238" t="s">
        <v>29</v>
      </c>
      <c r="AE2" s="238" t="s">
        <v>30</v>
      </c>
      <c r="AF2" s="238" t="s">
        <v>31</v>
      </c>
      <c r="AG2" s="238" t="s">
        <v>32</v>
      </c>
      <c r="AH2" s="242" t="s">
        <v>33</v>
      </c>
      <c r="AI2" s="152"/>
      <c r="AJ2" s="152"/>
      <c r="AK2" s="152"/>
      <c r="AL2" s="152"/>
      <c r="AM2" s="152"/>
      <c r="AN2" s="152"/>
      <c r="AO2" s="152"/>
      <c r="AP2" s="152"/>
      <c r="AQ2" s="152"/>
      <c r="AR2" s="152"/>
      <c r="AS2" s="152"/>
      <c r="AT2" s="152"/>
      <c r="AU2" s="152"/>
      <c r="AV2" s="245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247"/>
      <c r="BH2" s="247"/>
      <c r="BI2" s="247"/>
      <c r="BJ2" s="247"/>
      <c r="BK2" s="247"/>
      <c r="BL2" s="247"/>
      <c r="BM2" s="247"/>
      <c r="BN2" s="247"/>
      <c r="BO2" s="247"/>
      <c r="BP2" s="152"/>
      <c r="BQ2" s="247" t="s">
        <v>34</v>
      </c>
      <c r="BR2" s="247"/>
      <c r="BS2" s="212" t="s">
        <v>35</v>
      </c>
      <c r="BT2" s="212" t="s">
        <v>36</v>
      </c>
      <c r="BU2" s="64" t="s">
        <v>37</v>
      </c>
      <c r="BV2" s="64"/>
      <c r="BW2" s="64"/>
      <c r="BX2" s="247"/>
      <c r="BY2" s="247"/>
      <c r="BZ2" s="152" t="s">
        <v>38</v>
      </c>
      <c r="CA2" s="152" t="s">
        <v>39</v>
      </c>
      <c r="CB2" s="293" t="s">
        <v>40</v>
      </c>
      <c r="CC2" s="285" t="s">
        <v>41</v>
      </c>
    </row>
    <row r="3" ht="31.5" customHeight="1" spans="2:81">
      <c r="B3" s="214"/>
      <c r="C3" s="215"/>
      <c r="D3" s="215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39"/>
      <c r="AC3" s="239"/>
      <c r="AD3" s="239"/>
      <c r="AE3" s="240"/>
      <c r="AF3" s="240"/>
      <c r="AG3" s="240"/>
      <c r="AH3" s="240"/>
      <c r="AI3" s="217" t="s">
        <v>42</v>
      </c>
      <c r="AJ3" s="217" t="s">
        <v>43</v>
      </c>
      <c r="AK3" s="217" t="s">
        <v>44</v>
      </c>
      <c r="AL3" s="217" t="s">
        <v>45</v>
      </c>
      <c r="AM3" s="217" t="s">
        <v>46</v>
      </c>
      <c r="AN3" s="217" t="s">
        <v>47</v>
      </c>
      <c r="AO3" s="217" t="s">
        <v>48</v>
      </c>
      <c r="AP3" s="217" t="s">
        <v>49</v>
      </c>
      <c r="AQ3" s="217" t="s">
        <v>50</v>
      </c>
      <c r="AR3" s="217" t="s">
        <v>51</v>
      </c>
      <c r="AS3" s="217" t="s">
        <v>52</v>
      </c>
      <c r="AT3" s="217" t="s">
        <v>53</v>
      </c>
      <c r="AU3" s="217" t="s">
        <v>54</v>
      </c>
      <c r="AV3" s="217" t="s">
        <v>55</v>
      </c>
      <c r="AW3" s="217" t="s">
        <v>56</v>
      </c>
      <c r="AX3" s="217" t="s">
        <v>57</v>
      </c>
      <c r="AY3" s="217" t="s">
        <v>58</v>
      </c>
      <c r="AZ3" s="217" t="s">
        <v>59</v>
      </c>
      <c r="BA3" s="217" t="s">
        <v>60</v>
      </c>
      <c r="BB3" s="217" t="s">
        <v>61</v>
      </c>
      <c r="BC3" s="217" t="s">
        <v>62</v>
      </c>
      <c r="BD3" s="217" t="s">
        <v>63</v>
      </c>
      <c r="BE3" s="217" t="s">
        <v>64</v>
      </c>
      <c r="BF3" s="217" t="s">
        <v>65</v>
      </c>
      <c r="BG3" s="217" t="s">
        <v>66</v>
      </c>
      <c r="BH3" s="217" t="s">
        <v>67</v>
      </c>
      <c r="BI3" s="217" t="s">
        <v>68</v>
      </c>
      <c r="BJ3" s="217" t="s">
        <v>69</v>
      </c>
      <c r="BK3" s="217" t="s">
        <v>70</v>
      </c>
      <c r="BL3" s="217" t="s">
        <v>71</v>
      </c>
      <c r="BM3" s="119" t="s">
        <v>72</v>
      </c>
      <c r="BN3" s="119" t="s">
        <v>73</v>
      </c>
      <c r="BO3" s="119" t="s">
        <v>74</v>
      </c>
      <c r="BP3" s="217" t="s">
        <v>75</v>
      </c>
      <c r="BQ3" s="217" t="s">
        <v>70</v>
      </c>
      <c r="BR3" s="217" t="s">
        <v>71</v>
      </c>
      <c r="BS3" s="215"/>
      <c r="BT3" s="215"/>
      <c r="BU3" s="154" t="s">
        <v>76</v>
      </c>
      <c r="BV3" s="154" t="s">
        <v>77</v>
      </c>
      <c r="BW3" s="154" t="s">
        <v>78</v>
      </c>
      <c r="BX3" s="217" t="s">
        <v>79</v>
      </c>
      <c r="BY3" s="271"/>
      <c r="BZ3" s="155"/>
      <c r="CA3" s="155"/>
      <c r="CB3" s="294"/>
      <c r="CC3" s="287"/>
    </row>
    <row r="4" ht="18" customHeight="1" spans="2:81">
      <c r="B4" s="214"/>
      <c r="C4" s="215"/>
      <c r="D4" s="215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 t="s">
        <v>80</v>
      </c>
      <c r="S4" s="217"/>
      <c r="T4" s="217"/>
      <c r="U4" s="217"/>
      <c r="V4" s="217"/>
      <c r="W4" s="217"/>
      <c r="X4" s="217"/>
      <c r="Y4" s="217"/>
      <c r="Z4" s="217"/>
      <c r="AA4" s="217"/>
      <c r="AB4" s="241"/>
      <c r="AC4" s="241"/>
      <c r="AD4" s="241"/>
      <c r="AE4" s="240"/>
      <c r="AF4" s="240"/>
      <c r="AG4" s="240"/>
      <c r="AH4" s="240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217"/>
      <c r="AT4" s="217"/>
      <c r="AU4" s="217"/>
      <c r="AV4" s="217"/>
      <c r="AW4" s="217"/>
      <c r="AX4" s="217"/>
      <c r="AY4" s="217"/>
      <c r="AZ4" s="217"/>
      <c r="BA4" s="217"/>
      <c r="BB4" s="217"/>
      <c r="BC4" s="217"/>
      <c r="BD4" s="217"/>
      <c r="BE4" s="217"/>
      <c r="BF4" s="217"/>
      <c r="BG4" s="217"/>
      <c r="BH4" s="217"/>
      <c r="BI4" s="217"/>
      <c r="BJ4" s="217"/>
      <c r="BK4" s="217"/>
      <c r="BL4" s="217"/>
      <c r="BM4" s="121"/>
      <c r="BN4" s="121"/>
      <c r="BO4" s="121"/>
      <c r="BP4" s="217"/>
      <c r="BQ4" s="217"/>
      <c r="BR4" s="217"/>
      <c r="BS4" s="215"/>
      <c r="BT4" s="215"/>
      <c r="BU4" s="154"/>
      <c r="BV4" s="154"/>
      <c r="BW4" s="154"/>
      <c r="BX4" s="272"/>
      <c r="BY4" s="272"/>
      <c r="BZ4" s="155"/>
      <c r="CA4" s="155"/>
      <c r="CB4" s="294"/>
      <c r="CC4" s="287"/>
    </row>
    <row r="5" s="20" customFormat="1" ht="24" customHeight="1" spans="2:81">
      <c r="B5" s="4" t="s">
        <v>81</v>
      </c>
      <c r="C5" s="218" t="s">
        <v>82</v>
      </c>
      <c r="D5" s="5" t="s">
        <v>83</v>
      </c>
      <c r="E5" s="219">
        <v>5392098.39</v>
      </c>
      <c r="F5" s="219">
        <v>5856735.21</v>
      </c>
      <c r="G5" s="219">
        <v>6096339.17</v>
      </c>
      <c r="H5" s="219">
        <v>5864306.57</v>
      </c>
      <c r="I5" s="219">
        <v>5864306.57</v>
      </c>
      <c r="J5" s="219">
        <v>6227067.54</v>
      </c>
      <c r="K5" s="219">
        <v>6167255.15</v>
      </c>
      <c r="L5" s="219">
        <v>6077546</v>
      </c>
      <c r="M5" s="219">
        <v>6647576.21</v>
      </c>
      <c r="N5" s="219">
        <v>6480354.13</v>
      </c>
      <c r="O5" s="219">
        <v>6659039.58</v>
      </c>
      <c r="P5" s="219">
        <v>7510390.09</v>
      </c>
      <c r="Q5" s="219">
        <v>7495456.12</v>
      </c>
      <c r="R5" s="233">
        <v>500000</v>
      </c>
      <c r="S5" s="233">
        <v>500000</v>
      </c>
      <c r="T5" s="233">
        <v>1000000</v>
      </c>
      <c r="U5" s="234">
        <v>0</v>
      </c>
      <c r="V5" s="234">
        <v>1000000</v>
      </c>
      <c r="W5" s="234">
        <v>1000000</v>
      </c>
      <c r="X5" s="234">
        <v>1030000</v>
      </c>
      <c r="Y5" s="234">
        <v>0</v>
      </c>
      <c r="Z5" s="234">
        <v>500000</v>
      </c>
      <c r="AA5" s="234">
        <v>1000000</v>
      </c>
      <c r="AB5" s="234">
        <v>0</v>
      </c>
      <c r="AC5" s="234">
        <v>650000</v>
      </c>
      <c r="AD5" s="234">
        <v>1000000</v>
      </c>
      <c r="AE5" s="234">
        <v>500000</v>
      </c>
      <c r="AF5" s="234">
        <v>950000</v>
      </c>
      <c r="AG5" s="234"/>
      <c r="AH5" s="234">
        <v>992500</v>
      </c>
      <c r="AI5" s="241">
        <f>E5-R5-S5-T5-U5-V5-W5-X5-Y5</f>
        <v>362098.39</v>
      </c>
      <c r="AJ5" s="241">
        <f>F5-S5-T5-U5-V5-W5-X5-Y5</f>
        <v>1326735.21</v>
      </c>
      <c r="AK5" s="241">
        <f>G5-T5-U5-V5-W5-X5-Y5</f>
        <v>2066339.17</v>
      </c>
      <c r="AL5" s="241">
        <f>H5-U5-V5-W5-X5-Y5-Z5-AA5</f>
        <v>1334306.57</v>
      </c>
      <c r="AM5" s="241">
        <f>I5-V5-W5-X5-Y5-Z5-AA5-AB5-AC5</f>
        <v>684306.57</v>
      </c>
      <c r="AN5" s="241">
        <f>J5-W5-X5-Y5-Z5-AA5-AB5-AC5</f>
        <v>2047067.54</v>
      </c>
      <c r="AO5" s="241">
        <f>K5-X5-Y5-Z5-AA5-AB5-AC5-AD5-AE5</f>
        <v>1487255.15</v>
      </c>
      <c r="AP5" s="241">
        <f>L5-Y5-Z5-AA5-AB5-AC5-AD5-AE5</f>
        <v>2427546</v>
      </c>
      <c r="AQ5" s="241"/>
      <c r="AR5" s="241"/>
      <c r="AS5" s="241"/>
      <c r="AT5" s="241">
        <f t="shared" ref="AT5:AT14" si="0">P5-AC5-AD5-AE5-AF5-AG5</f>
        <v>4410390.09</v>
      </c>
      <c r="AU5" s="241"/>
      <c r="AV5" s="241">
        <v>964636.82</v>
      </c>
      <c r="AW5" s="241">
        <v>739603.96</v>
      </c>
      <c r="AX5" s="241">
        <v>767967.4</v>
      </c>
      <c r="AY5" s="241">
        <v>453286.73</v>
      </c>
      <c r="AZ5" s="241">
        <v>909474.24</v>
      </c>
      <c r="BA5" s="241">
        <v>940187.61</v>
      </c>
      <c r="BB5" s="241">
        <v>940290.85</v>
      </c>
      <c r="BC5" s="241">
        <v>570030.21</v>
      </c>
      <c r="BD5" s="241">
        <v>332777.92</v>
      </c>
      <c r="BE5" s="241">
        <v>1178685.45</v>
      </c>
      <c r="BF5" s="241">
        <v>851350.51</v>
      </c>
      <c r="BG5" s="241">
        <v>635066.03</v>
      </c>
      <c r="BH5" s="241">
        <v>0</v>
      </c>
      <c r="BI5" s="241">
        <v>0</v>
      </c>
      <c r="BJ5" s="241">
        <v>397337.38</v>
      </c>
      <c r="BK5" s="241">
        <v>246283.5</v>
      </c>
      <c r="BL5" s="241">
        <v>0</v>
      </c>
      <c r="BM5" s="241">
        <v>0</v>
      </c>
      <c r="BN5" s="241">
        <v>134634.98</v>
      </c>
      <c r="BO5" s="241"/>
      <c r="BP5" s="241">
        <f>AU5+BH5+BI5+BJ5+BK5+BL5+BM5+BN5+BO5</f>
        <v>778255.86</v>
      </c>
      <c r="BQ5" s="241"/>
      <c r="BR5" s="241"/>
      <c r="BS5" s="162"/>
      <c r="BT5" s="162"/>
      <c r="BU5" s="162"/>
      <c r="BV5" s="79"/>
      <c r="BW5" s="79" t="s">
        <v>84</v>
      </c>
      <c r="BX5" s="273">
        <f>BP5</f>
        <v>778255.86</v>
      </c>
      <c r="BY5" s="273">
        <f t="shared" ref="BY5:BY14" si="1">BX5/BP5</f>
        <v>1</v>
      </c>
      <c r="BZ5" s="273">
        <v>492567</v>
      </c>
      <c r="CA5" s="273">
        <f>BX5-BZ5</f>
        <v>285688.86</v>
      </c>
      <c r="CB5" s="234">
        <f>CA5-BO5</f>
        <v>285688.86</v>
      </c>
      <c r="CC5" s="234" t="s">
        <v>85</v>
      </c>
    </row>
    <row r="6" s="20" customFormat="1" ht="24" customHeight="1" spans="1:81">
      <c r="A6" s="132"/>
      <c r="B6" s="4" t="s">
        <v>81</v>
      </c>
      <c r="C6" s="218" t="s">
        <v>86</v>
      </c>
      <c r="D6" s="5" t="s">
        <v>87</v>
      </c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35">
        <v>0</v>
      </c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>
        <v>0</v>
      </c>
      <c r="AH6" s="236">
        <v>0</v>
      </c>
      <c r="AI6" s="241"/>
      <c r="AJ6" s="241"/>
      <c r="AK6" s="241"/>
      <c r="AL6" s="241"/>
      <c r="AM6" s="241"/>
      <c r="AN6" s="241"/>
      <c r="AO6" s="241"/>
      <c r="AP6" s="241"/>
      <c r="AQ6" s="241"/>
      <c r="AR6" s="241"/>
      <c r="AS6" s="241"/>
      <c r="AT6" s="241">
        <f t="shared" si="0"/>
        <v>0</v>
      </c>
      <c r="AU6" s="241"/>
      <c r="AV6" s="241"/>
      <c r="AW6" s="241"/>
      <c r="AX6" s="241"/>
      <c r="AY6" s="241"/>
      <c r="AZ6" s="241"/>
      <c r="BA6" s="241"/>
      <c r="BB6" s="241"/>
      <c r="BC6" s="241"/>
      <c r="BD6" s="241"/>
      <c r="BE6" s="241"/>
      <c r="BF6" s="241"/>
      <c r="BG6" s="248"/>
      <c r="BH6" s="241">
        <v>0</v>
      </c>
      <c r="BI6" s="241">
        <v>447763.07</v>
      </c>
      <c r="BJ6" s="241">
        <v>681909.81</v>
      </c>
      <c r="BK6" s="241">
        <v>549134.83</v>
      </c>
      <c r="BL6" s="241">
        <v>0</v>
      </c>
      <c r="BM6" s="241">
        <v>0</v>
      </c>
      <c r="BN6" s="241"/>
      <c r="BO6" s="241"/>
      <c r="BP6" s="241">
        <f t="shared" ref="BP6:BP31" si="2">AU6+BH6+BI6+BJ6+BK6+BL6+BM6+BN6+BO6</f>
        <v>1678807.71</v>
      </c>
      <c r="BQ6" s="262">
        <v>1918501</v>
      </c>
      <c r="BR6" s="248"/>
      <c r="BS6" s="162"/>
      <c r="BT6" s="162"/>
      <c r="BU6" s="79"/>
      <c r="BV6" s="79"/>
      <c r="BW6" s="79" t="s">
        <v>84</v>
      </c>
      <c r="BX6" s="273">
        <f>BP6</f>
        <v>1678807.71</v>
      </c>
      <c r="BY6" s="273">
        <f t="shared" si="1"/>
        <v>1</v>
      </c>
      <c r="BZ6" s="273">
        <f>182213.07+549134.83</f>
        <v>731347.9</v>
      </c>
      <c r="CA6" s="273">
        <f t="shared" ref="CA6:CA26" si="3">BX6-BZ6</f>
        <v>947459.81</v>
      </c>
      <c r="CB6" s="234">
        <f t="shared" ref="CB6:CB31" si="4">CA6-BO6</f>
        <v>947459.81</v>
      </c>
      <c r="CC6" s="234" t="s">
        <v>85</v>
      </c>
    </row>
    <row r="7" s="20" customFormat="1" ht="24" customHeight="1" spans="2:81">
      <c r="B7" s="4" t="s">
        <v>81</v>
      </c>
      <c r="C7" s="218" t="s">
        <v>88</v>
      </c>
      <c r="D7" s="5" t="s">
        <v>89</v>
      </c>
      <c r="E7" s="220">
        <v>4304521.28</v>
      </c>
      <c r="F7" s="220">
        <v>4892961.58</v>
      </c>
      <c r="G7" s="219">
        <v>5103831.3</v>
      </c>
      <c r="H7" s="219">
        <v>5080738.42</v>
      </c>
      <c r="I7" s="219">
        <v>5340551.96</v>
      </c>
      <c r="J7" s="219">
        <v>4679989.68</v>
      </c>
      <c r="K7" s="219">
        <v>4452410.29</v>
      </c>
      <c r="L7" s="219">
        <v>4531515.63</v>
      </c>
      <c r="M7" s="219">
        <v>4813282.31</v>
      </c>
      <c r="N7" s="219">
        <v>5213661.06</v>
      </c>
      <c r="O7" s="219">
        <v>5122119.61</v>
      </c>
      <c r="P7" s="219">
        <v>5541782.14</v>
      </c>
      <c r="Q7" s="219">
        <v>4351997.25</v>
      </c>
      <c r="R7" s="220">
        <v>855</v>
      </c>
      <c r="S7" s="220">
        <v>0</v>
      </c>
      <c r="T7" s="220">
        <v>1000000</v>
      </c>
      <c r="U7" s="234">
        <v>0</v>
      </c>
      <c r="V7" s="234">
        <v>1000000</v>
      </c>
      <c r="W7" s="234">
        <v>501300</v>
      </c>
      <c r="X7" s="234">
        <v>700000</v>
      </c>
      <c r="Y7" s="234">
        <v>1330</v>
      </c>
      <c r="Z7" s="234">
        <v>0</v>
      </c>
      <c r="AA7" s="234">
        <v>603000</v>
      </c>
      <c r="AB7" s="234">
        <v>0</v>
      </c>
      <c r="AC7" s="234">
        <v>1400000</v>
      </c>
      <c r="AD7" s="234">
        <v>201301.3</v>
      </c>
      <c r="AE7" s="234">
        <v>30900</v>
      </c>
      <c r="AF7" s="234">
        <v>707600</v>
      </c>
      <c r="AG7" s="234">
        <v>200000</v>
      </c>
      <c r="AH7" s="234">
        <v>600000</v>
      </c>
      <c r="AI7" s="241">
        <f t="shared" ref="AI7:AI14" si="5">E7-R7-S7-T7-U7-V7-W7-X7-Y7</f>
        <v>1101036.28</v>
      </c>
      <c r="AJ7" s="241">
        <f t="shared" ref="AJ7:AJ14" si="6">F7-S7-T7-U7-V7-W7-X7-Y7</f>
        <v>1690331.58</v>
      </c>
      <c r="AK7" s="241">
        <f t="shared" ref="AK7:AK14" si="7">G7-T7-U7-V7-W7-X7-Y7</f>
        <v>1901201.3</v>
      </c>
      <c r="AL7" s="241">
        <f t="shared" ref="AL7:AL14" si="8">H7-U7-V7-W7-X7-Y7-Z7-AA7</f>
        <v>2275108.42</v>
      </c>
      <c r="AM7" s="241">
        <f t="shared" ref="AM7:AM14" si="9">I7-V7-W7-X7-Y7-Z7-AA7-AB7-AC7</f>
        <v>1134921.96</v>
      </c>
      <c r="AN7" s="241">
        <f t="shared" ref="AN7:AN14" si="10">J7-W7-X7-Y7-Z7-AA7-AB7-AC7</f>
        <v>1474359.68</v>
      </c>
      <c r="AO7" s="241">
        <f t="shared" ref="AO7:AO14" si="11">K7-X7-Y7-Z7-AA7-AB7-AC7-AD7-AE7</f>
        <v>1515878.99</v>
      </c>
      <c r="AP7" s="241">
        <f t="shared" ref="AP7:AP14" si="12">L7-Y7-Z7-AA7-AB7-AC7-AD7-AE7</f>
        <v>2294984.33</v>
      </c>
      <c r="AQ7" s="241"/>
      <c r="AR7" s="241"/>
      <c r="AS7" s="241"/>
      <c r="AT7" s="241">
        <f t="shared" si="0"/>
        <v>3001980.84</v>
      </c>
      <c r="AU7" s="241"/>
      <c r="AV7" s="241">
        <v>589295.3</v>
      </c>
      <c r="AW7" s="241">
        <v>210869.72</v>
      </c>
      <c r="AX7" s="241">
        <v>976907.12</v>
      </c>
      <c r="AY7" s="241">
        <v>259813.54</v>
      </c>
      <c r="AZ7" s="241">
        <v>339437.72</v>
      </c>
      <c r="BA7" s="241">
        <v>273720.61</v>
      </c>
      <c r="BB7" s="241">
        <v>779105.34</v>
      </c>
      <c r="BC7" s="241">
        <v>283096.68</v>
      </c>
      <c r="BD7" s="241">
        <v>400378.75</v>
      </c>
      <c r="BE7" s="241">
        <v>511458.55</v>
      </c>
      <c r="BF7" s="241">
        <v>419662.53</v>
      </c>
      <c r="BG7" s="241">
        <v>210215.11</v>
      </c>
      <c r="BH7" s="241">
        <v>0</v>
      </c>
      <c r="BI7" s="241">
        <v>19634.08</v>
      </c>
      <c r="BJ7" s="241">
        <v>41685.7</v>
      </c>
      <c r="BK7" s="241">
        <v>51674.9</v>
      </c>
      <c r="BL7" s="241">
        <v>20554.7</v>
      </c>
      <c r="BM7" s="241">
        <v>88477.42</v>
      </c>
      <c r="BN7" s="241">
        <v>75687.4</v>
      </c>
      <c r="BO7" s="241"/>
      <c r="BP7" s="241">
        <f t="shared" si="2"/>
        <v>297714.2</v>
      </c>
      <c r="BQ7" s="241">
        <v>351407.22</v>
      </c>
      <c r="BR7" s="241"/>
      <c r="BS7" s="162"/>
      <c r="BT7" s="162"/>
      <c r="BU7" s="79"/>
      <c r="BV7" s="79"/>
      <c r="BW7" s="79" t="s">
        <v>84</v>
      </c>
      <c r="BX7" s="273">
        <f>BP7</f>
        <v>297714.2</v>
      </c>
      <c r="BY7" s="273">
        <f t="shared" si="1"/>
        <v>1</v>
      </c>
      <c r="BZ7" s="273">
        <f>19593.2+41685.7+51674.9+40.88</f>
        <v>112994.68</v>
      </c>
      <c r="CA7" s="273">
        <f t="shared" si="3"/>
        <v>184719.52</v>
      </c>
      <c r="CB7" s="234">
        <f t="shared" si="4"/>
        <v>184719.52</v>
      </c>
      <c r="CC7" s="234" t="s">
        <v>85</v>
      </c>
    </row>
    <row r="8" s="20" customFormat="1" ht="24" customHeight="1" spans="2:81">
      <c r="B8" s="4" t="s">
        <v>81</v>
      </c>
      <c r="C8" s="218" t="s">
        <v>90</v>
      </c>
      <c r="D8" s="5" t="s">
        <v>91</v>
      </c>
      <c r="E8" s="220">
        <v>2905780.04</v>
      </c>
      <c r="F8" s="220">
        <v>2346161.22</v>
      </c>
      <c r="G8" s="219">
        <v>3012275.11</v>
      </c>
      <c r="H8" s="219">
        <v>3064774.7</v>
      </c>
      <c r="I8" s="219">
        <v>2974070.08</v>
      </c>
      <c r="J8" s="219">
        <v>3477472.33</v>
      </c>
      <c r="K8" s="219">
        <v>3380421.07</v>
      </c>
      <c r="L8" s="219">
        <v>3386744.71</v>
      </c>
      <c r="M8" s="219">
        <v>3561228.68</v>
      </c>
      <c r="N8" s="219">
        <v>3981880.75</v>
      </c>
      <c r="O8" s="219">
        <v>4081138.55</v>
      </c>
      <c r="P8" s="219">
        <v>4393093.27</v>
      </c>
      <c r="Q8" s="219">
        <v>4171066.37</v>
      </c>
      <c r="R8" s="220">
        <v>1030000</v>
      </c>
      <c r="S8" s="220">
        <v>0</v>
      </c>
      <c r="T8" s="220">
        <v>400000</v>
      </c>
      <c r="U8" s="234">
        <v>500000</v>
      </c>
      <c r="V8" s="234">
        <v>0</v>
      </c>
      <c r="W8" s="234">
        <v>400000</v>
      </c>
      <c r="X8" s="234">
        <v>500000</v>
      </c>
      <c r="Y8" s="234">
        <v>100000</v>
      </c>
      <c r="Z8" s="234">
        <v>0</v>
      </c>
      <c r="AA8" s="234">
        <v>400000</v>
      </c>
      <c r="AB8" s="234">
        <v>200000</v>
      </c>
      <c r="AC8" s="234">
        <v>700000</v>
      </c>
      <c r="AD8" s="234">
        <v>500000</v>
      </c>
      <c r="AE8" s="234">
        <v>17897.2</v>
      </c>
      <c r="AF8" s="234">
        <v>829384.4</v>
      </c>
      <c r="AG8" s="234">
        <v>-162297.8</v>
      </c>
      <c r="AH8" s="234">
        <v>400000</v>
      </c>
      <c r="AI8" s="241">
        <f t="shared" si="5"/>
        <v>-24219.96</v>
      </c>
      <c r="AJ8" s="241">
        <f t="shared" si="6"/>
        <v>446161.22</v>
      </c>
      <c r="AK8" s="241">
        <f t="shared" si="7"/>
        <v>1112275.11</v>
      </c>
      <c r="AL8" s="241">
        <f t="shared" si="8"/>
        <v>1164774.7</v>
      </c>
      <c r="AM8" s="241">
        <f t="shared" si="9"/>
        <v>674070.08</v>
      </c>
      <c r="AN8" s="241">
        <f t="shared" si="10"/>
        <v>1177472.33</v>
      </c>
      <c r="AO8" s="241">
        <f t="shared" si="11"/>
        <v>962523.87</v>
      </c>
      <c r="AP8" s="241">
        <f t="shared" si="12"/>
        <v>1468847.51</v>
      </c>
      <c r="AQ8" s="241"/>
      <c r="AR8" s="241"/>
      <c r="AS8" s="241"/>
      <c r="AT8" s="241">
        <f t="shared" si="0"/>
        <v>2508109.47</v>
      </c>
      <c r="AU8" s="241"/>
      <c r="AV8" s="241">
        <v>470381.18</v>
      </c>
      <c r="AW8" s="241">
        <v>666113.89</v>
      </c>
      <c r="AX8" s="241">
        <v>452499.59</v>
      </c>
      <c r="AY8" s="241">
        <v>409295.38</v>
      </c>
      <c r="AZ8" s="241">
        <v>503402.25</v>
      </c>
      <c r="BA8" s="241">
        <v>302948.74</v>
      </c>
      <c r="BB8" s="241">
        <v>506323.64</v>
      </c>
      <c r="BC8" s="241">
        <v>274483.97</v>
      </c>
      <c r="BD8" s="241">
        <v>420652.07</v>
      </c>
      <c r="BE8" s="241">
        <v>499257.8</v>
      </c>
      <c r="BF8" s="241">
        <v>511954.72</v>
      </c>
      <c r="BG8" s="241">
        <v>477973.1</v>
      </c>
      <c r="BH8" s="241"/>
      <c r="BI8" s="241"/>
      <c r="BJ8" s="241"/>
      <c r="BK8" s="241"/>
      <c r="BL8" s="241">
        <v>188506.6</v>
      </c>
      <c r="BM8" s="241">
        <v>0</v>
      </c>
      <c r="BN8" s="241">
        <v>0</v>
      </c>
      <c r="BO8" s="241"/>
      <c r="BP8" s="241">
        <f t="shared" si="2"/>
        <v>188506.6</v>
      </c>
      <c r="BQ8" s="241">
        <v>803257.6</v>
      </c>
      <c r="BR8" s="241"/>
      <c r="BS8" s="162"/>
      <c r="BT8" s="162"/>
      <c r="BU8" s="79"/>
      <c r="BV8" s="79"/>
      <c r="BW8" s="79" t="s">
        <v>84</v>
      </c>
      <c r="BX8" s="273">
        <f t="shared" ref="BX8:BX31" si="13">BP8</f>
        <v>188506.6</v>
      </c>
      <c r="BY8" s="273">
        <f t="shared" si="1"/>
        <v>1</v>
      </c>
      <c r="BZ8" s="273">
        <v>0</v>
      </c>
      <c r="CA8" s="273">
        <f t="shared" si="3"/>
        <v>188506.6</v>
      </c>
      <c r="CB8" s="234">
        <f t="shared" si="4"/>
        <v>188506.6</v>
      </c>
      <c r="CC8" s="234" t="s">
        <v>85</v>
      </c>
    </row>
    <row r="9" s="20" customFormat="1" ht="24" customHeight="1" spans="2:81">
      <c r="B9" s="4" t="s">
        <v>81</v>
      </c>
      <c r="C9" s="218" t="s">
        <v>92</v>
      </c>
      <c r="D9" s="5" t="s">
        <v>93</v>
      </c>
      <c r="E9" s="220">
        <v>2520333.98</v>
      </c>
      <c r="F9" s="220">
        <v>2547367.38</v>
      </c>
      <c r="G9" s="219">
        <v>2873716.8</v>
      </c>
      <c r="H9" s="219">
        <v>2034618.82</v>
      </c>
      <c r="I9" s="219">
        <v>1651001.42</v>
      </c>
      <c r="J9" s="219">
        <v>1850675.01</v>
      </c>
      <c r="K9" s="219">
        <v>1991190.21</v>
      </c>
      <c r="L9" s="219">
        <v>1898873.65</v>
      </c>
      <c r="M9" s="219">
        <v>2740149.02</v>
      </c>
      <c r="N9" s="219">
        <v>3322573.02</v>
      </c>
      <c r="O9" s="219">
        <v>3923994.15</v>
      </c>
      <c r="P9" s="219">
        <v>5393137.21</v>
      </c>
      <c r="Q9" s="219">
        <v>4713273.94</v>
      </c>
      <c r="R9" s="220">
        <v>721000</v>
      </c>
      <c r="S9" s="220">
        <v>0</v>
      </c>
      <c r="T9" s="220">
        <v>1000000</v>
      </c>
      <c r="U9" s="234">
        <v>500000</v>
      </c>
      <c r="V9" s="234">
        <v>0</v>
      </c>
      <c r="W9" s="234">
        <v>0</v>
      </c>
      <c r="X9" s="234">
        <v>500000</v>
      </c>
      <c r="Y9" s="234">
        <v>0</v>
      </c>
      <c r="Z9" s="234">
        <v>0</v>
      </c>
      <c r="AA9" s="234">
        <v>600000</v>
      </c>
      <c r="AB9" s="234">
        <v>200000</v>
      </c>
      <c r="AC9" s="234">
        <v>2000000</v>
      </c>
      <c r="AD9" s="234">
        <v>200000</v>
      </c>
      <c r="AE9" s="234">
        <v>392000</v>
      </c>
      <c r="AF9" s="234">
        <v>1130000</v>
      </c>
      <c r="AG9" s="234">
        <v>0</v>
      </c>
      <c r="AH9" s="234">
        <v>1050000</v>
      </c>
      <c r="AI9" s="241">
        <f t="shared" si="5"/>
        <v>-200666.02</v>
      </c>
      <c r="AJ9" s="241">
        <f t="shared" si="6"/>
        <v>547367.38</v>
      </c>
      <c r="AK9" s="241">
        <f t="shared" si="7"/>
        <v>873716.8</v>
      </c>
      <c r="AL9" s="241">
        <f t="shared" si="8"/>
        <v>434618.82</v>
      </c>
      <c r="AM9" s="241">
        <f t="shared" si="9"/>
        <v>-1648998.58</v>
      </c>
      <c r="AN9" s="241">
        <f t="shared" si="10"/>
        <v>-1449324.99</v>
      </c>
      <c r="AO9" s="241">
        <f t="shared" si="11"/>
        <v>-1900809.79</v>
      </c>
      <c r="AP9" s="241">
        <f t="shared" si="12"/>
        <v>-1493126.35</v>
      </c>
      <c r="AQ9" s="241"/>
      <c r="AR9" s="241"/>
      <c r="AS9" s="241"/>
      <c r="AT9" s="241">
        <f t="shared" si="0"/>
        <v>1671137.21</v>
      </c>
      <c r="AU9" s="241">
        <v>411.32</v>
      </c>
      <c r="AV9" s="241">
        <v>748033.4</v>
      </c>
      <c r="AW9" s="241">
        <v>326349.42</v>
      </c>
      <c r="AX9" s="241">
        <v>160902.02</v>
      </c>
      <c r="AY9" s="241">
        <v>116382.6</v>
      </c>
      <c r="AZ9" s="241">
        <v>199673.59</v>
      </c>
      <c r="BA9" s="241">
        <v>140515.2</v>
      </c>
      <c r="BB9" s="241">
        <v>407683.44</v>
      </c>
      <c r="BC9" s="241">
        <v>841275.37</v>
      </c>
      <c r="BD9" s="241">
        <v>582424</v>
      </c>
      <c r="BE9" s="241">
        <v>1201421.13</v>
      </c>
      <c r="BF9" s="241">
        <v>1669143.06</v>
      </c>
      <c r="BG9" s="241">
        <v>1320136.73</v>
      </c>
      <c r="BH9" s="241"/>
      <c r="BI9" s="241"/>
      <c r="BJ9" s="241"/>
      <c r="BK9" s="241"/>
      <c r="BL9" s="241"/>
      <c r="BM9" s="241"/>
      <c r="BN9" s="241"/>
      <c r="BO9" s="241"/>
      <c r="BP9" s="241">
        <f t="shared" si="2"/>
        <v>411.32</v>
      </c>
      <c r="BQ9" s="241">
        <v>980251.74</v>
      </c>
      <c r="BR9" s="241"/>
      <c r="BS9" s="162"/>
      <c r="BT9" s="162"/>
      <c r="BU9" s="79"/>
      <c r="BV9" s="79"/>
      <c r="BW9" s="79" t="s">
        <v>84</v>
      </c>
      <c r="BX9" s="273">
        <f t="shared" si="13"/>
        <v>411.32</v>
      </c>
      <c r="BY9" s="273">
        <f t="shared" si="1"/>
        <v>1</v>
      </c>
      <c r="BZ9" s="273">
        <v>411.32</v>
      </c>
      <c r="CA9" s="273">
        <f t="shared" si="3"/>
        <v>0</v>
      </c>
      <c r="CB9" s="234">
        <f t="shared" si="4"/>
        <v>0</v>
      </c>
      <c r="CC9" s="234" t="s">
        <v>85</v>
      </c>
    </row>
    <row r="10" s="20" customFormat="1" ht="24" customHeight="1" spans="2:81">
      <c r="B10" s="4" t="s">
        <v>81</v>
      </c>
      <c r="C10" s="218" t="s">
        <v>94</v>
      </c>
      <c r="D10" s="5" t="s">
        <v>95</v>
      </c>
      <c r="E10" s="220">
        <v>1617237.13</v>
      </c>
      <c r="F10" s="220">
        <v>1587881.47</v>
      </c>
      <c r="G10" s="219">
        <v>1801075.59</v>
      </c>
      <c r="H10" s="219">
        <v>1501075.59</v>
      </c>
      <c r="I10" s="219">
        <v>1990948.53</v>
      </c>
      <c r="J10" s="219">
        <v>1916209.63</v>
      </c>
      <c r="K10" s="219">
        <v>1872584.46</v>
      </c>
      <c r="L10" s="219">
        <v>2149683.38</v>
      </c>
      <c r="M10" s="219">
        <v>2031935</v>
      </c>
      <c r="N10" s="219">
        <v>2358624.27</v>
      </c>
      <c r="O10" s="219">
        <v>2442588.21</v>
      </c>
      <c r="P10" s="219">
        <v>2626768.37</v>
      </c>
      <c r="Q10" s="219">
        <v>2344089.4</v>
      </c>
      <c r="R10" s="220">
        <v>412000</v>
      </c>
      <c r="S10" s="220">
        <v>0</v>
      </c>
      <c r="T10" s="220">
        <v>300000</v>
      </c>
      <c r="U10" s="234">
        <v>0</v>
      </c>
      <c r="V10" s="234">
        <v>300000</v>
      </c>
      <c r="W10" s="234">
        <v>350000</v>
      </c>
      <c r="X10" s="234"/>
      <c r="Y10" s="234">
        <v>350000</v>
      </c>
      <c r="Z10" s="234">
        <v>0</v>
      </c>
      <c r="AA10" s="234">
        <v>280000</v>
      </c>
      <c r="AB10" s="234">
        <v>0</v>
      </c>
      <c r="AC10" s="234">
        <v>550000</v>
      </c>
      <c r="AD10" s="234"/>
      <c r="AE10" s="234"/>
      <c r="AF10" s="234">
        <v>400000</v>
      </c>
      <c r="AG10" s="234">
        <v>170000</v>
      </c>
      <c r="AH10" s="234">
        <v>100000</v>
      </c>
      <c r="AI10" s="241">
        <f t="shared" si="5"/>
        <v>-94762.8700000001</v>
      </c>
      <c r="AJ10" s="241">
        <f t="shared" si="6"/>
        <v>287881.47</v>
      </c>
      <c r="AK10" s="241">
        <f t="shared" si="7"/>
        <v>501075.59</v>
      </c>
      <c r="AL10" s="241">
        <f t="shared" si="8"/>
        <v>221075.59</v>
      </c>
      <c r="AM10" s="241">
        <f t="shared" si="9"/>
        <v>160948.53</v>
      </c>
      <c r="AN10" s="241">
        <f t="shared" si="10"/>
        <v>386209.63</v>
      </c>
      <c r="AO10" s="241">
        <f t="shared" si="11"/>
        <v>692584.46</v>
      </c>
      <c r="AP10" s="241">
        <f t="shared" si="12"/>
        <v>969683.38</v>
      </c>
      <c r="AQ10" s="241"/>
      <c r="AR10" s="241"/>
      <c r="AS10" s="241"/>
      <c r="AT10" s="241">
        <f t="shared" si="0"/>
        <v>1506768.37</v>
      </c>
      <c r="AU10" s="241">
        <v>0</v>
      </c>
      <c r="AV10" s="241">
        <v>382644.34</v>
      </c>
      <c r="AW10" s="241">
        <v>213194.12</v>
      </c>
      <c r="AX10" s="241"/>
      <c r="AY10" s="241">
        <v>489872.94</v>
      </c>
      <c r="AZ10" s="241">
        <v>225261.1</v>
      </c>
      <c r="BA10" s="241">
        <v>306374.83</v>
      </c>
      <c r="BB10" s="241">
        <v>277098.92</v>
      </c>
      <c r="BC10" s="241">
        <v>232251.62</v>
      </c>
      <c r="BD10" s="241">
        <v>326689.27</v>
      </c>
      <c r="BE10" s="241">
        <v>363963.94</v>
      </c>
      <c r="BF10" s="241">
        <v>184180.16</v>
      </c>
      <c r="BG10" s="241">
        <v>267321.03</v>
      </c>
      <c r="BH10" s="241"/>
      <c r="BI10" s="241"/>
      <c r="BJ10" s="241"/>
      <c r="BK10" s="241"/>
      <c r="BL10" s="241"/>
      <c r="BM10" s="241">
        <v>10735</v>
      </c>
      <c r="BN10" s="241"/>
      <c r="BO10" s="241"/>
      <c r="BP10" s="241">
        <f t="shared" si="2"/>
        <v>10735</v>
      </c>
      <c r="BQ10" s="241">
        <v>212014.83</v>
      </c>
      <c r="BR10" s="241"/>
      <c r="BS10" s="162"/>
      <c r="BT10" s="162"/>
      <c r="BU10" s="79"/>
      <c r="BV10" s="79"/>
      <c r="BW10" s="79" t="s">
        <v>84</v>
      </c>
      <c r="BX10" s="273">
        <f t="shared" si="13"/>
        <v>10735</v>
      </c>
      <c r="BY10" s="273">
        <f t="shared" si="1"/>
        <v>1</v>
      </c>
      <c r="BZ10" s="273">
        <v>10735</v>
      </c>
      <c r="CA10" s="273">
        <f t="shared" si="3"/>
        <v>0</v>
      </c>
      <c r="CB10" s="234">
        <f t="shared" si="4"/>
        <v>0</v>
      </c>
      <c r="CC10" s="234" t="s">
        <v>96</v>
      </c>
    </row>
    <row r="11" s="20" customFormat="1" ht="24" customHeight="1" spans="2:81">
      <c r="B11" s="4" t="s">
        <v>81</v>
      </c>
      <c r="C11" s="218" t="s">
        <v>97</v>
      </c>
      <c r="D11" s="5" t="s">
        <v>98</v>
      </c>
      <c r="E11" s="220">
        <v>1309036.87</v>
      </c>
      <c r="F11" s="220">
        <v>1600881.53</v>
      </c>
      <c r="G11" s="219">
        <v>1566714.49</v>
      </c>
      <c r="H11" s="219">
        <v>1359630.87</v>
      </c>
      <c r="I11" s="219">
        <v>1586478.1</v>
      </c>
      <c r="J11" s="219">
        <v>1599877.12</v>
      </c>
      <c r="K11" s="219">
        <v>1434908.17</v>
      </c>
      <c r="L11" s="219">
        <v>2118266.36</v>
      </c>
      <c r="M11" s="219">
        <v>2152748.86</v>
      </c>
      <c r="N11" s="219">
        <v>2341616.98</v>
      </c>
      <c r="O11" s="219">
        <v>2527439.32</v>
      </c>
      <c r="P11" s="219">
        <v>2837549.93</v>
      </c>
      <c r="Q11" s="219">
        <v>2827844.14</v>
      </c>
      <c r="R11" s="220">
        <v>0</v>
      </c>
      <c r="S11" s="220">
        <v>200000</v>
      </c>
      <c r="T11" s="220">
        <v>400000</v>
      </c>
      <c r="U11" s="234"/>
      <c r="V11" s="234">
        <v>200000</v>
      </c>
      <c r="W11" s="234">
        <v>485000</v>
      </c>
      <c r="X11" s="234"/>
      <c r="Y11" s="234">
        <v>200000</v>
      </c>
      <c r="Z11" s="234">
        <v>95000</v>
      </c>
      <c r="AA11" s="234">
        <v>300000</v>
      </c>
      <c r="AB11" s="234">
        <v>100000</v>
      </c>
      <c r="AC11" s="234">
        <v>450000</v>
      </c>
      <c r="AD11" s="234">
        <v>100000</v>
      </c>
      <c r="AE11" s="234">
        <v>100000</v>
      </c>
      <c r="AF11" s="234">
        <v>272035</v>
      </c>
      <c r="AG11" s="234">
        <v>180312.5</v>
      </c>
      <c r="AH11" s="234">
        <v>400000</v>
      </c>
      <c r="AI11" s="241">
        <f t="shared" si="5"/>
        <v>-175963.13</v>
      </c>
      <c r="AJ11" s="241">
        <f t="shared" si="6"/>
        <v>115881.53</v>
      </c>
      <c r="AK11" s="241">
        <f t="shared" si="7"/>
        <v>281714.49</v>
      </c>
      <c r="AL11" s="241">
        <f t="shared" si="8"/>
        <v>79630.8700000001</v>
      </c>
      <c r="AM11" s="241">
        <f t="shared" si="9"/>
        <v>-243521.9</v>
      </c>
      <c r="AN11" s="241">
        <f t="shared" si="10"/>
        <v>-30122.8799999999</v>
      </c>
      <c r="AO11" s="241">
        <f t="shared" si="11"/>
        <v>89908.1699999999</v>
      </c>
      <c r="AP11" s="241">
        <f t="shared" si="12"/>
        <v>773266.36</v>
      </c>
      <c r="AQ11" s="241"/>
      <c r="AR11" s="241"/>
      <c r="AS11" s="241"/>
      <c r="AT11" s="241">
        <f t="shared" si="0"/>
        <v>1735202.43</v>
      </c>
      <c r="AU11" s="241"/>
      <c r="AV11" s="241">
        <v>291844.66</v>
      </c>
      <c r="AW11" s="241">
        <v>165832.96</v>
      </c>
      <c r="AX11" s="241">
        <v>192916.38</v>
      </c>
      <c r="AY11" s="241">
        <v>226847.23</v>
      </c>
      <c r="AZ11" s="241">
        <v>213399.02</v>
      </c>
      <c r="BA11" s="241">
        <v>335031.05</v>
      </c>
      <c r="BB11" s="241">
        <v>683358.19</v>
      </c>
      <c r="BC11" s="241">
        <v>234482.5</v>
      </c>
      <c r="BD11" s="241">
        <v>283868.12</v>
      </c>
      <c r="BE11" s="241">
        <v>485822.34</v>
      </c>
      <c r="BF11" s="241">
        <v>410110.61</v>
      </c>
      <c r="BG11" s="241">
        <v>440294.21</v>
      </c>
      <c r="BH11" s="241">
        <v>2169.6</v>
      </c>
      <c r="BI11" s="241">
        <v>7458</v>
      </c>
      <c r="BJ11" s="241">
        <v>29312.2</v>
      </c>
      <c r="BK11" s="241">
        <v>0</v>
      </c>
      <c r="BL11" s="241">
        <v>41086.8</v>
      </c>
      <c r="BM11" s="241">
        <v>16882.2</v>
      </c>
      <c r="BN11" s="241">
        <v>10170</v>
      </c>
      <c r="BO11" s="241"/>
      <c r="BP11" s="241">
        <f t="shared" si="2"/>
        <v>107078.8</v>
      </c>
      <c r="BQ11" s="241">
        <v>217405.24</v>
      </c>
      <c r="BR11" s="241"/>
      <c r="BS11" s="162"/>
      <c r="BT11" s="162"/>
      <c r="BU11" s="79"/>
      <c r="BV11" s="79"/>
      <c r="BW11" s="79" t="s">
        <v>84</v>
      </c>
      <c r="BX11" s="273">
        <f t="shared" si="13"/>
        <v>107078.8</v>
      </c>
      <c r="BY11" s="273">
        <f t="shared" si="1"/>
        <v>1</v>
      </c>
      <c r="BZ11" s="273">
        <v>9627.6</v>
      </c>
      <c r="CA11" s="273">
        <f t="shared" si="3"/>
        <v>97451.2</v>
      </c>
      <c r="CB11" s="234">
        <f t="shared" si="4"/>
        <v>97451.2</v>
      </c>
      <c r="CC11" s="234" t="s">
        <v>85</v>
      </c>
    </row>
    <row r="12" s="20" customFormat="1" ht="24" customHeight="1" spans="2:81">
      <c r="B12" s="4" t="s">
        <v>81</v>
      </c>
      <c r="C12" s="218" t="s">
        <v>99</v>
      </c>
      <c r="D12" s="5" t="s">
        <v>100</v>
      </c>
      <c r="E12" s="220">
        <v>836579.35</v>
      </c>
      <c r="F12" s="220">
        <v>836579.35</v>
      </c>
      <c r="G12" s="219">
        <v>1590596.91</v>
      </c>
      <c r="H12" s="219">
        <v>1860409.89</v>
      </c>
      <c r="I12" s="219">
        <v>1360409.89</v>
      </c>
      <c r="J12" s="219">
        <v>1661907.57</v>
      </c>
      <c r="K12" s="219">
        <v>1927609.19</v>
      </c>
      <c r="L12" s="219">
        <v>927609.19</v>
      </c>
      <c r="M12" s="219">
        <v>927609.19</v>
      </c>
      <c r="N12" s="219">
        <v>627609.19</v>
      </c>
      <c r="O12" s="219">
        <v>327609.19</v>
      </c>
      <c r="P12" s="219">
        <v>1413158.32</v>
      </c>
      <c r="Q12" s="219">
        <v>970967.72</v>
      </c>
      <c r="R12" s="220"/>
      <c r="S12" s="220">
        <v>150000</v>
      </c>
      <c r="T12" s="220">
        <v>300000</v>
      </c>
      <c r="U12" s="234">
        <v>500000</v>
      </c>
      <c r="V12" s="234">
        <v>500000</v>
      </c>
      <c r="W12" s="234"/>
      <c r="X12" s="234">
        <v>1000000</v>
      </c>
      <c r="Y12" s="234"/>
      <c r="Z12" s="234">
        <v>300000</v>
      </c>
      <c r="AA12" s="234">
        <v>300000</v>
      </c>
      <c r="AB12" s="234"/>
      <c r="AC12" s="234">
        <v>750000</v>
      </c>
      <c r="AD12" s="234">
        <v>300000</v>
      </c>
      <c r="AE12" s="234"/>
      <c r="AF12" s="234">
        <v>200000</v>
      </c>
      <c r="AG12" s="234">
        <v>300000</v>
      </c>
      <c r="AH12" s="234">
        <v>200000</v>
      </c>
      <c r="AI12" s="241">
        <f t="shared" si="5"/>
        <v>-1613420.65</v>
      </c>
      <c r="AJ12" s="241">
        <f t="shared" si="6"/>
        <v>-1613420.65</v>
      </c>
      <c r="AK12" s="241">
        <f t="shared" si="7"/>
        <v>-709403.09</v>
      </c>
      <c r="AL12" s="241">
        <f t="shared" si="8"/>
        <v>-739590.11</v>
      </c>
      <c r="AM12" s="241">
        <f t="shared" si="9"/>
        <v>-1489590.11</v>
      </c>
      <c r="AN12" s="241">
        <f t="shared" si="10"/>
        <v>-688092.43</v>
      </c>
      <c r="AO12" s="241">
        <f t="shared" si="11"/>
        <v>-722390.81</v>
      </c>
      <c r="AP12" s="241">
        <f t="shared" si="12"/>
        <v>-722390.81</v>
      </c>
      <c r="AQ12" s="241"/>
      <c r="AR12" s="241"/>
      <c r="AS12" s="241"/>
      <c r="AT12" s="241">
        <f t="shared" si="0"/>
        <v>-136841.68</v>
      </c>
      <c r="AU12" s="241"/>
      <c r="AV12" s="241"/>
      <c r="AW12" s="241">
        <v>904017.56</v>
      </c>
      <c r="AX12" s="241">
        <v>569812.98</v>
      </c>
      <c r="AY12" s="241"/>
      <c r="AZ12" s="241">
        <v>801497.68</v>
      </c>
      <c r="BA12" s="241">
        <v>265701.62</v>
      </c>
      <c r="BB12" s="241"/>
      <c r="BC12" s="241"/>
      <c r="BD12" s="241"/>
      <c r="BE12" s="241"/>
      <c r="BF12" s="241">
        <v>1085549.13</v>
      </c>
      <c r="BG12" s="241">
        <v>307809.4</v>
      </c>
      <c r="BH12" s="241">
        <v>25764</v>
      </c>
      <c r="BI12" s="241">
        <v>25764</v>
      </c>
      <c r="BJ12" s="241">
        <v>137803.5</v>
      </c>
      <c r="BK12" s="241"/>
      <c r="BL12" s="241"/>
      <c r="BM12" s="241"/>
      <c r="BN12" s="241">
        <v>432507.5</v>
      </c>
      <c r="BO12" s="241">
        <v>128255</v>
      </c>
      <c r="BP12" s="241">
        <f t="shared" si="2"/>
        <v>750094</v>
      </c>
      <c r="BQ12" s="241">
        <v>0</v>
      </c>
      <c r="BR12" s="241"/>
      <c r="BS12" s="162"/>
      <c r="BT12" s="162"/>
      <c r="BU12" s="79"/>
      <c r="BV12" s="79"/>
      <c r="BW12" s="79" t="s">
        <v>84</v>
      </c>
      <c r="BX12" s="273">
        <f t="shared" si="13"/>
        <v>750094</v>
      </c>
      <c r="BY12" s="273">
        <f t="shared" si="1"/>
        <v>1</v>
      </c>
      <c r="BZ12" s="273">
        <f>189331.5</f>
        <v>189331.5</v>
      </c>
      <c r="CA12" s="273">
        <f t="shared" si="3"/>
        <v>560762.5</v>
      </c>
      <c r="CB12" s="234">
        <f>CA12</f>
        <v>560762.5</v>
      </c>
      <c r="CC12" s="234" t="s">
        <v>101</v>
      </c>
    </row>
    <row r="13" s="20" customFormat="1" ht="24" customHeight="1" spans="2:81">
      <c r="B13" s="4" t="s">
        <v>81</v>
      </c>
      <c r="C13" s="218" t="s">
        <v>102</v>
      </c>
      <c r="D13" s="5" t="s">
        <v>103</v>
      </c>
      <c r="E13" s="220">
        <v>2298406.19</v>
      </c>
      <c r="F13" s="220">
        <v>3231324.59</v>
      </c>
      <c r="G13" s="219">
        <v>1807612.59</v>
      </c>
      <c r="H13" s="219">
        <v>1807612.59</v>
      </c>
      <c r="I13" s="219">
        <v>2248380.11</v>
      </c>
      <c r="J13" s="219">
        <v>1248380.11</v>
      </c>
      <c r="K13" s="219">
        <v>1741922.99</v>
      </c>
      <c r="L13" s="219">
        <v>1741922.99</v>
      </c>
      <c r="M13" s="219">
        <v>2371602.54</v>
      </c>
      <c r="N13" s="219">
        <v>1210715.74</v>
      </c>
      <c r="O13" s="219">
        <v>1731729.26</v>
      </c>
      <c r="P13" s="219">
        <v>1221376.41</v>
      </c>
      <c r="Q13" s="219">
        <v>2281849.77</v>
      </c>
      <c r="R13" s="220"/>
      <c r="S13" s="220">
        <v>2000000</v>
      </c>
      <c r="T13" s="220"/>
      <c r="U13" s="234"/>
      <c r="V13" s="234">
        <v>1000000</v>
      </c>
      <c r="W13" s="234"/>
      <c r="X13" s="234"/>
      <c r="Y13" s="234"/>
      <c r="Z13" s="234">
        <v>1655074.64</v>
      </c>
      <c r="AA13" s="234">
        <v>450000</v>
      </c>
      <c r="AB13" s="234">
        <v>743433.2</v>
      </c>
      <c r="AC13" s="234"/>
      <c r="AD13" s="234"/>
      <c r="AE13" s="234">
        <v>1000000</v>
      </c>
      <c r="AF13" s="234"/>
      <c r="AG13" s="234">
        <v>1100000</v>
      </c>
      <c r="AH13" s="234">
        <v>400000</v>
      </c>
      <c r="AI13" s="241">
        <f t="shared" si="5"/>
        <v>-701593.81</v>
      </c>
      <c r="AJ13" s="241">
        <f t="shared" si="6"/>
        <v>231324.59</v>
      </c>
      <c r="AK13" s="241">
        <f t="shared" si="7"/>
        <v>807612.59</v>
      </c>
      <c r="AL13" s="241">
        <f t="shared" si="8"/>
        <v>-1297462.05</v>
      </c>
      <c r="AM13" s="241">
        <f t="shared" si="9"/>
        <v>-1600127.73</v>
      </c>
      <c r="AN13" s="241">
        <f t="shared" si="10"/>
        <v>-1600127.73</v>
      </c>
      <c r="AO13" s="241">
        <f t="shared" si="11"/>
        <v>-2106584.85</v>
      </c>
      <c r="AP13" s="241">
        <f t="shared" si="12"/>
        <v>-2106584.85</v>
      </c>
      <c r="AQ13" s="241"/>
      <c r="AR13" s="241"/>
      <c r="AS13" s="241"/>
      <c r="AT13" s="241">
        <f t="shared" si="0"/>
        <v>-878623.59</v>
      </c>
      <c r="AU13" s="241"/>
      <c r="AV13" s="241"/>
      <c r="AW13" s="241"/>
      <c r="AX13" s="241"/>
      <c r="AY13" s="241"/>
      <c r="AZ13" s="241"/>
      <c r="BA13" s="241"/>
      <c r="BB13" s="241"/>
      <c r="BC13" s="241"/>
      <c r="BD13" s="241"/>
      <c r="BE13" s="241"/>
      <c r="BF13" s="241"/>
      <c r="BG13" s="241"/>
      <c r="BH13" s="241">
        <v>0</v>
      </c>
      <c r="BI13" s="241">
        <v>0</v>
      </c>
      <c r="BJ13" s="241">
        <v>0</v>
      </c>
      <c r="BK13" s="241">
        <v>233106.08</v>
      </c>
      <c r="BL13" s="241">
        <v>392053.48</v>
      </c>
      <c r="BM13" s="241">
        <v>416448.24</v>
      </c>
      <c r="BN13" s="241">
        <v>385932</v>
      </c>
      <c r="BO13" s="241">
        <v>377048.5</v>
      </c>
      <c r="BP13" s="241">
        <f t="shared" si="2"/>
        <v>1804588.3</v>
      </c>
      <c r="BQ13" s="241"/>
      <c r="BR13" s="241"/>
      <c r="BS13" s="162"/>
      <c r="BT13" s="162"/>
      <c r="BU13" s="79"/>
      <c r="BV13" s="79"/>
      <c r="BW13" s="79" t="s">
        <v>84</v>
      </c>
      <c r="BX13" s="273">
        <f t="shared" si="13"/>
        <v>1804588.3</v>
      </c>
      <c r="BY13" s="273">
        <f t="shared" si="1"/>
        <v>1</v>
      </c>
      <c r="BZ13" s="273">
        <f>392053.48+233106.08</f>
        <v>625159.56</v>
      </c>
      <c r="CA13" s="273">
        <f t="shared" si="3"/>
        <v>1179428.74</v>
      </c>
      <c r="CB13" s="234">
        <f>CA13-BO13</f>
        <v>802380.24</v>
      </c>
      <c r="CC13" s="234" t="s">
        <v>104</v>
      </c>
    </row>
    <row r="14" s="20" customFormat="1" ht="24" customHeight="1" spans="2:81">
      <c r="B14" s="4" t="s">
        <v>81</v>
      </c>
      <c r="C14" s="218" t="s">
        <v>105</v>
      </c>
      <c r="D14" s="5" t="s">
        <v>106</v>
      </c>
      <c r="E14" s="220">
        <v>1498539.37</v>
      </c>
      <c r="F14" s="220">
        <v>1833556.83</v>
      </c>
      <c r="G14" s="219">
        <v>1783994.71</v>
      </c>
      <c r="H14" s="219">
        <v>1731445.82</v>
      </c>
      <c r="I14" s="219">
        <v>1496251.57</v>
      </c>
      <c r="J14" s="219">
        <v>1879297.55</v>
      </c>
      <c r="K14" s="219">
        <v>1647417.69</v>
      </c>
      <c r="L14" s="219">
        <v>1620500.94</v>
      </c>
      <c r="M14" s="219">
        <v>1837806.72</v>
      </c>
      <c r="N14" s="219">
        <v>2145443.28</v>
      </c>
      <c r="O14" s="219">
        <v>1264344.7</v>
      </c>
      <c r="P14" s="219">
        <v>1632954.85</v>
      </c>
      <c r="Q14" s="219">
        <v>1560168.6</v>
      </c>
      <c r="R14" s="220">
        <v>0</v>
      </c>
      <c r="S14" s="220">
        <v>313641</v>
      </c>
      <c r="T14" s="220">
        <v>322673.16</v>
      </c>
      <c r="U14" s="234">
        <v>525507.01</v>
      </c>
      <c r="V14" s="234"/>
      <c r="W14" s="234">
        <v>613364.31</v>
      </c>
      <c r="X14" s="234">
        <v>400000</v>
      </c>
      <c r="Y14" s="234">
        <v>60604.21</v>
      </c>
      <c r="Z14" s="234">
        <v>53693.69</v>
      </c>
      <c r="AA14" s="234">
        <v>1250000</v>
      </c>
      <c r="AB14" s="234">
        <v>0</v>
      </c>
      <c r="AC14" s="234">
        <v>450000</v>
      </c>
      <c r="AD14" s="234">
        <v>351189.16</v>
      </c>
      <c r="AE14" s="234"/>
      <c r="AF14" s="234">
        <v>268116.33</v>
      </c>
      <c r="AG14" s="234">
        <v>50000</v>
      </c>
      <c r="AH14" s="234">
        <v>200000</v>
      </c>
      <c r="AI14" s="241">
        <f t="shared" si="5"/>
        <v>-737250.32</v>
      </c>
      <c r="AJ14" s="241">
        <f t="shared" si="6"/>
        <v>-402232.86</v>
      </c>
      <c r="AK14" s="241">
        <f t="shared" si="7"/>
        <v>-138153.98</v>
      </c>
      <c r="AL14" s="241">
        <f t="shared" si="8"/>
        <v>-1171723.4</v>
      </c>
      <c r="AM14" s="241">
        <f t="shared" si="9"/>
        <v>-1331410.64</v>
      </c>
      <c r="AN14" s="241">
        <f t="shared" si="10"/>
        <v>-948364.66</v>
      </c>
      <c r="AO14" s="241">
        <f t="shared" si="11"/>
        <v>-918069.37</v>
      </c>
      <c r="AP14" s="241">
        <f t="shared" si="12"/>
        <v>-544986.12</v>
      </c>
      <c r="AQ14" s="241"/>
      <c r="AR14" s="241"/>
      <c r="AS14" s="241"/>
      <c r="AT14" s="241">
        <f t="shared" si="0"/>
        <v>513649.36</v>
      </c>
      <c r="AU14" s="241"/>
      <c r="AV14" s="241">
        <v>335017.46</v>
      </c>
      <c r="AW14" s="241">
        <v>264078.88</v>
      </c>
      <c r="AX14" s="241">
        <v>270124.27</v>
      </c>
      <c r="AY14" s="241">
        <v>290312.76</v>
      </c>
      <c r="AZ14" s="241">
        <v>383045.98</v>
      </c>
      <c r="BA14" s="241">
        <v>381484.45</v>
      </c>
      <c r="BB14" s="241">
        <v>373083.25</v>
      </c>
      <c r="BC14" s="241">
        <v>277909.99</v>
      </c>
      <c r="BD14" s="241">
        <v>361330.25</v>
      </c>
      <c r="BE14" s="241">
        <v>368901.42</v>
      </c>
      <c r="BF14" s="241">
        <v>368610.15</v>
      </c>
      <c r="BG14" s="241">
        <v>377213.75</v>
      </c>
      <c r="BH14" s="241">
        <v>17290.13</v>
      </c>
      <c r="BI14" s="241">
        <v>66518.11</v>
      </c>
      <c r="BJ14" s="241">
        <v>191765.52</v>
      </c>
      <c r="BK14" s="241">
        <v>180562.61</v>
      </c>
      <c r="BL14" s="241">
        <v>224393.49</v>
      </c>
      <c r="BM14" s="241"/>
      <c r="BN14" s="241">
        <v>222983.92</v>
      </c>
      <c r="BO14" s="241">
        <v>143494.68</v>
      </c>
      <c r="BP14" s="241">
        <f t="shared" si="2"/>
        <v>1047008.46</v>
      </c>
      <c r="BQ14" s="241">
        <v>454636.08</v>
      </c>
      <c r="BR14" s="241"/>
      <c r="BS14" s="162"/>
      <c r="BT14" s="162"/>
      <c r="BU14" s="79"/>
      <c r="BV14" s="79"/>
      <c r="BW14" s="79" t="s">
        <v>84</v>
      </c>
      <c r="BX14" s="273">
        <f t="shared" si="13"/>
        <v>1047008.46</v>
      </c>
      <c r="BY14" s="273">
        <f t="shared" si="1"/>
        <v>1</v>
      </c>
      <c r="BZ14" s="273">
        <f>23453.9+438846.54-6164.07</f>
        <v>456136.37</v>
      </c>
      <c r="CA14" s="273">
        <f t="shared" si="3"/>
        <v>590872.09</v>
      </c>
      <c r="CB14" s="234">
        <f>CA14-BO14</f>
        <v>447377.41</v>
      </c>
      <c r="CC14" s="234" t="s">
        <v>85</v>
      </c>
    </row>
    <row r="15" s="20" customFormat="1" ht="24" customHeight="1" spans="2:81">
      <c r="B15" s="4" t="s">
        <v>81</v>
      </c>
      <c r="C15" s="218" t="s">
        <v>107</v>
      </c>
      <c r="D15" s="5" t="s">
        <v>108</v>
      </c>
      <c r="E15" s="220"/>
      <c r="F15" s="220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20"/>
      <c r="S15" s="220"/>
      <c r="T15" s="220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41"/>
      <c r="AJ15" s="241"/>
      <c r="AK15" s="241"/>
      <c r="AL15" s="241"/>
      <c r="AM15" s="241"/>
      <c r="AN15" s="241"/>
      <c r="AO15" s="241"/>
      <c r="AP15" s="241"/>
      <c r="AQ15" s="241"/>
      <c r="AR15" s="241"/>
      <c r="AS15" s="241"/>
      <c r="AT15" s="241"/>
      <c r="AU15" s="241">
        <v>9153</v>
      </c>
      <c r="AV15" s="241"/>
      <c r="AW15" s="241"/>
      <c r="AX15" s="241"/>
      <c r="AY15" s="241"/>
      <c r="AZ15" s="241"/>
      <c r="BA15" s="241"/>
      <c r="BB15" s="241"/>
      <c r="BC15" s="241"/>
      <c r="BD15" s="241"/>
      <c r="BE15" s="241"/>
      <c r="BF15" s="241"/>
      <c r="BG15" s="241"/>
      <c r="BH15" s="241">
        <v>146662.52</v>
      </c>
      <c r="BI15" s="241">
        <v>330679.58</v>
      </c>
      <c r="BJ15" s="241">
        <v>551132.64</v>
      </c>
      <c r="BK15" s="241">
        <v>440714.75</v>
      </c>
      <c r="BL15" s="241">
        <v>595223.25</v>
      </c>
      <c r="BM15" s="241"/>
      <c r="BN15" s="241">
        <v>317309.51</v>
      </c>
      <c r="BO15" s="241">
        <v>101959.54</v>
      </c>
      <c r="BP15" s="241">
        <f t="shared" si="2"/>
        <v>2492834.79</v>
      </c>
      <c r="BQ15" s="241"/>
      <c r="BR15" s="241"/>
      <c r="BS15" s="162"/>
      <c r="BT15" s="162"/>
      <c r="BU15" s="79"/>
      <c r="BV15" s="79"/>
      <c r="BW15" s="79" t="s">
        <v>84</v>
      </c>
      <c r="BX15" s="273">
        <f t="shared" si="13"/>
        <v>2492834.79</v>
      </c>
      <c r="BY15" s="273"/>
      <c r="BZ15" s="273">
        <f>155815.52+551132.64</f>
        <v>706948.16</v>
      </c>
      <c r="CA15" s="273">
        <f t="shared" si="3"/>
        <v>1785886.63</v>
      </c>
      <c r="CB15" s="234">
        <f>CA15-BO15</f>
        <v>1683927.09</v>
      </c>
      <c r="CC15" s="234" t="s">
        <v>85</v>
      </c>
    </row>
    <row r="16" s="20" customFormat="1" ht="24" customHeight="1" spans="2:81">
      <c r="B16" s="4" t="s">
        <v>81</v>
      </c>
      <c r="C16" s="218" t="s">
        <v>109</v>
      </c>
      <c r="D16" s="5" t="s">
        <v>110</v>
      </c>
      <c r="E16" s="220"/>
      <c r="F16" s="220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20"/>
      <c r="S16" s="220"/>
      <c r="T16" s="220"/>
      <c r="U16" s="234"/>
      <c r="V16" s="234"/>
      <c r="W16" s="234"/>
      <c r="X16" s="234"/>
      <c r="Y16" s="234"/>
      <c r="Z16" s="234"/>
      <c r="AA16" s="234"/>
      <c r="AB16" s="234"/>
      <c r="AC16" s="234"/>
      <c r="AD16" s="234"/>
      <c r="AE16" s="234"/>
      <c r="AF16" s="234"/>
      <c r="AG16" s="234"/>
      <c r="AH16" s="234"/>
      <c r="AI16" s="241"/>
      <c r="AJ16" s="241"/>
      <c r="AK16" s="241"/>
      <c r="AL16" s="241"/>
      <c r="AM16" s="241"/>
      <c r="AN16" s="241"/>
      <c r="AO16" s="241"/>
      <c r="AP16" s="241"/>
      <c r="AQ16" s="241"/>
      <c r="AR16" s="241"/>
      <c r="AS16" s="241"/>
      <c r="AT16" s="241"/>
      <c r="AU16" s="241"/>
      <c r="AV16" s="241"/>
      <c r="AW16" s="241"/>
      <c r="AX16" s="241"/>
      <c r="AY16" s="241"/>
      <c r="AZ16" s="241"/>
      <c r="BA16" s="241"/>
      <c r="BB16" s="241"/>
      <c r="BC16" s="241"/>
      <c r="BD16" s="241"/>
      <c r="BE16" s="241"/>
      <c r="BF16" s="241"/>
      <c r="BG16" s="241"/>
      <c r="BH16" s="241">
        <v>0</v>
      </c>
      <c r="BI16" s="241">
        <v>32437.78</v>
      </c>
      <c r="BJ16" s="241">
        <v>50978.93</v>
      </c>
      <c r="BK16" s="241">
        <v>45880.7</v>
      </c>
      <c r="BL16" s="241">
        <v>27783.75</v>
      </c>
      <c r="BM16" s="241">
        <v>30894.83</v>
      </c>
      <c r="BN16" s="241"/>
      <c r="BO16" s="241"/>
      <c r="BP16" s="241">
        <f t="shared" si="2"/>
        <v>187975.99</v>
      </c>
      <c r="BQ16" s="241"/>
      <c r="BR16" s="241"/>
      <c r="BS16" s="162"/>
      <c r="BT16" s="162"/>
      <c r="BU16" s="79"/>
      <c r="BV16" s="79"/>
      <c r="BW16" s="79" t="s">
        <v>84</v>
      </c>
      <c r="BX16" s="273">
        <f t="shared" si="13"/>
        <v>187975.99</v>
      </c>
      <c r="BY16" s="273"/>
      <c r="BZ16" s="273">
        <v>187975.99</v>
      </c>
      <c r="CA16" s="273">
        <f t="shared" si="3"/>
        <v>0</v>
      </c>
      <c r="CB16" s="234">
        <f t="shared" si="4"/>
        <v>0</v>
      </c>
      <c r="CC16" s="234" t="s">
        <v>111</v>
      </c>
    </row>
    <row r="17" s="20" customFormat="1" ht="24" customHeight="1" spans="2:81">
      <c r="B17" s="4" t="s">
        <v>81</v>
      </c>
      <c r="C17" s="218" t="s">
        <v>112</v>
      </c>
      <c r="D17" s="5" t="s">
        <v>113</v>
      </c>
      <c r="E17" s="220"/>
      <c r="F17" s="220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20"/>
      <c r="S17" s="220"/>
      <c r="T17" s="220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41"/>
      <c r="AJ17" s="241"/>
      <c r="AK17" s="241"/>
      <c r="AL17" s="241"/>
      <c r="AM17" s="241"/>
      <c r="AN17" s="241"/>
      <c r="AO17" s="241"/>
      <c r="AP17" s="241"/>
      <c r="AQ17" s="241"/>
      <c r="AR17" s="241"/>
      <c r="AS17" s="241"/>
      <c r="AT17" s="241"/>
      <c r="AU17" s="241"/>
      <c r="AV17" s="241"/>
      <c r="AW17" s="241"/>
      <c r="AX17" s="241"/>
      <c r="AY17" s="241"/>
      <c r="AZ17" s="241"/>
      <c r="BA17" s="241"/>
      <c r="BB17" s="241"/>
      <c r="BC17" s="241"/>
      <c r="BD17" s="241"/>
      <c r="BE17" s="241"/>
      <c r="BF17" s="241"/>
      <c r="BG17" s="241"/>
      <c r="BH17" s="241">
        <v>24799.21</v>
      </c>
      <c r="BI17" s="241">
        <v>113930.39</v>
      </c>
      <c r="BJ17" s="241">
        <v>253114.35</v>
      </c>
      <c r="BK17" s="241">
        <v>179138.9</v>
      </c>
      <c r="BL17" s="241">
        <v>280997.44</v>
      </c>
      <c r="BM17" s="241"/>
      <c r="BN17" s="241">
        <v>265871.49</v>
      </c>
      <c r="BO17" s="241"/>
      <c r="BP17" s="241">
        <f t="shared" si="2"/>
        <v>1117851.78</v>
      </c>
      <c r="BQ17" s="241"/>
      <c r="BR17" s="241"/>
      <c r="BS17" s="162"/>
      <c r="BT17" s="162"/>
      <c r="BU17" s="79"/>
      <c r="BV17" s="79"/>
      <c r="BW17" s="79" t="s">
        <v>84</v>
      </c>
      <c r="BX17" s="273">
        <f t="shared" si="13"/>
        <v>1117851.78</v>
      </c>
      <c r="BY17" s="273"/>
      <c r="BZ17" s="273">
        <f>138729.6+179138.9</f>
        <v>317868.5</v>
      </c>
      <c r="CA17" s="273">
        <f t="shared" si="3"/>
        <v>799983.28</v>
      </c>
      <c r="CB17" s="234">
        <f t="shared" si="4"/>
        <v>799983.28</v>
      </c>
      <c r="CC17" s="234" t="s">
        <v>85</v>
      </c>
    </row>
    <row r="18" s="20" customFormat="1" ht="24" customHeight="1" spans="2:81">
      <c r="B18" s="4" t="s">
        <v>81</v>
      </c>
      <c r="C18" s="218" t="s">
        <v>114</v>
      </c>
      <c r="D18" s="5" t="s">
        <v>115</v>
      </c>
      <c r="E18" s="220"/>
      <c r="F18" s="220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20"/>
      <c r="S18" s="220"/>
      <c r="T18" s="220"/>
      <c r="U18" s="234"/>
      <c r="V18" s="234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41"/>
      <c r="AJ18" s="241"/>
      <c r="AK18" s="241"/>
      <c r="AL18" s="241"/>
      <c r="AM18" s="241"/>
      <c r="AN18" s="241"/>
      <c r="AO18" s="241"/>
      <c r="AP18" s="241"/>
      <c r="AQ18" s="241"/>
      <c r="AR18" s="241"/>
      <c r="AS18" s="241"/>
      <c r="AT18" s="241"/>
      <c r="AU18" s="241">
        <v>3868.47</v>
      </c>
      <c r="AV18" s="241"/>
      <c r="AW18" s="241"/>
      <c r="AX18" s="241"/>
      <c r="AY18" s="241"/>
      <c r="AZ18" s="241"/>
      <c r="BA18" s="241"/>
      <c r="BB18" s="241"/>
      <c r="BC18" s="241"/>
      <c r="BD18" s="241"/>
      <c r="BE18" s="241"/>
      <c r="BF18" s="241"/>
      <c r="BG18" s="241"/>
      <c r="BH18" s="241">
        <v>2834.04</v>
      </c>
      <c r="BI18" s="241">
        <v>26767.51</v>
      </c>
      <c r="BJ18" s="241">
        <v>114778.62</v>
      </c>
      <c r="BK18" s="241">
        <v>0</v>
      </c>
      <c r="BL18" s="241">
        <v>213360.7</v>
      </c>
      <c r="BM18" s="241"/>
      <c r="BN18" s="241">
        <v>0</v>
      </c>
      <c r="BO18" s="241"/>
      <c r="BP18" s="241">
        <f t="shared" si="2"/>
        <v>361609.34</v>
      </c>
      <c r="BQ18" s="241"/>
      <c r="BR18" s="241"/>
      <c r="BS18" s="162"/>
      <c r="BT18" s="162"/>
      <c r="BU18" s="79"/>
      <c r="BV18" s="79"/>
      <c r="BW18" s="79" t="s">
        <v>84</v>
      </c>
      <c r="BX18" s="273">
        <f t="shared" si="13"/>
        <v>361609.34</v>
      </c>
      <c r="BY18" s="273"/>
      <c r="BZ18" s="273">
        <f>33470.02+114778.62</f>
        <v>148248.64</v>
      </c>
      <c r="CA18" s="273">
        <f t="shared" si="3"/>
        <v>213360.7</v>
      </c>
      <c r="CB18" s="234">
        <f t="shared" si="4"/>
        <v>213360.7</v>
      </c>
      <c r="CC18" s="234" t="s">
        <v>85</v>
      </c>
    </row>
    <row r="19" s="20" customFormat="1" ht="24" customHeight="1" spans="2:81">
      <c r="B19" s="4" t="s">
        <v>81</v>
      </c>
      <c r="C19" s="218" t="s">
        <v>116</v>
      </c>
      <c r="D19" s="5" t="s">
        <v>117</v>
      </c>
      <c r="E19" s="220"/>
      <c r="F19" s="220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20"/>
      <c r="S19" s="220"/>
      <c r="T19" s="220"/>
      <c r="U19" s="234"/>
      <c r="V19" s="234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41"/>
      <c r="AJ19" s="241"/>
      <c r="AK19" s="241"/>
      <c r="AL19" s="241"/>
      <c r="AM19" s="241"/>
      <c r="AN19" s="241"/>
      <c r="AO19" s="241"/>
      <c r="AP19" s="241"/>
      <c r="AQ19" s="241"/>
      <c r="AR19" s="241"/>
      <c r="AS19" s="241"/>
      <c r="AT19" s="241"/>
      <c r="AU19" s="241"/>
      <c r="AV19" s="241"/>
      <c r="AW19" s="241"/>
      <c r="AX19" s="241"/>
      <c r="AY19" s="241"/>
      <c r="AZ19" s="241"/>
      <c r="BA19" s="241"/>
      <c r="BB19" s="241"/>
      <c r="BC19" s="241"/>
      <c r="BD19" s="241"/>
      <c r="BE19" s="241"/>
      <c r="BF19" s="241"/>
      <c r="BG19" s="241"/>
      <c r="BH19" s="241">
        <v>0</v>
      </c>
      <c r="BI19" s="241">
        <v>9824.22</v>
      </c>
      <c r="BJ19" s="241">
        <v>23910.8</v>
      </c>
      <c r="BK19" s="241">
        <v>47301.8</v>
      </c>
      <c r="BL19" s="241">
        <v>30408.3</v>
      </c>
      <c r="BM19" s="241"/>
      <c r="BN19" s="241">
        <v>53799.3</v>
      </c>
      <c r="BO19" s="241"/>
      <c r="BP19" s="241">
        <f t="shared" si="2"/>
        <v>165244.42</v>
      </c>
      <c r="BQ19" s="241"/>
      <c r="BR19" s="241"/>
      <c r="BS19" s="162"/>
      <c r="BT19" s="162"/>
      <c r="BU19" s="79"/>
      <c r="BV19" s="79"/>
      <c r="BW19" s="79" t="s">
        <v>84</v>
      </c>
      <c r="BX19" s="273">
        <f t="shared" si="13"/>
        <v>165244.42</v>
      </c>
      <c r="BY19" s="273"/>
      <c r="BZ19" s="273">
        <f>9824.22+71212.6</f>
        <v>81036.82</v>
      </c>
      <c r="CA19" s="273">
        <f t="shared" si="3"/>
        <v>84207.6</v>
      </c>
      <c r="CB19" s="234">
        <f t="shared" si="4"/>
        <v>84207.6</v>
      </c>
      <c r="CC19" s="234" t="s">
        <v>85</v>
      </c>
    </row>
    <row r="20" s="20" customFormat="1" ht="24" customHeight="1" spans="2:81">
      <c r="B20" s="4" t="s">
        <v>81</v>
      </c>
      <c r="C20" s="218" t="s">
        <v>118</v>
      </c>
      <c r="D20" s="5" t="s">
        <v>119</v>
      </c>
      <c r="E20" s="220"/>
      <c r="F20" s="220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20"/>
      <c r="S20" s="220"/>
      <c r="T20" s="220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41"/>
      <c r="AJ20" s="241"/>
      <c r="AK20" s="241"/>
      <c r="AL20" s="241"/>
      <c r="AM20" s="241"/>
      <c r="AN20" s="241"/>
      <c r="AO20" s="241"/>
      <c r="AP20" s="241"/>
      <c r="AQ20" s="241"/>
      <c r="AR20" s="241"/>
      <c r="AS20" s="241"/>
      <c r="AT20" s="241"/>
      <c r="AU20" s="241"/>
      <c r="AV20" s="241"/>
      <c r="AW20" s="241"/>
      <c r="AX20" s="241"/>
      <c r="AY20" s="241"/>
      <c r="AZ20" s="241"/>
      <c r="BA20" s="241"/>
      <c r="BB20" s="241"/>
      <c r="BC20" s="241"/>
      <c r="BD20" s="241"/>
      <c r="BE20" s="241"/>
      <c r="BF20" s="241"/>
      <c r="BG20" s="241"/>
      <c r="BH20" s="241">
        <v>34049.73</v>
      </c>
      <c r="BI20" s="241">
        <v>452429.4</v>
      </c>
      <c r="BJ20" s="241">
        <v>51302</v>
      </c>
      <c r="BK20" s="241">
        <v>413410.5</v>
      </c>
      <c r="BL20" s="241">
        <v>205208</v>
      </c>
      <c r="BM20" s="241"/>
      <c r="BN20" s="241">
        <v>0</v>
      </c>
      <c r="BO20" s="241"/>
      <c r="BP20" s="241">
        <f t="shared" si="2"/>
        <v>1156399.63</v>
      </c>
      <c r="BQ20" s="241"/>
      <c r="BR20" s="241"/>
      <c r="BS20" s="162"/>
      <c r="BT20" s="162"/>
      <c r="BU20" s="79"/>
      <c r="BV20" s="79"/>
      <c r="BW20" s="79" t="s">
        <v>84</v>
      </c>
      <c r="BX20" s="273">
        <f t="shared" si="13"/>
        <v>1156399.63</v>
      </c>
      <c r="BY20" s="273"/>
      <c r="BZ20" s="273">
        <v>73068.63</v>
      </c>
      <c r="CA20" s="273">
        <f t="shared" si="3"/>
        <v>1083331</v>
      </c>
      <c r="CB20" s="234">
        <f t="shared" si="4"/>
        <v>1083331</v>
      </c>
      <c r="CC20" s="234" t="s">
        <v>85</v>
      </c>
    </row>
    <row r="21" s="20" customFormat="1" ht="24" customHeight="1" spans="2:81">
      <c r="B21" s="221" t="s">
        <v>81</v>
      </c>
      <c r="C21" s="218" t="s">
        <v>120</v>
      </c>
      <c r="D21" s="5" t="s">
        <v>121</v>
      </c>
      <c r="E21" s="220"/>
      <c r="F21" s="220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20"/>
      <c r="S21" s="220"/>
      <c r="T21" s="220"/>
      <c r="U21" s="234"/>
      <c r="V21" s="234"/>
      <c r="W21" s="234"/>
      <c r="X21" s="234"/>
      <c r="Y21" s="234"/>
      <c r="Z21" s="234"/>
      <c r="AA21" s="234"/>
      <c r="AB21" s="234"/>
      <c r="AC21" s="234"/>
      <c r="AD21" s="234"/>
      <c r="AE21" s="234"/>
      <c r="AF21" s="234"/>
      <c r="AG21" s="234"/>
      <c r="AH21" s="234"/>
      <c r="AI21" s="241"/>
      <c r="AJ21" s="241"/>
      <c r="AK21" s="241"/>
      <c r="AL21" s="241"/>
      <c r="AM21" s="241"/>
      <c r="AN21" s="241"/>
      <c r="AO21" s="241"/>
      <c r="AP21" s="241"/>
      <c r="AQ21" s="241"/>
      <c r="AR21" s="241"/>
      <c r="AS21" s="241"/>
      <c r="AT21" s="241"/>
      <c r="AU21" s="241"/>
      <c r="AV21" s="241"/>
      <c r="AW21" s="241"/>
      <c r="AX21" s="241"/>
      <c r="AY21" s="241"/>
      <c r="AZ21" s="241"/>
      <c r="BA21" s="241"/>
      <c r="BB21" s="241"/>
      <c r="BC21" s="241"/>
      <c r="BD21" s="241"/>
      <c r="BE21" s="241"/>
      <c r="BF21" s="241"/>
      <c r="BG21" s="241"/>
      <c r="BH21" s="241">
        <v>1899.53</v>
      </c>
      <c r="BI21" s="241">
        <v>0</v>
      </c>
      <c r="BJ21" s="241">
        <v>64394.07</v>
      </c>
      <c r="BK21" s="241">
        <v>0</v>
      </c>
      <c r="BL21" s="241">
        <v>0</v>
      </c>
      <c r="BM21" s="241"/>
      <c r="BN21" s="241"/>
      <c r="BO21" s="241"/>
      <c r="BP21" s="241">
        <f t="shared" si="2"/>
        <v>66293.6</v>
      </c>
      <c r="BQ21" s="241"/>
      <c r="BR21" s="241"/>
      <c r="BS21" s="162"/>
      <c r="BT21" s="162"/>
      <c r="BU21" s="79"/>
      <c r="BV21" s="79"/>
      <c r="BW21" s="79" t="s">
        <v>84</v>
      </c>
      <c r="BX21" s="273">
        <f t="shared" si="13"/>
        <v>66293.6</v>
      </c>
      <c r="BY21" s="273"/>
      <c r="BZ21" s="273">
        <f>66293.6</f>
        <v>66293.6</v>
      </c>
      <c r="CA21" s="273">
        <f t="shared" si="3"/>
        <v>0</v>
      </c>
      <c r="CB21" s="234">
        <f t="shared" si="4"/>
        <v>0</v>
      </c>
      <c r="CC21" s="289" t="s">
        <v>85</v>
      </c>
    </row>
    <row r="22" s="20" customFormat="1" ht="24" customHeight="1" spans="2:81">
      <c r="B22" s="221" t="s">
        <v>81</v>
      </c>
      <c r="C22" s="218" t="s">
        <v>122</v>
      </c>
      <c r="D22" s="5" t="s">
        <v>123</v>
      </c>
      <c r="E22" s="220"/>
      <c r="F22" s="220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20"/>
      <c r="S22" s="220"/>
      <c r="T22" s="220"/>
      <c r="U22" s="234"/>
      <c r="V22" s="234"/>
      <c r="W22" s="234"/>
      <c r="X22" s="234"/>
      <c r="Y22" s="234"/>
      <c r="Z22" s="234"/>
      <c r="AA22" s="234"/>
      <c r="AB22" s="234"/>
      <c r="AC22" s="234"/>
      <c r="AD22" s="234"/>
      <c r="AE22" s="234"/>
      <c r="AF22" s="234"/>
      <c r="AG22" s="234"/>
      <c r="AH22" s="234"/>
      <c r="AI22" s="241"/>
      <c r="AJ22" s="241"/>
      <c r="AK22" s="241"/>
      <c r="AL22" s="241"/>
      <c r="AM22" s="241"/>
      <c r="AN22" s="241"/>
      <c r="AO22" s="241"/>
      <c r="AP22" s="241"/>
      <c r="AQ22" s="241"/>
      <c r="AR22" s="241"/>
      <c r="AS22" s="241"/>
      <c r="AT22" s="241"/>
      <c r="AU22" s="241"/>
      <c r="AV22" s="241"/>
      <c r="AW22" s="241"/>
      <c r="AX22" s="241"/>
      <c r="AY22" s="241"/>
      <c r="AZ22" s="241"/>
      <c r="BA22" s="241"/>
      <c r="BB22" s="241"/>
      <c r="BC22" s="241"/>
      <c r="BD22" s="241"/>
      <c r="BE22" s="241"/>
      <c r="BF22" s="241"/>
      <c r="BG22" s="241"/>
      <c r="BH22" s="241"/>
      <c r="BI22" s="241"/>
      <c r="BJ22" s="241">
        <v>713170.02</v>
      </c>
      <c r="BK22" s="241">
        <v>650672.08</v>
      </c>
      <c r="BL22" s="241">
        <v>553653.11</v>
      </c>
      <c r="BM22" s="241">
        <v>0</v>
      </c>
      <c r="BN22" s="241">
        <v>639616.73</v>
      </c>
      <c r="BO22" s="241"/>
      <c r="BP22" s="241">
        <f t="shared" si="2"/>
        <v>2557111.94</v>
      </c>
      <c r="BQ22" s="241"/>
      <c r="BR22" s="241"/>
      <c r="BS22" s="162"/>
      <c r="BT22" s="162"/>
      <c r="BU22" s="79"/>
      <c r="BV22" s="79"/>
      <c r="BW22" s="79" t="s">
        <v>84</v>
      </c>
      <c r="BX22" s="273">
        <f t="shared" si="13"/>
        <v>2557111.94</v>
      </c>
      <c r="BY22" s="273"/>
      <c r="BZ22" s="273">
        <f>713170.02+1000000</f>
        <v>1713170.02</v>
      </c>
      <c r="CA22" s="273">
        <f t="shared" si="3"/>
        <v>843941.92</v>
      </c>
      <c r="CB22" s="234">
        <f t="shared" si="4"/>
        <v>843941.92</v>
      </c>
      <c r="CC22" s="289" t="s">
        <v>85</v>
      </c>
    </row>
    <row r="23" s="20" customFormat="1" ht="24" customHeight="1" spans="2:81">
      <c r="B23" s="221" t="s">
        <v>81</v>
      </c>
      <c r="C23" s="218" t="s">
        <v>124</v>
      </c>
      <c r="D23" s="5" t="s">
        <v>125</v>
      </c>
      <c r="E23" s="220"/>
      <c r="F23" s="220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20"/>
      <c r="S23" s="220"/>
      <c r="T23" s="220"/>
      <c r="U23" s="234"/>
      <c r="V23" s="234"/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  <c r="AU23" s="241"/>
      <c r="AV23" s="241"/>
      <c r="AW23" s="241"/>
      <c r="AX23" s="241"/>
      <c r="AY23" s="241"/>
      <c r="AZ23" s="241"/>
      <c r="BA23" s="241"/>
      <c r="BB23" s="241"/>
      <c r="BC23" s="241"/>
      <c r="BD23" s="241"/>
      <c r="BE23" s="241"/>
      <c r="BF23" s="241"/>
      <c r="BG23" s="241"/>
      <c r="BH23" s="241">
        <v>0</v>
      </c>
      <c r="BI23" s="241">
        <v>0</v>
      </c>
      <c r="BJ23" s="241">
        <v>0</v>
      </c>
      <c r="BK23" s="241">
        <v>114622.68</v>
      </c>
      <c r="BL23" s="241">
        <v>23843</v>
      </c>
      <c r="BM23" s="241">
        <v>0</v>
      </c>
      <c r="BN23" s="241">
        <v>68071.2</v>
      </c>
      <c r="BO23" s="241"/>
      <c r="BP23" s="241">
        <f t="shared" si="2"/>
        <v>206536.88</v>
      </c>
      <c r="BQ23" s="241"/>
      <c r="BR23" s="241"/>
      <c r="BS23" s="162"/>
      <c r="BT23" s="162"/>
      <c r="BU23" s="79"/>
      <c r="BV23" s="79"/>
      <c r="BW23" s="79" t="s">
        <v>84</v>
      </c>
      <c r="BX23" s="273">
        <f t="shared" si="13"/>
        <v>206536.88</v>
      </c>
      <c r="BY23" s="273"/>
      <c r="BZ23" s="273">
        <v>138465.68</v>
      </c>
      <c r="CA23" s="273">
        <f t="shared" si="3"/>
        <v>68071.2</v>
      </c>
      <c r="CB23" s="234">
        <f t="shared" si="4"/>
        <v>68071.2</v>
      </c>
      <c r="CC23" s="289" t="s">
        <v>85</v>
      </c>
    </row>
    <row r="24" s="20" customFormat="1" ht="24" customHeight="1" spans="2:81">
      <c r="B24" s="221" t="s">
        <v>81</v>
      </c>
      <c r="C24" s="218" t="s">
        <v>126</v>
      </c>
      <c r="D24" s="5" t="s">
        <v>127</v>
      </c>
      <c r="E24" s="220"/>
      <c r="F24" s="220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20"/>
      <c r="S24" s="220"/>
      <c r="T24" s="220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>
        <v>2727.82</v>
      </c>
      <c r="BI24" s="241">
        <v>0</v>
      </c>
      <c r="BJ24" s="241">
        <v>5455.64</v>
      </c>
      <c r="BK24" s="241">
        <v>0</v>
      </c>
      <c r="BL24" s="241">
        <v>0</v>
      </c>
      <c r="BM24" s="241">
        <v>0</v>
      </c>
      <c r="BN24" s="241"/>
      <c r="BO24" s="241"/>
      <c r="BP24" s="241">
        <f t="shared" si="2"/>
        <v>8183.46</v>
      </c>
      <c r="BQ24" s="241"/>
      <c r="BR24" s="241"/>
      <c r="BS24" s="162"/>
      <c r="BT24" s="162"/>
      <c r="BU24" s="79"/>
      <c r="BV24" s="79"/>
      <c r="BW24" s="79" t="s">
        <v>84</v>
      </c>
      <c r="BX24" s="273">
        <f t="shared" si="13"/>
        <v>8183.46</v>
      </c>
      <c r="BY24" s="273"/>
      <c r="BZ24" s="273">
        <v>8183.46</v>
      </c>
      <c r="CA24" s="273">
        <f t="shared" si="3"/>
        <v>0</v>
      </c>
      <c r="CB24" s="234">
        <f t="shared" si="4"/>
        <v>0</v>
      </c>
      <c r="CC24" s="289" t="s">
        <v>96</v>
      </c>
    </row>
    <row r="25" s="20" customFormat="1" ht="24" customHeight="1" spans="2:81">
      <c r="B25" s="221" t="s">
        <v>81</v>
      </c>
      <c r="C25" s="218" t="s">
        <v>128</v>
      </c>
      <c r="D25" s="5" t="s">
        <v>129</v>
      </c>
      <c r="E25" s="220"/>
      <c r="F25" s="220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20"/>
      <c r="S25" s="220"/>
      <c r="T25" s="220"/>
      <c r="U25" s="234"/>
      <c r="V25" s="234"/>
      <c r="W25" s="234"/>
      <c r="X25" s="234"/>
      <c r="Y25" s="234"/>
      <c r="Z25" s="234"/>
      <c r="AA25" s="234"/>
      <c r="AB25" s="234"/>
      <c r="AC25" s="234"/>
      <c r="AD25" s="234"/>
      <c r="AE25" s="234"/>
      <c r="AF25" s="234"/>
      <c r="AG25" s="234"/>
      <c r="AH25" s="234"/>
      <c r="AI25" s="241"/>
      <c r="AJ25" s="241"/>
      <c r="AK25" s="241"/>
      <c r="AL25" s="241"/>
      <c r="AM25" s="241"/>
      <c r="AN25" s="241"/>
      <c r="AO25" s="241"/>
      <c r="AP25" s="241"/>
      <c r="AQ25" s="241"/>
      <c r="AR25" s="241"/>
      <c r="AS25" s="241"/>
      <c r="AT25" s="241"/>
      <c r="AU25" s="241">
        <v>4079.3</v>
      </c>
      <c r="AV25" s="241"/>
      <c r="AW25" s="241"/>
      <c r="AX25" s="241"/>
      <c r="AY25" s="241"/>
      <c r="AZ25" s="241"/>
      <c r="BA25" s="241"/>
      <c r="BB25" s="241"/>
      <c r="BC25" s="241"/>
      <c r="BD25" s="241"/>
      <c r="BE25" s="241"/>
      <c r="BF25" s="241"/>
      <c r="BG25" s="241"/>
      <c r="BH25" s="241">
        <v>59459.33</v>
      </c>
      <c r="BI25" s="241">
        <v>0</v>
      </c>
      <c r="BJ25" s="241">
        <v>72778.73</v>
      </c>
      <c r="BK25" s="241">
        <v>63602.05</v>
      </c>
      <c r="BL25" s="241">
        <v>8678.4</v>
      </c>
      <c r="BM25" s="241">
        <v>261193.39</v>
      </c>
      <c r="BN25" s="241">
        <v>0</v>
      </c>
      <c r="BO25" s="241">
        <v>32061.81</v>
      </c>
      <c r="BP25" s="241">
        <f t="shared" si="2"/>
        <v>501853.01</v>
      </c>
      <c r="BQ25" s="241"/>
      <c r="BR25" s="241"/>
      <c r="BS25" s="162"/>
      <c r="BT25" s="162"/>
      <c r="BU25" s="79"/>
      <c r="BV25" s="79"/>
      <c r="BW25" s="79" t="s">
        <v>84</v>
      </c>
      <c r="BX25" s="273">
        <f t="shared" si="13"/>
        <v>501853.01</v>
      </c>
      <c r="BY25" s="273"/>
      <c r="BZ25" s="273">
        <v>6520.1</v>
      </c>
      <c r="CA25" s="273">
        <f t="shared" si="3"/>
        <v>495332.91</v>
      </c>
      <c r="CB25" s="234">
        <f t="shared" si="4"/>
        <v>463271.1</v>
      </c>
      <c r="CC25" s="289" t="s">
        <v>85</v>
      </c>
    </row>
    <row r="26" s="20" customFormat="1" ht="24" customHeight="1" spans="2:81">
      <c r="B26" s="221" t="s">
        <v>81</v>
      </c>
      <c r="C26" s="218" t="s">
        <v>130</v>
      </c>
      <c r="D26" s="5" t="s">
        <v>131</v>
      </c>
      <c r="E26" s="220"/>
      <c r="F26" s="220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20"/>
      <c r="S26" s="220"/>
      <c r="T26" s="220"/>
      <c r="U26" s="234"/>
      <c r="V26" s="234"/>
      <c r="W26" s="234"/>
      <c r="X26" s="234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41"/>
      <c r="AJ26" s="241"/>
      <c r="AK26" s="241"/>
      <c r="AL26" s="241"/>
      <c r="AM26" s="241"/>
      <c r="AN26" s="241"/>
      <c r="AO26" s="241"/>
      <c r="AP26" s="241"/>
      <c r="AQ26" s="241"/>
      <c r="AR26" s="241"/>
      <c r="AS26" s="241"/>
      <c r="AT26" s="241"/>
      <c r="AU26" s="241"/>
      <c r="AV26" s="241"/>
      <c r="AW26" s="241"/>
      <c r="AX26" s="241"/>
      <c r="AY26" s="241"/>
      <c r="AZ26" s="241"/>
      <c r="BA26" s="241"/>
      <c r="BB26" s="241"/>
      <c r="BC26" s="241"/>
      <c r="BD26" s="241"/>
      <c r="BE26" s="241"/>
      <c r="BF26" s="241"/>
      <c r="BG26" s="241"/>
      <c r="BH26" s="241">
        <v>0</v>
      </c>
      <c r="BI26" s="241">
        <v>0</v>
      </c>
      <c r="BJ26" s="241">
        <v>0</v>
      </c>
      <c r="BK26" s="241">
        <v>0</v>
      </c>
      <c r="BL26" s="241">
        <v>15576.8</v>
      </c>
      <c r="BM26" s="241">
        <v>0</v>
      </c>
      <c r="BN26" s="241">
        <v>0</v>
      </c>
      <c r="BO26" s="241"/>
      <c r="BP26" s="241">
        <f t="shared" si="2"/>
        <v>15576.8</v>
      </c>
      <c r="BQ26" s="241"/>
      <c r="BR26" s="241"/>
      <c r="BS26" s="162"/>
      <c r="BT26" s="162"/>
      <c r="BU26" s="79"/>
      <c r="BV26" s="79"/>
      <c r="BW26" s="79" t="s">
        <v>84</v>
      </c>
      <c r="BX26" s="273">
        <f t="shared" si="13"/>
        <v>15576.8</v>
      </c>
      <c r="BY26" s="273"/>
      <c r="BZ26" s="273"/>
      <c r="CA26" s="273">
        <f t="shared" si="3"/>
        <v>15576.8</v>
      </c>
      <c r="CB26" s="234">
        <f t="shared" si="4"/>
        <v>15576.8</v>
      </c>
      <c r="CC26" s="289" t="s">
        <v>85</v>
      </c>
    </row>
    <row r="27" s="20" customFormat="1" ht="24" customHeight="1" spans="2:81">
      <c r="B27" s="221" t="s">
        <v>81</v>
      </c>
      <c r="C27" s="218" t="s">
        <v>132</v>
      </c>
      <c r="D27" s="5" t="s">
        <v>133</v>
      </c>
      <c r="E27" s="220"/>
      <c r="F27" s="220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20"/>
      <c r="S27" s="220"/>
      <c r="T27" s="220"/>
      <c r="U27" s="234"/>
      <c r="V27" s="234"/>
      <c r="W27" s="234"/>
      <c r="X27" s="234"/>
      <c r="Y27" s="234"/>
      <c r="Z27" s="234"/>
      <c r="AA27" s="234"/>
      <c r="AB27" s="234"/>
      <c r="AC27" s="234"/>
      <c r="AD27" s="234"/>
      <c r="AE27" s="234"/>
      <c r="AF27" s="234"/>
      <c r="AG27" s="234"/>
      <c r="AH27" s="234"/>
      <c r="AI27" s="241"/>
      <c r="AJ27" s="241"/>
      <c r="AK27" s="241"/>
      <c r="AL27" s="241"/>
      <c r="AM27" s="241"/>
      <c r="AN27" s="241"/>
      <c r="AO27" s="241"/>
      <c r="AP27" s="241"/>
      <c r="AQ27" s="241"/>
      <c r="AR27" s="241"/>
      <c r="AS27" s="241"/>
      <c r="AT27" s="241"/>
      <c r="AU27" s="241"/>
      <c r="AV27" s="241"/>
      <c r="AW27" s="241"/>
      <c r="AX27" s="241"/>
      <c r="AY27" s="241"/>
      <c r="AZ27" s="241"/>
      <c r="BA27" s="241"/>
      <c r="BB27" s="241"/>
      <c r="BC27" s="241"/>
      <c r="BD27" s="241"/>
      <c r="BE27" s="241"/>
      <c r="BF27" s="241"/>
      <c r="BG27" s="241"/>
      <c r="BH27" s="241"/>
      <c r="BI27" s="241"/>
      <c r="BJ27" s="241"/>
      <c r="BK27" s="241">
        <v>224865.48</v>
      </c>
      <c r="BL27" s="241">
        <v>192741.84</v>
      </c>
      <c r="BM27" s="241"/>
      <c r="BN27" s="241">
        <v>1060080.12</v>
      </c>
      <c r="BO27" s="241"/>
      <c r="BP27" s="241">
        <f t="shared" si="2"/>
        <v>1477687.44</v>
      </c>
      <c r="BQ27" s="241"/>
      <c r="BR27" s="241"/>
      <c r="BS27" s="162"/>
      <c r="BT27" s="162"/>
      <c r="BU27" s="79"/>
      <c r="BV27" s="79"/>
      <c r="BW27" s="79" t="s">
        <v>84</v>
      </c>
      <c r="BX27" s="273">
        <f t="shared" ref="BX27" si="14">BP27</f>
        <v>1477687.44</v>
      </c>
      <c r="BY27" s="273"/>
      <c r="BZ27" s="273">
        <v>224865.48</v>
      </c>
      <c r="CA27" s="273">
        <f t="shared" ref="CA27:CA31" si="15">BX27-BZ27</f>
        <v>1252821.96</v>
      </c>
      <c r="CB27" s="234">
        <f t="shared" si="4"/>
        <v>1252821.96</v>
      </c>
      <c r="CC27" s="289" t="s">
        <v>85</v>
      </c>
    </row>
    <row r="28" s="20" customFormat="1" ht="24" customHeight="1" spans="2:81">
      <c r="B28" s="221" t="s">
        <v>134</v>
      </c>
      <c r="C28" s="218">
        <v>1951024</v>
      </c>
      <c r="D28" s="5" t="s">
        <v>135</v>
      </c>
      <c r="E28" s="220"/>
      <c r="F28" s="220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20"/>
      <c r="S28" s="220"/>
      <c r="T28" s="220"/>
      <c r="U28" s="234"/>
      <c r="V28" s="23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41"/>
      <c r="AJ28" s="241"/>
      <c r="AK28" s="241"/>
      <c r="AL28" s="241"/>
      <c r="AM28" s="241"/>
      <c r="AN28" s="241"/>
      <c r="AO28" s="241"/>
      <c r="AP28" s="241"/>
      <c r="AQ28" s="241"/>
      <c r="AR28" s="241"/>
      <c r="AS28" s="241"/>
      <c r="AT28" s="241"/>
      <c r="AU28" s="241"/>
      <c r="AV28" s="241"/>
      <c r="AW28" s="241"/>
      <c r="AX28" s="241"/>
      <c r="AY28" s="241"/>
      <c r="AZ28" s="241"/>
      <c r="BA28" s="241"/>
      <c r="BB28" s="241"/>
      <c r="BC28" s="241"/>
      <c r="BD28" s="241"/>
      <c r="BE28" s="241"/>
      <c r="BF28" s="241"/>
      <c r="BG28" s="241"/>
      <c r="BH28" s="241"/>
      <c r="BI28" s="241"/>
      <c r="BJ28" s="241">
        <v>0</v>
      </c>
      <c r="BK28" s="241"/>
      <c r="BL28" s="241">
        <v>207645.47</v>
      </c>
      <c r="BM28" s="241"/>
      <c r="BN28" s="241"/>
      <c r="BO28" s="241"/>
      <c r="BP28" s="241">
        <f t="shared" si="2"/>
        <v>207645.47</v>
      </c>
      <c r="BQ28" s="241"/>
      <c r="BR28" s="241"/>
      <c r="BS28" s="162"/>
      <c r="BT28" s="162"/>
      <c r="BU28" s="79"/>
      <c r="BV28" s="79"/>
      <c r="BW28" s="79" t="s">
        <v>84</v>
      </c>
      <c r="BX28" s="273">
        <f t="shared" si="13"/>
        <v>207645.47</v>
      </c>
      <c r="BY28" s="273"/>
      <c r="BZ28" s="273">
        <v>207645.47</v>
      </c>
      <c r="CA28" s="273">
        <f t="shared" si="15"/>
        <v>0</v>
      </c>
      <c r="CB28" s="234">
        <f t="shared" si="4"/>
        <v>0</v>
      </c>
      <c r="CC28" s="289" t="s">
        <v>111</v>
      </c>
    </row>
    <row r="29" s="20" customFormat="1" ht="24" customHeight="1" spans="2:81">
      <c r="B29" s="221" t="s">
        <v>81</v>
      </c>
      <c r="C29" s="223" t="s">
        <v>136</v>
      </c>
      <c r="D29" s="224" t="s">
        <v>137</v>
      </c>
      <c r="E29" s="220"/>
      <c r="F29" s="220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20"/>
      <c r="S29" s="220"/>
      <c r="T29" s="220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41"/>
      <c r="AJ29" s="241"/>
      <c r="AK29" s="241"/>
      <c r="AL29" s="241"/>
      <c r="AM29" s="241"/>
      <c r="AN29" s="241"/>
      <c r="AO29" s="241"/>
      <c r="AP29" s="241"/>
      <c r="AQ29" s="241"/>
      <c r="AR29" s="241"/>
      <c r="AS29" s="241"/>
      <c r="AT29" s="241"/>
      <c r="AU29" s="241"/>
      <c r="AV29" s="241"/>
      <c r="AW29" s="241"/>
      <c r="AX29" s="241"/>
      <c r="AY29" s="241"/>
      <c r="AZ29" s="241"/>
      <c r="BA29" s="241"/>
      <c r="BB29" s="241"/>
      <c r="BC29" s="241"/>
      <c r="BD29" s="241"/>
      <c r="BE29" s="241"/>
      <c r="BF29" s="241"/>
      <c r="BG29" s="241"/>
      <c r="BH29" s="241"/>
      <c r="BI29" s="241"/>
      <c r="BJ29" s="241"/>
      <c r="BK29" s="241"/>
      <c r="BL29" s="241"/>
      <c r="BM29" s="241">
        <v>79579.74</v>
      </c>
      <c r="BN29" s="241"/>
      <c r="BO29" s="241"/>
      <c r="BP29" s="241">
        <f t="shared" si="2"/>
        <v>79579.74</v>
      </c>
      <c r="BQ29" s="263"/>
      <c r="BR29" s="263"/>
      <c r="BS29" s="274"/>
      <c r="BT29" s="274"/>
      <c r="BU29" s="85"/>
      <c r="BV29" s="85"/>
      <c r="BW29" s="79" t="s">
        <v>84</v>
      </c>
      <c r="BX29" s="273">
        <f t="shared" si="13"/>
        <v>79579.74</v>
      </c>
      <c r="BY29" s="275"/>
      <c r="BZ29" s="275"/>
      <c r="CA29" s="273">
        <f t="shared" si="15"/>
        <v>79579.74</v>
      </c>
      <c r="CB29" s="234">
        <f t="shared" si="4"/>
        <v>79579.74</v>
      </c>
      <c r="CC29" s="290" t="s">
        <v>85</v>
      </c>
    </row>
    <row r="30" s="20" customFormat="1" ht="24" customHeight="1" spans="2:81">
      <c r="B30" s="221" t="s">
        <v>81</v>
      </c>
      <c r="C30" s="223" t="s">
        <v>138</v>
      </c>
      <c r="D30" s="224" t="s">
        <v>139</v>
      </c>
      <c r="E30" s="220"/>
      <c r="F30" s="220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20"/>
      <c r="S30" s="220"/>
      <c r="T30" s="220"/>
      <c r="U30" s="234"/>
      <c r="V30" s="234"/>
      <c r="W30" s="234"/>
      <c r="X30" s="23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41"/>
      <c r="AJ30" s="241"/>
      <c r="AK30" s="241"/>
      <c r="AL30" s="241"/>
      <c r="AM30" s="241"/>
      <c r="AN30" s="241"/>
      <c r="AO30" s="241"/>
      <c r="AP30" s="241"/>
      <c r="AQ30" s="241"/>
      <c r="AR30" s="241"/>
      <c r="AS30" s="241"/>
      <c r="AT30" s="241"/>
      <c r="AU30" s="241"/>
      <c r="AV30" s="241"/>
      <c r="AW30" s="241"/>
      <c r="AX30" s="241"/>
      <c r="AY30" s="241"/>
      <c r="AZ30" s="241"/>
      <c r="BA30" s="241"/>
      <c r="BB30" s="241"/>
      <c r="BC30" s="241"/>
      <c r="BD30" s="241"/>
      <c r="BE30" s="241"/>
      <c r="BF30" s="241"/>
      <c r="BG30" s="241"/>
      <c r="BH30" s="241"/>
      <c r="BI30" s="241"/>
      <c r="BJ30" s="241"/>
      <c r="BK30" s="241"/>
      <c r="BL30" s="241"/>
      <c r="BM30" s="261">
        <v>4430</v>
      </c>
      <c r="BN30" s="241"/>
      <c r="BO30" s="241"/>
      <c r="BP30" s="241">
        <f t="shared" si="2"/>
        <v>4430</v>
      </c>
      <c r="BQ30" s="263"/>
      <c r="BR30" s="263"/>
      <c r="BS30" s="274"/>
      <c r="BT30" s="274"/>
      <c r="BU30" s="85"/>
      <c r="BV30" s="85"/>
      <c r="BW30" s="79" t="s">
        <v>84</v>
      </c>
      <c r="BX30" s="273">
        <f t="shared" si="13"/>
        <v>4430</v>
      </c>
      <c r="BY30" s="275"/>
      <c r="BZ30" s="275"/>
      <c r="CA30" s="273">
        <f t="shared" si="15"/>
        <v>4430</v>
      </c>
      <c r="CB30" s="234">
        <f t="shared" si="4"/>
        <v>4430</v>
      </c>
      <c r="CC30" s="290" t="s">
        <v>101</v>
      </c>
    </row>
    <row r="31" s="20" customFormat="1" ht="24" customHeight="1" spans="2:81">
      <c r="B31" s="221" t="s">
        <v>81</v>
      </c>
      <c r="C31" s="223" t="s">
        <v>140</v>
      </c>
      <c r="D31" s="224" t="s">
        <v>141</v>
      </c>
      <c r="E31" s="220"/>
      <c r="F31" s="220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20"/>
      <c r="S31" s="220"/>
      <c r="T31" s="220"/>
      <c r="U31" s="234"/>
      <c r="V31" s="234"/>
      <c r="W31" s="234"/>
      <c r="X31" s="234"/>
      <c r="Y31" s="234"/>
      <c r="Z31" s="234"/>
      <c r="AA31" s="234"/>
      <c r="AB31" s="234"/>
      <c r="AC31" s="234"/>
      <c r="AD31" s="234"/>
      <c r="AE31" s="234"/>
      <c r="AF31" s="234"/>
      <c r="AG31" s="234"/>
      <c r="AH31" s="234"/>
      <c r="AI31" s="241"/>
      <c r="AJ31" s="241"/>
      <c r="AK31" s="241"/>
      <c r="AL31" s="241"/>
      <c r="AM31" s="241"/>
      <c r="AN31" s="241"/>
      <c r="AO31" s="241"/>
      <c r="AP31" s="241"/>
      <c r="AQ31" s="241"/>
      <c r="AR31" s="241"/>
      <c r="AS31" s="241"/>
      <c r="AT31" s="241"/>
      <c r="AU31" s="241"/>
      <c r="AV31" s="241"/>
      <c r="AW31" s="241"/>
      <c r="AX31" s="241"/>
      <c r="AY31" s="241"/>
      <c r="AZ31" s="241"/>
      <c r="BA31" s="241"/>
      <c r="BB31" s="241"/>
      <c r="BC31" s="241"/>
      <c r="BD31" s="241"/>
      <c r="BE31" s="241"/>
      <c r="BF31" s="241"/>
      <c r="BG31" s="241"/>
      <c r="BH31" s="241"/>
      <c r="BI31" s="241"/>
      <c r="BJ31" s="241"/>
      <c r="BK31" s="241"/>
      <c r="BL31" s="241"/>
      <c r="BM31" s="261"/>
      <c r="BN31" s="241">
        <v>40002</v>
      </c>
      <c r="BO31" s="241"/>
      <c r="BP31" s="241">
        <f t="shared" si="2"/>
        <v>40002</v>
      </c>
      <c r="BQ31" s="263"/>
      <c r="BR31" s="263"/>
      <c r="BS31" s="274"/>
      <c r="BT31" s="274"/>
      <c r="BU31" s="85"/>
      <c r="BV31" s="85"/>
      <c r="BW31" s="79" t="s">
        <v>84</v>
      </c>
      <c r="BX31" s="273">
        <f t="shared" si="13"/>
        <v>40002</v>
      </c>
      <c r="BY31" s="275"/>
      <c r="BZ31" s="275"/>
      <c r="CA31" s="273">
        <f t="shared" si="15"/>
        <v>40002</v>
      </c>
      <c r="CB31" s="234">
        <f t="shared" si="4"/>
        <v>40002</v>
      </c>
      <c r="CC31" s="290" t="s">
        <v>101</v>
      </c>
    </row>
    <row r="32" s="21" customFormat="1" ht="24" customHeight="1" spans="2:81">
      <c r="B32" s="227"/>
      <c r="C32" s="228"/>
      <c r="D32" s="229" t="s">
        <v>142</v>
      </c>
      <c r="E32" s="230">
        <f t="shared" ref="E32:L32" si="16">SUM(E5:E28)</f>
        <v>22682532.6</v>
      </c>
      <c r="F32" s="230">
        <f t="shared" si="16"/>
        <v>24733449.16</v>
      </c>
      <c r="G32" s="230">
        <f t="shared" si="16"/>
        <v>25636156.67</v>
      </c>
      <c r="H32" s="230">
        <f t="shared" si="16"/>
        <v>24304613.27</v>
      </c>
      <c r="I32" s="230">
        <f t="shared" si="16"/>
        <v>24512398.23</v>
      </c>
      <c r="J32" s="230">
        <f t="shared" si="16"/>
        <v>24540876.54</v>
      </c>
      <c r="K32" s="230">
        <f t="shared" si="16"/>
        <v>24615719.22</v>
      </c>
      <c r="L32" s="230">
        <f t="shared" si="16"/>
        <v>24452662.85</v>
      </c>
      <c r="M32" s="230"/>
      <c r="N32" s="230"/>
      <c r="O32" s="230"/>
      <c r="P32" s="230"/>
      <c r="Q32" s="237" t="e">
        <f>VLOOKUP(D32,'[1]6期末'!$A$1:$D$65536,4,0)</f>
        <v>#N/A</v>
      </c>
      <c r="R32" s="230">
        <f t="shared" ref="R32:AA32" si="17">SUM(R5:R28)</f>
        <v>2663855</v>
      </c>
      <c r="S32" s="230">
        <f t="shared" si="17"/>
        <v>3163641</v>
      </c>
      <c r="T32" s="230">
        <f t="shared" si="17"/>
        <v>4722673.16</v>
      </c>
      <c r="U32" s="230">
        <f t="shared" si="17"/>
        <v>2025507.01</v>
      </c>
      <c r="V32" s="230">
        <f t="shared" si="17"/>
        <v>4000000</v>
      </c>
      <c r="W32" s="230">
        <f t="shared" si="17"/>
        <v>3349664.31</v>
      </c>
      <c r="X32" s="230">
        <f t="shared" si="17"/>
        <v>4130000</v>
      </c>
      <c r="Y32" s="230">
        <f t="shared" si="17"/>
        <v>711934.21</v>
      </c>
      <c r="Z32" s="230">
        <f t="shared" si="17"/>
        <v>2603768.33</v>
      </c>
      <c r="AA32" s="230">
        <f t="shared" si="17"/>
        <v>5183000</v>
      </c>
      <c r="AB32" s="230"/>
      <c r="AC32" s="230"/>
      <c r="AD32" s="230"/>
      <c r="AE32" s="230"/>
      <c r="AF32" s="230"/>
      <c r="AG32" s="243" t="e">
        <f>VLOOKUP(D32,'[1]10付款'!$A$1:$B$65536,2,0)</f>
        <v>#N/A</v>
      </c>
      <c r="AH32" s="243" t="e">
        <f>VLOOKUP(D32,'[1]11付款'!$A$1:$B$65536,2,0)</f>
        <v>#N/A</v>
      </c>
      <c r="AI32" s="230">
        <f t="shared" ref="AI32:AP32" si="18">SUM(AI5:AI28)</f>
        <v>-2084742.09</v>
      </c>
      <c r="AJ32" s="230">
        <f t="shared" si="18"/>
        <v>2630029.47</v>
      </c>
      <c r="AK32" s="230">
        <f t="shared" si="18"/>
        <v>6696377.98</v>
      </c>
      <c r="AL32" s="230">
        <f t="shared" si="18"/>
        <v>2300739.41</v>
      </c>
      <c r="AM32" s="230">
        <f t="shared" si="18"/>
        <v>-3659401.82</v>
      </c>
      <c r="AN32" s="230">
        <f t="shared" si="18"/>
        <v>369076.49</v>
      </c>
      <c r="AO32" s="230">
        <f t="shared" si="18"/>
        <v>-899704.179999999</v>
      </c>
      <c r="AP32" s="230">
        <f t="shared" si="18"/>
        <v>3067239.45</v>
      </c>
      <c r="AQ32" s="230"/>
      <c r="AR32" s="230"/>
      <c r="AS32" s="230"/>
      <c r="AT32" s="230"/>
      <c r="AU32" s="230">
        <f t="shared" ref="AU32:BI32" si="19">SUM(AU5:AU28)</f>
        <v>17512.09</v>
      </c>
      <c r="AV32" s="230">
        <f t="shared" si="19"/>
        <v>3781853.16</v>
      </c>
      <c r="AW32" s="230">
        <f t="shared" si="19"/>
        <v>3490060.51</v>
      </c>
      <c r="AX32" s="230">
        <f t="shared" si="19"/>
        <v>3391129.76</v>
      </c>
      <c r="AY32" s="230">
        <f t="shared" si="19"/>
        <v>2245811.18</v>
      </c>
      <c r="AZ32" s="230">
        <f t="shared" si="19"/>
        <v>3575191.58</v>
      </c>
      <c r="BA32" s="230">
        <f t="shared" si="19"/>
        <v>2945964.11</v>
      </c>
      <c r="BB32" s="230">
        <f t="shared" si="19"/>
        <v>3966943.63</v>
      </c>
      <c r="BC32" s="230">
        <f t="shared" si="19"/>
        <v>2713530.34</v>
      </c>
      <c r="BD32" s="230">
        <f t="shared" si="19"/>
        <v>2708120.38</v>
      </c>
      <c r="BE32" s="230">
        <f t="shared" si="19"/>
        <v>4609510.63</v>
      </c>
      <c r="BF32" s="230">
        <f t="shared" si="19"/>
        <v>5500560.87</v>
      </c>
      <c r="BG32" s="230">
        <f t="shared" si="19"/>
        <v>4036029.36</v>
      </c>
      <c r="BH32" s="230">
        <f t="shared" si="19"/>
        <v>317655.91</v>
      </c>
      <c r="BI32" s="230">
        <f t="shared" si="19"/>
        <v>1533206.14</v>
      </c>
      <c r="BJ32" s="230">
        <f t="shared" ref="BJ32:BP32" si="20">SUM(BJ5:BJ31)</f>
        <v>3380829.91</v>
      </c>
      <c r="BK32" s="230">
        <f t="shared" si="20"/>
        <v>3440970.86</v>
      </c>
      <c r="BL32" s="230">
        <f t="shared" si="20"/>
        <v>3221715.13</v>
      </c>
      <c r="BM32" s="230">
        <f t="shared" si="20"/>
        <v>908640.82</v>
      </c>
      <c r="BN32" s="230">
        <f t="shared" si="20"/>
        <v>3706666.15</v>
      </c>
      <c r="BO32" s="230">
        <f t="shared" si="20"/>
        <v>782819.53</v>
      </c>
      <c r="BP32" s="230">
        <f t="shared" si="20"/>
        <v>17310016.54</v>
      </c>
      <c r="BQ32" s="192">
        <f t="shared" ref="BQ32:BW32" si="21">SUM(BQ5:BQ28)</f>
        <v>4937473.71</v>
      </c>
      <c r="BR32" s="192">
        <f t="shared" si="21"/>
        <v>0</v>
      </c>
      <c r="BS32" s="192">
        <f t="shared" si="21"/>
        <v>0</v>
      </c>
      <c r="BT32" s="192">
        <f t="shared" si="21"/>
        <v>0</v>
      </c>
      <c r="BU32" s="192">
        <f t="shared" si="21"/>
        <v>0</v>
      </c>
      <c r="BV32" s="192">
        <f t="shared" si="21"/>
        <v>0</v>
      </c>
      <c r="BW32" s="192">
        <f t="shared" si="21"/>
        <v>0</v>
      </c>
      <c r="BX32" s="192">
        <f>SUM(BX5:BX31)</f>
        <v>17310016.54</v>
      </c>
      <c r="BY32" s="192">
        <f>SUM(BY5:BY28)</f>
        <v>10</v>
      </c>
      <c r="BZ32" s="192">
        <f>SUM(BZ5:BZ31)</f>
        <v>6508601.48</v>
      </c>
      <c r="CA32" s="192">
        <f>SUM(CA5:CA31)</f>
        <v>10801415.06</v>
      </c>
      <c r="CB32" s="192">
        <f>SUM(CB5:CB31)</f>
        <v>10146850.53</v>
      </c>
      <c r="CC32" s="195"/>
    </row>
    <row r="33" customHeight="1" spans="5:71">
      <c r="E33" s="231"/>
      <c r="F33" s="231"/>
      <c r="G33" s="231"/>
      <c r="H33" s="231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  <c r="U33" s="231"/>
      <c r="V33" s="231"/>
      <c r="W33" s="231"/>
      <c r="X33" s="231"/>
      <c r="Y33" s="231"/>
      <c r="Z33" s="231"/>
      <c r="AA33" s="231"/>
      <c r="AB33" s="231"/>
      <c r="AC33" s="231"/>
      <c r="AD33" s="231"/>
      <c r="AE33" s="231"/>
      <c r="AF33" s="231"/>
      <c r="AG33" s="231"/>
      <c r="AH33" s="231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246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276"/>
    </row>
    <row r="34" customHeight="1" spans="5:80"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V34" s="231"/>
      <c r="W34" s="231"/>
      <c r="X34" s="231"/>
      <c r="Y34" s="231"/>
      <c r="Z34" s="231"/>
      <c r="AA34" s="231"/>
      <c r="AB34" s="231"/>
      <c r="AC34" s="231"/>
      <c r="AD34" s="231"/>
      <c r="AE34" s="231"/>
      <c r="AF34" s="231"/>
      <c r="AG34" s="231"/>
      <c r="AH34" s="231"/>
      <c r="AI34" s="99"/>
      <c r="AJ34" s="99"/>
      <c r="AK34" s="99"/>
      <c r="AL34" s="99"/>
      <c r="AM34" s="99"/>
      <c r="AN34" s="99"/>
      <c r="AO34" s="99"/>
      <c r="AP34" s="99"/>
      <c r="AQ34" s="99"/>
      <c r="AR34" s="99"/>
      <c r="AS34" s="99"/>
      <c r="AT34" s="99"/>
      <c r="AU34" s="99"/>
      <c r="AV34" s="246"/>
      <c r="AW34" s="99"/>
      <c r="AX34" s="99"/>
      <c r="AY34" s="99"/>
      <c r="AZ34" s="99"/>
      <c r="BA34" s="99"/>
      <c r="BB34" s="99"/>
      <c r="BC34" s="99"/>
      <c r="BD34" s="99"/>
      <c r="BE34" s="99"/>
      <c r="BF34" s="99"/>
      <c r="BG34" s="99"/>
      <c r="BH34" s="99"/>
      <c r="BI34" s="99"/>
      <c r="BJ34" s="99"/>
      <c r="BK34" s="99"/>
      <c r="BL34" s="99"/>
      <c r="BM34" s="99"/>
      <c r="BN34" s="99"/>
      <c r="BO34" s="99"/>
      <c r="BP34" s="99"/>
      <c r="BQ34" s="99"/>
      <c r="BR34" s="99"/>
      <c r="BS34" s="276"/>
      <c r="CB34" s="193"/>
    </row>
    <row r="35" ht="15.6" spans="4:79">
      <c r="D35" s="100" t="s">
        <v>143</v>
      </c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 t="s">
        <v>144</v>
      </c>
      <c r="S35" s="232"/>
      <c r="T35" s="232"/>
      <c r="U35" s="232"/>
      <c r="V35" s="232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BS35" s="232"/>
      <c r="BY35" s="22"/>
      <c r="BZ35" s="22"/>
      <c r="CA35" s="22"/>
    </row>
    <row r="46" spans="60:79">
      <c r="BH46" s="250"/>
      <c r="BI46" s="250"/>
      <c r="BJ46" s="250"/>
      <c r="BK46" s="251"/>
      <c r="BL46" s="251"/>
      <c r="BM46" s="251"/>
      <c r="BN46" s="251"/>
      <c r="BO46" s="251"/>
      <c r="BP46" s="251"/>
      <c r="BQ46" s="264"/>
      <c r="BR46" s="264"/>
      <c r="BS46" s="264"/>
      <c r="BT46" s="264"/>
      <c r="BU46" s="264"/>
      <c r="BV46" s="264"/>
      <c r="BW46" s="264"/>
      <c r="BX46" s="277"/>
      <c r="BY46" s="22"/>
      <c r="BZ46" s="22"/>
      <c r="CA46" s="22"/>
    </row>
    <row r="47" spans="60:79">
      <c r="BH47" s="250" t="s">
        <v>145</v>
      </c>
      <c r="BI47" s="250" t="s">
        <v>146</v>
      </c>
      <c r="BJ47" s="250" t="s">
        <v>147</v>
      </c>
      <c r="BK47" s="251"/>
      <c r="BL47" s="251"/>
      <c r="BM47" s="251"/>
      <c r="BN47" s="251"/>
      <c r="BO47" s="251"/>
      <c r="BP47" s="251" t="s">
        <v>36</v>
      </c>
      <c r="BQ47" s="264"/>
      <c r="BR47" s="264"/>
      <c r="BS47" s="264"/>
      <c r="BT47" s="264"/>
      <c r="BU47" s="264"/>
      <c r="BV47" s="264"/>
      <c r="BW47" s="264"/>
      <c r="BX47" s="277"/>
      <c r="BY47" s="22"/>
      <c r="BZ47" s="22"/>
      <c r="CA47" s="22"/>
    </row>
    <row r="48" spans="60:79">
      <c r="BH48" s="250">
        <v>220</v>
      </c>
      <c r="BI48" s="250" t="s">
        <v>148</v>
      </c>
      <c r="BJ48" s="252">
        <v>200</v>
      </c>
      <c r="BK48" s="252"/>
      <c r="BL48" s="252"/>
      <c r="BM48" s="252"/>
      <c r="BN48" s="252"/>
      <c r="BO48" s="252"/>
      <c r="BP48" s="250"/>
      <c r="BQ48" s="250"/>
      <c r="BR48" s="250"/>
      <c r="BS48" s="250"/>
      <c r="BT48" s="250"/>
      <c r="BU48" s="250"/>
      <c r="BV48" s="250"/>
      <c r="BW48" s="250"/>
      <c r="BX48" s="250"/>
      <c r="BY48" s="22"/>
      <c r="BZ48" s="22"/>
      <c r="CA48" s="22"/>
    </row>
    <row r="49" spans="60:79">
      <c r="BH49" s="250">
        <v>46</v>
      </c>
      <c r="BI49" s="250" t="s">
        <v>149</v>
      </c>
      <c r="BJ49" s="250">
        <v>750</v>
      </c>
      <c r="BK49" s="253"/>
      <c r="BL49" s="253"/>
      <c r="BM49" s="253"/>
      <c r="BN49" s="253"/>
      <c r="BO49" s="253"/>
      <c r="BP49" s="265" t="s">
        <v>150</v>
      </c>
      <c r="BQ49" s="266"/>
      <c r="BR49" s="266"/>
      <c r="BS49" s="266"/>
      <c r="BT49" s="266"/>
      <c r="BU49" s="266"/>
      <c r="BV49" s="266"/>
      <c r="BW49" s="266"/>
      <c r="BX49" s="278"/>
      <c r="BY49" s="22"/>
      <c r="BZ49" s="22"/>
      <c r="CA49" s="22"/>
    </row>
    <row r="50" spans="60:79">
      <c r="BH50" s="250">
        <v>247</v>
      </c>
      <c r="BI50" s="250" t="s">
        <v>149</v>
      </c>
      <c r="BJ50" s="250"/>
      <c r="BK50" s="254"/>
      <c r="BL50" s="254"/>
      <c r="BM50" s="254"/>
      <c r="BN50" s="254"/>
      <c r="BO50" s="254"/>
      <c r="BP50" s="267"/>
      <c r="BQ50" s="268"/>
      <c r="BR50" s="268"/>
      <c r="BS50" s="268"/>
      <c r="BT50" s="268"/>
      <c r="BU50" s="268"/>
      <c r="BV50" s="268"/>
      <c r="BW50" s="268"/>
      <c r="BX50" s="279"/>
      <c r="BY50" s="22"/>
      <c r="BZ50" s="22"/>
      <c r="CA50" s="22"/>
    </row>
    <row r="51" spans="2:79">
      <c r="B51" s="22"/>
      <c r="D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50">
        <v>100</v>
      </c>
      <c r="BI51" s="250" t="s">
        <v>149</v>
      </c>
      <c r="BJ51" s="250"/>
      <c r="BK51" s="255"/>
      <c r="BL51" s="255"/>
      <c r="BM51" s="255"/>
      <c r="BN51" s="255"/>
      <c r="BO51" s="255"/>
      <c r="BP51" s="269"/>
      <c r="BQ51" s="270"/>
      <c r="BR51" s="270"/>
      <c r="BS51" s="270"/>
      <c r="BT51" s="270"/>
      <c r="BU51" s="270"/>
      <c r="BV51" s="270"/>
      <c r="BW51" s="270"/>
      <c r="BX51" s="280"/>
      <c r="BY51" s="22"/>
      <c r="BZ51" s="22"/>
      <c r="CA51" s="22"/>
    </row>
    <row r="52" spans="2:79">
      <c r="B52" s="22"/>
      <c r="D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50">
        <v>200</v>
      </c>
      <c r="BI52" s="250" t="s">
        <v>151</v>
      </c>
      <c r="BJ52" s="256">
        <v>200</v>
      </c>
      <c r="BK52" s="256"/>
      <c r="BL52" s="256"/>
      <c r="BM52" s="256"/>
      <c r="BN52" s="256"/>
      <c r="BO52" s="256"/>
      <c r="BP52" s="250"/>
      <c r="BQ52" s="250"/>
      <c r="BR52" s="250"/>
      <c r="BS52" s="250"/>
      <c r="BT52" s="250"/>
      <c r="BU52" s="250"/>
      <c r="BV52" s="250"/>
      <c r="BW52" s="250"/>
      <c r="BX52" s="250"/>
      <c r="BY52" s="22"/>
      <c r="BZ52" s="22"/>
      <c r="CA52" s="22"/>
    </row>
    <row r="53" spans="2:79">
      <c r="B53" s="22"/>
      <c r="D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50">
        <v>140</v>
      </c>
      <c r="BI53" s="250" t="s">
        <v>152</v>
      </c>
      <c r="BJ53" s="252">
        <v>320</v>
      </c>
      <c r="BK53" s="252"/>
      <c r="BL53" s="252"/>
      <c r="BM53" s="252"/>
      <c r="BN53" s="252"/>
      <c r="BO53" s="252"/>
      <c r="BP53" s="250" t="s">
        <v>153</v>
      </c>
      <c r="BQ53" s="250"/>
      <c r="BR53" s="250"/>
      <c r="BS53" s="250"/>
      <c r="BT53" s="250"/>
      <c r="BU53" s="250"/>
      <c r="BV53" s="250"/>
      <c r="BW53" s="250"/>
      <c r="BX53" s="250"/>
      <c r="BY53" s="22"/>
      <c r="BZ53" s="22"/>
      <c r="CA53" s="22"/>
    </row>
    <row r="54" spans="2:79">
      <c r="B54" s="22"/>
      <c r="D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50">
        <f>SUM(BH48:BH53)</f>
        <v>953</v>
      </c>
      <c r="BI54" s="250" t="s">
        <v>154</v>
      </c>
      <c r="BJ54" s="250">
        <f>SUM(BJ48:BJ53)</f>
        <v>1470</v>
      </c>
      <c r="BK54" s="250"/>
      <c r="BL54" s="250"/>
      <c r="BM54" s="250"/>
      <c r="BN54" s="250"/>
      <c r="BO54" s="250"/>
      <c r="BP54" s="250"/>
      <c r="BQ54" s="250"/>
      <c r="BR54" s="250" t="s">
        <v>155</v>
      </c>
      <c r="BS54" s="281"/>
      <c r="BT54" s="281"/>
      <c r="BU54" s="281"/>
      <c r="BV54" s="281"/>
      <c r="BW54" s="281"/>
      <c r="BX54" s="256"/>
      <c r="BY54" s="22"/>
      <c r="BZ54" s="22"/>
      <c r="CA54" s="22"/>
    </row>
    <row r="55" spans="2:79">
      <c r="B55" s="22"/>
      <c r="D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57" t="s">
        <v>156</v>
      </c>
      <c r="BI55" s="258"/>
      <c r="BJ55" s="258"/>
      <c r="BK55" s="258"/>
      <c r="BL55" s="258"/>
      <c r="BM55" s="258"/>
      <c r="BN55" s="258"/>
      <c r="BO55" s="258"/>
      <c r="BP55" s="258"/>
      <c r="BQ55" s="258"/>
      <c r="BR55" s="258"/>
      <c r="BS55" s="258"/>
      <c r="BT55" s="258"/>
      <c r="BU55" s="258"/>
      <c r="BV55" s="258"/>
      <c r="BW55" s="258"/>
      <c r="BX55" s="282"/>
      <c r="BY55" s="22"/>
      <c r="BZ55" s="22"/>
      <c r="CA55" s="22"/>
    </row>
    <row r="56" spans="2:79">
      <c r="B56" s="22"/>
      <c r="D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59"/>
      <c r="BI56" s="260"/>
      <c r="BJ56" s="260"/>
      <c r="BK56" s="260"/>
      <c r="BL56" s="260"/>
      <c r="BM56" s="260"/>
      <c r="BN56" s="260"/>
      <c r="BO56" s="260"/>
      <c r="BP56" s="260"/>
      <c r="BQ56" s="260"/>
      <c r="BR56" s="260"/>
      <c r="BS56" s="260"/>
      <c r="BT56" s="260"/>
      <c r="BU56" s="260"/>
      <c r="BV56" s="260"/>
      <c r="BW56" s="260"/>
      <c r="BX56" s="283"/>
      <c r="BY56" s="22"/>
      <c r="BZ56" s="22"/>
      <c r="CA56" s="22"/>
    </row>
    <row r="95" s="22" customFormat="1" spans="18:34">
      <c r="R95" s="291"/>
      <c r="S95" s="291"/>
      <c r="T95" s="291"/>
      <c r="U95" s="291"/>
      <c r="V95" s="291"/>
      <c r="W95" s="291"/>
      <c r="X95" s="291"/>
      <c r="Y95" s="291"/>
      <c r="Z95" s="291"/>
      <c r="AA95" s="291"/>
      <c r="AB95" s="291"/>
      <c r="AC95" s="291"/>
      <c r="AD95" s="291"/>
      <c r="AE95" s="291"/>
      <c r="AF95" s="291"/>
      <c r="AG95" s="291"/>
      <c r="AH95" s="291"/>
    </row>
    <row r="98" s="22" customFormat="1" spans="18:34">
      <c r="R98" s="292"/>
      <c r="S98" s="292"/>
      <c r="T98" s="292"/>
      <c r="U98" s="292"/>
      <c r="V98" s="292"/>
      <c r="W98" s="292"/>
      <c r="X98" s="292"/>
      <c r="Y98" s="292"/>
      <c r="Z98" s="292"/>
      <c r="AA98" s="292"/>
      <c r="AB98" s="292"/>
      <c r="AC98" s="292"/>
      <c r="AD98" s="292"/>
      <c r="AE98" s="292"/>
      <c r="AF98" s="292"/>
      <c r="AG98" s="292"/>
      <c r="AH98" s="292"/>
    </row>
  </sheetData>
  <mergeCells count="89">
    <mergeCell ref="B1:CB1"/>
    <mergeCell ref="AI2:BP2"/>
    <mergeCell ref="BQ2:BR2"/>
    <mergeCell ref="BU2:BX2"/>
    <mergeCell ref="BP46:BX46"/>
    <mergeCell ref="BP47:BX47"/>
    <mergeCell ref="BP48:BX48"/>
    <mergeCell ref="BP52:BX52"/>
    <mergeCell ref="BP53:BX53"/>
    <mergeCell ref="B2:B4"/>
    <mergeCell ref="C2:C4"/>
    <mergeCell ref="D2:D4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J49:BJ51"/>
    <mergeCell ref="BK3:BK4"/>
    <mergeCell ref="BL3:BL4"/>
    <mergeCell ref="BM3:BM4"/>
    <mergeCell ref="BN3:BN4"/>
    <mergeCell ref="BO3:BO4"/>
    <mergeCell ref="BP3:BP4"/>
    <mergeCell ref="BQ3:BQ4"/>
    <mergeCell ref="BR3:BR4"/>
    <mergeCell ref="BS2:BS4"/>
    <mergeCell ref="BT2:BT4"/>
    <mergeCell ref="BU3:BU4"/>
    <mergeCell ref="BV3:BV4"/>
    <mergeCell ref="BW3:BW4"/>
    <mergeCell ref="BZ2:BZ4"/>
    <mergeCell ref="CA2:CA4"/>
    <mergeCell ref="CB2:CB4"/>
    <mergeCell ref="CC2:CC4"/>
    <mergeCell ref="BH55:BX56"/>
    <mergeCell ref="BP49:BX51"/>
  </mergeCells>
  <pageMargins left="0.7" right="0.7" top="0.75" bottom="0.75" header="0.3" footer="0.3"/>
  <pageSetup paperSize="9" orientation="portrait"/>
  <headerFooter/>
  <ignoredErrors>
    <ignoredError sqref="CB12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0"/>
  <sheetViews>
    <sheetView workbookViewId="0">
      <selection activeCell="A1" sqref="A1:N64574"/>
    </sheetView>
  </sheetViews>
  <sheetFormatPr defaultColWidth="9" defaultRowHeight="14.4"/>
  <cols>
    <col min="1" max="1" width="7.72222222222222" style="10" customWidth="1"/>
    <col min="2" max="2" width="11.0925925925926" style="10" customWidth="1"/>
    <col min="3" max="3" width="9.36111111111111" style="10" customWidth="1"/>
    <col min="4" max="4" width="23.0925925925926" style="10" customWidth="1"/>
    <col min="5" max="6" width="7.72222222222222" style="10" customWidth="1"/>
    <col min="7" max="7" width="8.09259259259259" style="10" customWidth="1"/>
    <col min="8" max="8" width="9.4537037037037" style="10" customWidth="1"/>
    <col min="9" max="10" width="12.3611111111111" style="10" customWidth="1"/>
    <col min="11" max="12" width="10.9074074074074" style="10" customWidth="1"/>
    <col min="13" max="13" width="8.09259259259259" style="10" customWidth="1"/>
    <col min="14" max="14" width="9.4537037037037" style="10" customWidth="1"/>
    <col min="15" max="16" width="11.4537037037037"/>
  </cols>
  <sheetData>
    <row r="1" spans="1:14">
      <c r="A1" s="11" t="s">
        <v>396</v>
      </c>
      <c r="B1" s="11" t="s">
        <v>397</v>
      </c>
      <c r="C1" s="11" t="s">
        <v>398</v>
      </c>
      <c r="D1" s="11" t="s">
        <v>399</v>
      </c>
      <c r="E1" s="11" t="s">
        <v>400</v>
      </c>
      <c r="F1" s="11" t="s">
        <v>401</v>
      </c>
      <c r="G1" s="11" t="s">
        <v>402</v>
      </c>
      <c r="H1" s="12" t="s">
        <v>403</v>
      </c>
      <c r="I1" s="12" t="s">
        <v>404</v>
      </c>
      <c r="J1" s="12" t="s">
        <v>405</v>
      </c>
      <c r="K1" s="12" t="s">
        <v>406</v>
      </c>
      <c r="L1" s="12" t="s">
        <v>407</v>
      </c>
      <c r="M1" s="11" t="s">
        <v>408</v>
      </c>
      <c r="N1" s="12" t="s">
        <v>409</v>
      </c>
    </row>
    <row r="2" spans="1:14">
      <c r="A2" s="13" t="s">
        <v>410</v>
      </c>
      <c r="B2" s="14" t="s">
        <v>411</v>
      </c>
      <c r="C2" s="13" t="s">
        <v>286</v>
      </c>
      <c r="D2" s="14" t="s">
        <v>286</v>
      </c>
      <c r="E2" s="13" t="s">
        <v>286</v>
      </c>
      <c r="F2" s="13" t="s">
        <v>412</v>
      </c>
      <c r="G2" s="13" t="s">
        <v>413</v>
      </c>
      <c r="H2" s="15">
        <v>0</v>
      </c>
      <c r="I2" s="15">
        <v>1600476.48</v>
      </c>
      <c r="J2" s="15">
        <v>1600476.48</v>
      </c>
      <c r="K2" s="15">
        <v>3522489.57</v>
      </c>
      <c r="L2" s="15">
        <v>3522489.57</v>
      </c>
      <c r="M2" s="13" t="s">
        <v>413</v>
      </c>
      <c r="N2" s="15">
        <v>0</v>
      </c>
    </row>
    <row r="3" spans="1:16">
      <c r="A3" s="16" t="s">
        <v>410</v>
      </c>
      <c r="B3" s="17" t="s">
        <v>411</v>
      </c>
      <c r="C3" s="16" t="s">
        <v>286</v>
      </c>
      <c r="D3" s="17" t="s">
        <v>414</v>
      </c>
      <c r="E3" s="16" t="s">
        <v>286</v>
      </c>
      <c r="F3" s="16" t="s">
        <v>412</v>
      </c>
      <c r="G3" s="16" t="s">
        <v>415</v>
      </c>
      <c r="H3" s="18">
        <v>0</v>
      </c>
      <c r="I3" s="18">
        <v>0</v>
      </c>
      <c r="J3" s="18">
        <v>99324.74</v>
      </c>
      <c r="K3" s="18">
        <v>63739.76</v>
      </c>
      <c r="L3" s="18">
        <v>163064.5</v>
      </c>
      <c r="M3" s="16" t="s">
        <v>413</v>
      </c>
      <c r="N3" s="18">
        <v>99324.74</v>
      </c>
      <c r="O3">
        <f>IF(M3="贷",N3,-N3)</f>
        <v>99324.74</v>
      </c>
      <c r="P3">
        <f>IF(G3="贷",H3,-H3)</f>
        <v>0</v>
      </c>
    </row>
    <row r="4" spans="1:16">
      <c r="A4" s="13" t="s">
        <v>410</v>
      </c>
      <c r="B4" s="14" t="s">
        <v>411</v>
      </c>
      <c r="C4" s="13" t="s">
        <v>286</v>
      </c>
      <c r="D4" s="14" t="s">
        <v>416</v>
      </c>
      <c r="E4" s="13" t="s">
        <v>286</v>
      </c>
      <c r="F4" s="13" t="s">
        <v>412</v>
      </c>
      <c r="G4" s="13" t="s">
        <v>415</v>
      </c>
      <c r="H4" s="15">
        <v>0</v>
      </c>
      <c r="I4" s="15">
        <v>0</v>
      </c>
      <c r="J4" s="15">
        <v>0</v>
      </c>
      <c r="K4" s="15">
        <v>0</v>
      </c>
      <c r="L4" s="15">
        <v>0</v>
      </c>
      <c r="M4" s="13" t="s">
        <v>415</v>
      </c>
      <c r="N4" s="15">
        <v>0</v>
      </c>
      <c r="O4">
        <f t="shared" ref="O4:O67" si="0">IF(M4="贷",N4,-N4)</f>
        <v>0</v>
      </c>
      <c r="P4">
        <f t="shared" ref="P4:P67" si="1">IF(G4="贷",H4,-H4)</f>
        <v>0</v>
      </c>
    </row>
    <row r="5" spans="1:16">
      <c r="A5" s="16" t="s">
        <v>410</v>
      </c>
      <c r="B5" s="17" t="s">
        <v>411</v>
      </c>
      <c r="C5" s="16" t="s">
        <v>286</v>
      </c>
      <c r="D5" s="17" t="s">
        <v>83</v>
      </c>
      <c r="E5" s="16" t="s">
        <v>286</v>
      </c>
      <c r="F5" s="16" t="s">
        <v>412</v>
      </c>
      <c r="G5" s="16" t="s">
        <v>415</v>
      </c>
      <c r="H5" s="18">
        <v>0</v>
      </c>
      <c r="I5" s="18">
        <v>0</v>
      </c>
      <c r="J5" s="18">
        <v>0</v>
      </c>
      <c r="K5" s="18">
        <v>0</v>
      </c>
      <c r="L5" s="18">
        <v>0</v>
      </c>
      <c r="M5" s="16" t="s">
        <v>415</v>
      </c>
      <c r="N5" s="18">
        <v>0</v>
      </c>
      <c r="O5">
        <f t="shared" si="0"/>
        <v>0</v>
      </c>
      <c r="P5">
        <f t="shared" si="1"/>
        <v>0</v>
      </c>
    </row>
    <row r="6" spans="1:16">
      <c r="A6" s="13" t="s">
        <v>410</v>
      </c>
      <c r="B6" s="14" t="s">
        <v>411</v>
      </c>
      <c r="C6" s="13" t="s">
        <v>286</v>
      </c>
      <c r="D6" s="14" t="s">
        <v>417</v>
      </c>
      <c r="E6" s="13" t="s">
        <v>286</v>
      </c>
      <c r="F6" s="13" t="s">
        <v>412</v>
      </c>
      <c r="G6" s="13" t="s">
        <v>415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3" t="s">
        <v>415</v>
      </c>
      <c r="N6" s="15">
        <v>0</v>
      </c>
      <c r="O6">
        <f t="shared" si="0"/>
        <v>0</v>
      </c>
      <c r="P6">
        <f t="shared" si="1"/>
        <v>0</v>
      </c>
    </row>
    <row r="7" spans="1:16">
      <c r="A7" s="16" t="s">
        <v>410</v>
      </c>
      <c r="B7" s="17" t="s">
        <v>411</v>
      </c>
      <c r="C7" s="16" t="s">
        <v>286</v>
      </c>
      <c r="D7" s="17" t="s">
        <v>87</v>
      </c>
      <c r="E7" s="16" t="s">
        <v>286</v>
      </c>
      <c r="F7" s="16" t="s">
        <v>412</v>
      </c>
      <c r="G7" s="16" t="s">
        <v>415</v>
      </c>
      <c r="H7" s="18">
        <v>0</v>
      </c>
      <c r="I7" s="18">
        <v>0</v>
      </c>
      <c r="J7" s="18">
        <v>0</v>
      </c>
      <c r="K7" s="18">
        <v>0</v>
      </c>
      <c r="L7" s="18">
        <v>0</v>
      </c>
      <c r="M7" s="16" t="s">
        <v>415</v>
      </c>
      <c r="N7" s="18">
        <v>0</v>
      </c>
      <c r="O7">
        <f t="shared" si="0"/>
        <v>0</v>
      </c>
      <c r="P7">
        <f t="shared" si="1"/>
        <v>0</v>
      </c>
    </row>
    <row r="8" spans="1:16">
      <c r="A8" s="13" t="s">
        <v>410</v>
      </c>
      <c r="B8" s="14" t="s">
        <v>411</v>
      </c>
      <c r="C8" s="13" t="s">
        <v>286</v>
      </c>
      <c r="D8" s="14" t="s">
        <v>418</v>
      </c>
      <c r="E8" s="13" t="s">
        <v>286</v>
      </c>
      <c r="F8" s="13" t="s">
        <v>412</v>
      </c>
      <c r="G8" s="13" t="s">
        <v>415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3" t="s">
        <v>415</v>
      </c>
      <c r="N8" s="15">
        <v>0</v>
      </c>
      <c r="O8">
        <f t="shared" si="0"/>
        <v>0</v>
      </c>
      <c r="P8">
        <f t="shared" si="1"/>
        <v>0</v>
      </c>
    </row>
    <row r="9" spans="1:16">
      <c r="A9" s="16" t="s">
        <v>410</v>
      </c>
      <c r="B9" s="17" t="s">
        <v>411</v>
      </c>
      <c r="C9" s="16" t="s">
        <v>286</v>
      </c>
      <c r="D9" s="17" t="s">
        <v>141</v>
      </c>
      <c r="E9" s="16" t="s">
        <v>286</v>
      </c>
      <c r="F9" s="16" t="s">
        <v>412</v>
      </c>
      <c r="G9" s="16" t="s">
        <v>415</v>
      </c>
      <c r="H9" s="18">
        <v>0</v>
      </c>
      <c r="I9" s="18">
        <v>0</v>
      </c>
      <c r="J9" s="18">
        <v>0</v>
      </c>
      <c r="K9" s="18">
        <v>0</v>
      </c>
      <c r="L9" s="18">
        <v>0</v>
      </c>
      <c r="M9" s="16" t="s">
        <v>415</v>
      </c>
      <c r="N9" s="18">
        <v>0</v>
      </c>
      <c r="O9">
        <f t="shared" si="0"/>
        <v>0</v>
      </c>
      <c r="P9">
        <f t="shared" si="1"/>
        <v>0</v>
      </c>
    </row>
    <row r="10" spans="1:16">
      <c r="A10" s="13" t="s">
        <v>410</v>
      </c>
      <c r="B10" s="14" t="s">
        <v>411</v>
      </c>
      <c r="C10" s="13" t="s">
        <v>286</v>
      </c>
      <c r="D10" s="14" t="s">
        <v>227</v>
      </c>
      <c r="E10" s="13" t="s">
        <v>286</v>
      </c>
      <c r="F10" s="13" t="s">
        <v>412</v>
      </c>
      <c r="G10" s="13" t="s">
        <v>415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3" t="s">
        <v>415</v>
      </c>
      <c r="N10" s="15">
        <v>0</v>
      </c>
      <c r="O10">
        <f t="shared" si="0"/>
        <v>0</v>
      </c>
      <c r="P10">
        <f t="shared" si="1"/>
        <v>0</v>
      </c>
    </row>
    <row r="11" spans="1:16">
      <c r="A11" s="16" t="s">
        <v>410</v>
      </c>
      <c r="B11" s="17" t="s">
        <v>411</v>
      </c>
      <c r="C11" s="16" t="s">
        <v>286</v>
      </c>
      <c r="D11" s="17" t="s">
        <v>300</v>
      </c>
      <c r="E11" s="16" t="s">
        <v>286</v>
      </c>
      <c r="F11" s="16" t="s">
        <v>412</v>
      </c>
      <c r="G11" s="16" t="s">
        <v>413</v>
      </c>
      <c r="H11" s="18">
        <v>68907.04</v>
      </c>
      <c r="I11" s="18">
        <v>0</v>
      </c>
      <c r="J11" s="18">
        <v>45297.08</v>
      </c>
      <c r="K11" s="18">
        <v>0</v>
      </c>
      <c r="L11" s="18">
        <v>114204.12</v>
      </c>
      <c r="M11" s="16" t="s">
        <v>413</v>
      </c>
      <c r="N11" s="18">
        <v>114204.12</v>
      </c>
      <c r="O11">
        <f t="shared" si="0"/>
        <v>114204.12</v>
      </c>
      <c r="P11">
        <f t="shared" si="1"/>
        <v>68907.04</v>
      </c>
    </row>
    <row r="12" spans="1:16">
      <c r="A12" s="13" t="s">
        <v>410</v>
      </c>
      <c r="B12" s="14" t="s">
        <v>411</v>
      </c>
      <c r="C12" s="13" t="s">
        <v>286</v>
      </c>
      <c r="D12" s="14" t="s">
        <v>216</v>
      </c>
      <c r="E12" s="13" t="s">
        <v>286</v>
      </c>
      <c r="F12" s="13" t="s">
        <v>412</v>
      </c>
      <c r="G12" s="13" t="s">
        <v>413</v>
      </c>
      <c r="H12" s="15">
        <v>76918.41</v>
      </c>
      <c r="I12" s="15">
        <v>20000</v>
      </c>
      <c r="J12" s="15">
        <v>0</v>
      </c>
      <c r="K12" s="15">
        <v>40000</v>
      </c>
      <c r="L12" s="15">
        <v>19628.1</v>
      </c>
      <c r="M12" s="13" t="s">
        <v>413</v>
      </c>
      <c r="N12" s="15">
        <v>56918.41</v>
      </c>
      <c r="O12">
        <f t="shared" si="0"/>
        <v>56918.41</v>
      </c>
      <c r="P12">
        <f t="shared" si="1"/>
        <v>76918.41</v>
      </c>
    </row>
    <row r="13" spans="1:16">
      <c r="A13" s="16" t="s">
        <v>410</v>
      </c>
      <c r="B13" s="17" t="s">
        <v>411</v>
      </c>
      <c r="C13" s="16" t="s">
        <v>286</v>
      </c>
      <c r="D13" s="17" t="s">
        <v>295</v>
      </c>
      <c r="E13" s="16" t="s">
        <v>286</v>
      </c>
      <c r="F13" s="16" t="s">
        <v>412</v>
      </c>
      <c r="G13" s="16" t="s">
        <v>413</v>
      </c>
      <c r="H13" s="18">
        <v>37229.28</v>
      </c>
      <c r="I13" s="18">
        <v>0</v>
      </c>
      <c r="J13" s="18">
        <v>154993.8</v>
      </c>
      <c r="K13" s="18">
        <v>0</v>
      </c>
      <c r="L13" s="18">
        <v>192223.08</v>
      </c>
      <c r="M13" s="16" t="s">
        <v>413</v>
      </c>
      <c r="N13" s="18">
        <v>192223.08</v>
      </c>
      <c r="O13">
        <f t="shared" si="0"/>
        <v>192223.08</v>
      </c>
      <c r="P13">
        <f t="shared" si="1"/>
        <v>37229.28</v>
      </c>
    </row>
    <row r="14" spans="1:16">
      <c r="A14" s="13" t="s">
        <v>410</v>
      </c>
      <c r="B14" s="14" t="s">
        <v>411</v>
      </c>
      <c r="C14" s="13" t="s">
        <v>286</v>
      </c>
      <c r="D14" s="14" t="s">
        <v>187</v>
      </c>
      <c r="E14" s="13" t="s">
        <v>286</v>
      </c>
      <c r="F14" s="13" t="s">
        <v>412</v>
      </c>
      <c r="G14" s="13" t="s">
        <v>413</v>
      </c>
      <c r="H14" s="15">
        <v>564140.21</v>
      </c>
      <c r="I14" s="15">
        <v>910139.83</v>
      </c>
      <c r="J14" s="15">
        <v>450393.72</v>
      </c>
      <c r="K14" s="15">
        <v>1821139.83</v>
      </c>
      <c r="L14" s="15">
        <v>2454690.46</v>
      </c>
      <c r="M14" s="13" t="s">
        <v>413</v>
      </c>
      <c r="N14" s="15">
        <v>104394.1</v>
      </c>
      <c r="O14">
        <f t="shared" si="0"/>
        <v>104394.1</v>
      </c>
      <c r="P14">
        <f t="shared" si="1"/>
        <v>564140.21</v>
      </c>
    </row>
    <row r="15" spans="1:16">
      <c r="A15" s="16" t="s">
        <v>410</v>
      </c>
      <c r="B15" s="17" t="s">
        <v>411</v>
      </c>
      <c r="C15" s="16" t="s">
        <v>286</v>
      </c>
      <c r="D15" s="17" t="s">
        <v>89</v>
      </c>
      <c r="E15" s="16" t="s">
        <v>286</v>
      </c>
      <c r="F15" s="16" t="s">
        <v>412</v>
      </c>
      <c r="G15" s="16" t="s">
        <v>415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6" t="s">
        <v>415</v>
      </c>
      <c r="N15" s="18">
        <v>0</v>
      </c>
      <c r="O15">
        <f t="shared" si="0"/>
        <v>0</v>
      </c>
      <c r="P15">
        <f t="shared" si="1"/>
        <v>0</v>
      </c>
    </row>
    <row r="16" spans="1:16">
      <c r="A16" s="13" t="s">
        <v>410</v>
      </c>
      <c r="B16" s="14" t="s">
        <v>411</v>
      </c>
      <c r="C16" s="13" t="s">
        <v>286</v>
      </c>
      <c r="D16" s="14" t="s">
        <v>290</v>
      </c>
      <c r="E16" s="13" t="s">
        <v>286</v>
      </c>
      <c r="F16" s="13" t="s">
        <v>412</v>
      </c>
      <c r="G16" s="13" t="s">
        <v>419</v>
      </c>
      <c r="H16" s="15">
        <v>19500.7</v>
      </c>
      <c r="I16" s="15">
        <v>0</v>
      </c>
      <c r="J16" s="15">
        <v>0</v>
      </c>
      <c r="K16" s="15">
        <v>0</v>
      </c>
      <c r="L16" s="15">
        <v>-19500.7</v>
      </c>
      <c r="M16" s="13" t="s">
        <v>419</v>
      </c>
      <c r="N16" s="15">
        <v>19500.7</v>
      </c>
      <c r="O16">
        <f t="shared" si="0"/>
        <v>-19500.7</v>
      </c>
      <c r="P16">
        <f t="shared" si="1"/>
        <v>-19500.7</v>
      </c>
    </row>
    <row r="17" spans="1:16">
      <c r="A17" s="16" t="s">
        <v>410</v>
      </c>
      <c r="B17" s="17" t="s">
        <v>411</v>
      </c>
      <c r="C17" s="16" t="s">
        <v>286</v>
      </c>
      <c r="D17" s="17" t="s">
        <v>231</v>
      </c>
      <c r="E17" s="16" t="s">
        <v>286</v>
      </c>
      <c r="F17" s="16" t="s">
        <v>412</v>
      </c>
      <c r="G17" s="16" t="s">
        <v>413</v>
      </c>
      <c r="H17" s="18">
        <v>562589.14</v>
      </c>
      <c r="I17" s="18">
        <v>0</v>
      </c>
      <c r="J17" s="18">
        <v>0</v>
      </c>
      <c r="K17" s="18">
        <v>1180377.44</v>
      </c>
      <c r="L17" s="18">
        <v>562589.14</v>
      </c>
      <c r="M17" s="16" t="s">
        <v>413</v>
      </c>
      <c r="N17" s="18">
        <v>562589.14</v>
      </c>
      <c r="O17">
        <f t="shared" si="0"/>
        <v>562589.14</v>
      </c>
      <c r="P17">
        <f t="shared" si="1"/>
        <v>562589.14</v>
      </c>
    </row>
    <row r="18" spans="1:16">
      <c r="A18" s="13" t="s">
        <v>410</v>
      </c>
      <c r="B18" s="14" t="s">
        <v>411</v>
      </c>
      <c r="C18" s="13" t="s">
        <v>286</v>
      </c>
      <c r="D18" s="14" t="s">
        <v>307</v>
      </c>
      <c r="E18" s="13" t="s">
        <v>286</v>
      </c>
      <c r="F18" s="13" t="s">
        <v>412</v>
      </c>
      <c r="G18" s="13" t="s">
        <v>413</v>
      </c>
      <c r="H18" s="15">
        <v>53328.03</v>
      </c>
      <c r="I18" s="15">
        <v>0</v>
      </c>
      <c r="J18" s="15">
        <v>2186.12</v>
      </c>
      <c r="K18" s="15">
        <v>0</v>
      </c>
      <c r="L18" s="15">
        <v>55514.15</v>
      </c>
      <c r="M18" s="13" t="s">
        <v>413</v>
      </c>
      <c r="N18" s="15">
        <v>55514.15</v>
      </c>
      <c r="O18">
        <f t="shared" si="0"/>
        <v>55514.15</v>
      </c>
      <c r="P18">
        <f t="shared" si="1"/>
        <v>53328.03</v>
      </c>
    </row>
    <row r="19" spans="1:16">
      <c r="A19" s="16" t="s">
        <v>410</v>
      </c>
      <c r="B19" s="17" t="s">
        <v>411</v>
      </c>
      <c r="C19" s="16" t="s">
        <v>286</v>
      </c>
      <c r="D19" s="17" t="s">
        <v>91</v>
      </c>
      <c r="E19" s="16" t="s">
        <v>286</v>
      </c>
      <c r="F19" s="16" t="s">
        <v>412</v>
      </c>
      <c r="G19" s="16" t="s">
        <v>413</v>
      </c>
      <c r="H19" s="18">
        <v>166675</v>
      </c>
      <c r="I19" s="18">
        <v>0</v>
      </c>
      <c r="J19" s="18">
        <v>21696</v>
      </c>
      <c r="K19" s="18">
        <v>0</v>
      </c>
      <c r="L19" s="18">
        <v>70738</v>
      </c>
      <c r="M19" s="16" t="s">
        <v>413</v>
      </c>
      <c r="N19" s="18">
        <v>188371</v>
      </c>
      <c r="O19">
        <f t="shared" si="0"/>
        <v>188371</v>
      </c>
      <c r="P19">
        <f t="shared" si="1"/>
        <v>166675</v>
      </c>
    </row>
    <row r="20" spans="1:16">
      <c r="A20" s="13" t="s">
        <v>410</v>
      </c>
      <c r="B20" s="14" t="s">
        <v>411</v>
      </c>
      <c r="C20" s="13" t="s">
        <v>286</v>
      </c>
      <c r="D20" s="14" t="s">
        <v>420</v>
      </c>
      <c r="E20" s="13" t="s">
        <v>286</v>
      </c>
      <c r="F20" s="13" t="s">
        <v>412</v>
      </c>
      <c r="G20" s="13" t="s">
        <v>415</v>
      </c>
      <c r="H20" s="15">
        <v>0</v>
      </c>
      <c r="I20" s="15">
        <v>0</v>
      </c>
      <c r="J20" s="15">
        <v>452</v>
      </c>
      <c r="K20" s="15">
        <v>0</v>
      </c>
      <c r="L20" s="15">
        <v>452</v>
      </c>
      <c r="M20" s="13" t="s">
        <v>413</v>
      </c>
      <c r="N20" s="15">
        <v>452</v>
      </c>
      <c r="O20">
        <f t="shared" si="0"/>
        <v>452</v>
      </c>
      <c r="P20">
        <f t="shared" si="1"/>
        <v>0</v>
      </c>
    </row>
    <row r="21" spans="1:16">
      <c r="A21" s="16" t="s">
        <v>410</v>
      </c>
      <c r="B21" s="17" t="s">
        <v>411</v>
      </c>
      <c r="C21" s="16" t="s">
        <v>286</v>
      </c>
      <c r="D21" s="17" t="s">
        <v>93</v>
      </c>
      <c r="E21" s="16" t="s">
        <v>286</v>
      </c>
      <c r="F21" s="16" t="s">
        <v>412</v>
      </c>
      <c r="G21" s="16" t="s">
        <v>413</v>
      </c>
      <c r="H21" s="18">
        <v>29072.64</v>
      </c>
      <c r="I21" s="18">
        <v>0</v>
      </c>
      <c r="J21" s="18">
        <v>20430.4</v>
      </c>
      <c r="K21" s="18">
        <v>0</v>
      </c>
      <c r="L21" s="18">
        <v>24518.74</v>
      </c>
      <c r="M21" s="16" t="s">
        <v>413</v>
      </c>
      <c r="N21" s="18">
        <v>49503.04</v>
      </c>
      <c r="O21">
        <f t="shared" si="0"/>
        <v>49503.04</v>
      </c>
      <c r="P21">
        <f t="shared" si="1"/>
        <v>29072.64</v>
      </c>
    </row>
    <row r="22" spans="1:16">
      <c r="A22" s="13" t="s">
        <v>410</v>
      </c>
      <c r="B22" s="14" t="s">
        <v>411</v>
      </c>
      <c r="C22" s="13" t="s">
        <v>286</v>
      </c>
      <c r="D22" s="14" t="s">
        <v>95</v>
      </c>
      <c r="E22" s="13" t="s">
        <v>286</v>
      </c>
      <c r="F22" s="13" t="s">
        <v>412</v>
      </c>
      <c r="G22" s="13" t="s">
        <v>415</v>
      </c>
      <c r="H22" s="15">
        <v>0</v>
      </c>
      <c r="I22" s="15">
        <v>0</v>
      </c>
      <c r="J22" s="15">
        <v>0</v>
      </c>
      <c r="K22" s="15">
        <v>0</v>
      </c>
      <c r="L22" s="15">
        <v>0</v>
      </c>
      <c r="M22" s="13" t="s">
        <v>415</v>
      </c>
      <c r="N22" s="15">
        <v>0</v>
      </c>
      <c r="O22">
        <f t="shared" si="0"/>
        <v>0</v>
      </c>
      <c r="P22">
        <f t="shared" si="1"/>
        <v>0</v>
      </c>
    </row>
    <row r="23" spans="1:16">
      <c r="A23" s="16" t="s">
        <v>410</v>
      </c>
      <c r="B23" s="17" t="s">
        <v>411</v>
      </c>
      <c r="C23" s="16" t="s">
        <v>286</v>
      </c>
      <c r="D23" s="17" t="s">
        <v>98</v>
      </c>
      <c r="E23" s="16" t="s">
        <v>286</v>
      </c>
      <c r="F23" s="16" t="s">
        <v>412</v>
      </c>
      <c r="G23" s="16" t="s">
        <v>413</v>
      </c>
      <c r="H23" s="18">
        <v>4520</v>
      </c>
      <c r="I23" s="18">
        <v>0</v>
      </c>
      <c r="J23" s="18">
        <v>0</v>
      </c>
      <c r="K23" s="18">
        <v>0</v>
      </c>
      <c r="L23" s="18">
        <v>4520</v>
      </c>
      <c r="M23" s="16" t="s">
        <v>413</v>
      </c>
      <c r="N23" s="18">
        <v>4520</v>
      </c>
      <c r="O23">
        <f t="shared" si="0"/>
        <v>4520</v>
      </c>
      <c r="P23">
        <f t="shared" si="1"/>
        <v>4520</v>
      </c>
    </row>
    <row r="24" spans="1:16">
      <c r="A24" s="13" t="s">
        <v>410</v>
      </c>
      <c r="B24" s="14" t="s">
        <v>411</v>
      </c>
      <c r="C24" s="13" t="s">
        <v>286</v>
      </c>
      <c r="D24" s="14" t="s">
        <v>182</v>
      </c>
      <c r="E24" s="13" t="s">
        <v>286</v>
      </c>
      <c r="F24" s="13" t="s">
        <v>412</v>
      </c>
      <c r="G24" s="13" t="s">
        <v>415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3" t="s">
        <v>415</v>
      </c>
      <c r="N24" s="15">
        <v>0</v>
      </c>
      <c r="O24">
        <f t="shared" si="0"/>
        <v>0</v>
      </c>
      <c r="P24">
        <f t="shared" si="1"/>
        <v>0</v>
      </c>
    </row>
    <row r="25" spans="1:16">
      <c r="A25" s="16" t="s">
        <v>410</v>
      </c>
      <c r="B25" s="17" t="s">
        <v>411</v>
      </c>
      <c r="C25" s="16" t="s">
        <v>286</v>
      </c>
      <c r="D25" s="17" t="s">
        <v>100</v>
      </c>
      <c r="E25" s="16" t="s">
        <v>286</v>
      </c>
      <c r="F25" s="16" t="s">
        <v>412</v>
      </c>
      <c r="G25" s="16" t="s">
        <v>415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6" t="s">
        <v>415</v>
      </c>
      <c r="N25" s="18">
        <v>0</v>
      </c>
      <c r="O25">
        <f t="shared" si="0"/>
        <v>0</v>
      </c>
      <c r="P25">
        <f t="shared" si="1"/>
        <v>0</v>
      </c>
    </row>
    <row r="26" spans="1:16">
      <c r="A26" s="13" t="s">
        <v>410</v>
      </c>
      <c r="B26" s="14" t="s">
        <v>411</v>
      </c>
      <c r="C26" s="13" t="s">
        <v>286</v>
      </c>
      <c r="D26" s="14" t="s">
        <v>272</v>
      </c>
      <c r="E26" s="13" t="s">
        <v>286</v>
      </c>
      <c r="F26" s="13" t="s">
        <v>412</v>
      </c>
      <c r="G26" s="13" t="s">
        <v>413</v>
      </c>
      <c r="H26" s="15">
        <v>27745.84</v>
      </c>
      <c r="I26" s="15">
        <v>15399.46</v>
      </c>
      <c r="J26" s="15">
        <v>5525.7</v>
      </c>
      <c r="K26" s="15">
        <v>38399.46</v>
      </c>
      <c r="L26" s="15">
        <v>25513.14</v>
      </c>
      <c r="M26" s="13" t="s">
        <v>413</v>
      </c>
      <c r="N26" s="15">
        <v>17872.08</v>
      </c>
      <c r="O26">
        <f t="shared" si="0"/>
        <v>17872.08</v>
      </c>
      <c r="P26">
        <f t="shared" si="1"/>
        <v>27745.84</v>
      </c>
    </row>
    <row r="27" spans="1:16">
      <c r="A27" s="16" t="s">
        <v>410</v>
      </c>
      <c r="B27" s="17" t="s">
        <v>411</v>
      </c>
      <c r="C27" s="16" t="s">
        <v>286</v>
      </c>
      <c r="D27" s="17" t="s">
        <v>421</v>
      </c>
      <c r="E27" s="16" t="s">
        <v>286</v>
      </c>
      <c r="F27" s="16" t="s">
        <v>412</v>
      </c>
      <c r="G27" s="16" t="s">
        <v>415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6" t="s">
        <v>415</v>
      </c>
      <c r="N27" s="18">
        <v>0</v>
      </c>
      <c r="O27">
        <f t="shared" si="0"/>
        <v>0</v>
      </c>
      <c r="P27">
        <f t="shared" si="1"/>
        <v>0</v>
      </c>
    </row>
    <row r="28" spans="1:16">
      <c r="A28" s="13" t="s">
        <v>410</v>
      </c>
      <c r="B28" s="14" t="s">
        <v>411</v>
      </c>
      <c r="C28" s="13" t="s">
        <v>286</v>
      </c>
      <c r="D28" s="14" t="s">
        <v>103</v>
      </c>
      <c r="E28" s="13" t="s">
        <v>286</v>
      </c>
      <c r="F28" s="13" t="s">
        <v>412</v>
      </c>
      <c r="G28" s="13" t="s">
        <v>413</v>
      </c>
      <c r="H28" s="15">
        <v>88067.23</v>
      </c>
      <c r="I28" s="15">
        <v>88067.14</v>
      </c>
      <c r="J28" s="15">
        <v>79072.14</v>
      </c>
      <c r="K28" s="15">
        <v>266619.69</v>
      </c>
      <c r="L28" s="15">
        <v>345691.8</v>
      </c>
      <c r="M28" s="13" t="s">
        <v>413</v>
      </c>
      <c r="N28" s="15">
        <v>79072.23</v>
      </c>
      <c r="O28">
        <f t="shared" si="0"/>
        <v>79072.23</v>
      </c>
      <c r="P28">
        <f t="shared" si="1"/>
        <v>88067.23</v>
      </c>
    </row>
    <row r="29" spans="1:16">
      <c r="A29" s="16" t="s">
        <v>410</v>
      </c>
      <c r="B29" s="17" t="s">
        <v>411</v>
      </c>
      <c r="C29" s="16" t="s">
        <v>286</v>
      </c>
      <c r="D29" s="17" t="s">
        <v>225</v>
      </c>
      <c r="E29" s="16" t="s">
        <v>286</v>
      </c>
      <c r="F29" s="16" t="s">
        <v>412</v>
      </c>
      <c r="G29" s="16" t="s">
        <v>413</v>
      </c>
      <c r="H29" s="18">
        <v>182408.67</v>
      </c>
      <c r="I29" s="18">
        <v>0</v>
      </c>
      <c r="J29" s="18">
        <v>0</v>
      </c>
      <c r="K29" s="18">
        <v>0</v>
      </c>
      <c r="L29" s="18">
        <v>182408.67</v>
      </c>
      <c r="M29" s="16" t="s">
        <v>413</v>
      </c>
      <c r="N29" s="18">
        <v>182408.67</v>
      </c>
      <c r="O29">
        <f t="shared" si="0"/>
        <v>182408.67</v>
      </c>
      <c r="P29">
        <f t="shared" si="1"/>
        <v>182408.67</v>
      </c>
    </row>
    <row r="30" spans="1:16">
      <c r="A30" s="13" t="s">
        <v>410</v>
      </c>
      <c r="B30" s="14" t="s">
        <v>411</v>
      </c>
      <c r="C30" s="13" t="s">
        <v>286</v>
      </c>
      <c r="D30" s="14" t="s">
        <v>273</v>
      </c>
      <c r="E30" s="13" t="s">
        <v>286</v>
      </c>
      <c r="F30" s="13" t="s">
        <v>412</v>
      </c>
      <c r="G30" s="13" t="s">
        <v>415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3" t="s">
        <v>415</v>
      </c>
      <c r="N30" s="15">
        <v>0</v>
      </c>
      <c r="O30">
        <f t="shared" si="0"/>
        <v>0</v>
      </c>
      <c r="P30">
        <f t="shared" si="1"/>
        <v>0</v>
      </c>
    </row>
    <row r="31" spans="1:16">
      <c r="A31" s="16" t="s">
        <v>410</v>
      </c>
      <c r="B31" s="17" t="s">
        <v>411</v>
      </c>
      <c r="C31" s="16" t="s">
        <v>286</v>
      </c>
      <c r="D31" s="17" t="s">
        <v>306</v>
      </c>
      <c r="E31" s="16" t="s">
        <v>286</v>
      </c>
      <c r="F31" s="16" t="s">
        <v>412</v>
      </c>
      <c r="G31" s="16" t="s">
        <v>413</v>
      </c>
      <c r="H31" s="18">
        <v>20566</v>
      </c>
      <c r="I31" s="18">
        <v>0</v>
      </c>
      <c r="J31" s="18">
        <v>0</v>
      </c>
      <c r="K31" s="18">
        <v>0</v>
      </c>
      <c r="L31" s="18">
        <v>20566</v>
      </c>
      <c r="M31" s="16" t="s">
        <v>413</v>
      </c>
      <c r="N31" s="18">
        <v>20566</v>
      </c>
      <c r="O31">
        <f t="shared" si="0"/>
        <v>20566</v>
      </c>
      <c r="P31">
        <f t="shared" si="1"/>
        <v>20566</v>
      </c>
    </row>
    <row r="32" spans="1:16">
      <c r="A32" s="13" t="s">
        <v>410</v>
      </c>
      <c r="B32" s="14" t="s">
        <v>411</v>
      </c>
      <c r="C32" s="13" t="s">
        <v>286</v>
      </c>
      <c r="D32" s="14" t="s">
        <v>210</v>
      </c>
      <c r="E32" s="13" t="s">
        <v>286</v>
      </c>
      <c r="F32" s="13" t="s">
        <v>412</v>
      </c>
      <c r="G32" s="13" t="s">
        <v>415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3" t="s">
        <v>415</v>
      </c>
      <c r="N32" s="15">
        <v>0</v>
      </c>
      <c r="O32">
        <f t="shared" si="0"/>
        <v>0</v>
      </c>
      <c r="P32">
        <f t="shared" si="1"/>
        <v>0</v>
      </c>
    </row>
    <row r="33" spans="1:16">
      <c r="A33" s="16" t="s">
        <v>410</v>
      </c>
      <c r="B33" s="17" t="s">
        <v>411</v>
      </c>
      <c r="C33" s="16" t="s">
        <v>286</v>
      </c>
      <c r="D33" s="17" t="s">
        <v>106</v>
      </c>
      <c r="E33" s="16" t="s">
        <v>286</v>
      </c>
      <c r="F33" s="16" t="s">
        <v>412</v>
      </c>
      <c r="G33" s="16" t="s">
        <v>413</v>
      </c>
      <c r="H33" s="18">
        <v>187547.55</v>
      </c>
      <c r="I33" s="18">
        <v>0</v>
      </c>
      <c r="J33" s="18">
        <v>123272.71</v>
      </c>
      <c r="K33" s="18">
        <v>60000</v>
      </c>
      <c r="L33" s="18">
        <v>299713.7</v>
      </c>
      <c r="M33" s="16" t="s">
        <v>413</v>
      </c>
      <c r="N33" s="18">
        <v>310820.26</v>
      </c>
      <c r="O33">
        <f t="shared" si="0"/>
        <v>310820.26</v>
      </c>
      <c r="P33">
        <f t="shared" si="1"/>
        <v>187547.55</v>
      </c>
    </row>
    <row r="34" spans="1:16">
      <c r="A34" s="13" t="s">
        <v>410</v>
      </c>
      <c r="B34" s="14" t="s">
        <v>411</v>
      </c>
      <c r="C34" s="13" t="s">
        <v>286</v>
      </c>
      <c r="D34" s="14" t="s">
        <v>294</v>
      </c>
      <c r="E34" s="13" t="s">
        <v>286</v>
      </c>
      <c r="F34" s="13" t="s">
        <v>412</v>
      </c>
      <c r="G34" s="13" t="s">
        <v>415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3" t="s">
        <v>415</v>
      </c>
      <c r="N34" s="15">
        <v>0</v>
      </c>
      <c r="O34">
        <f t="shared" si="0"/>
        <v>0</v>
      </c>
      <c r="P34">
        <f t="shared" si="1"/>
        <v>0</v>
      </c>
    </row>
    <row r="35" spans="1:16">
      <c r="A35" s="16" t="s">
        <v>410</v>
      </c>
      <c r="B35" s="17" t="s">
        <v>411</v>
      </c>
      <c r="C35" s="16" t="s">
        <v>286</v>
      </c>
      <c r="D35" s="17" t="s">
        <v>108</v>
      </c>
      <c r="E35" s="16" t="s">
        <v>286</v>
      </c>
      <c r="F35" s="16" t="s">
        <v>412</v>
      </c>
      <c r="G35" s="16" t="s">
        <v>413</v>
      </c>
      <c r="H35" s="18">
        <v>274919.45</v>
      </c>
      <c r="I35" s="18">
        <v>0</v>
      </c>
      <c r="J35" s="18">
        <v>219867.26</v>
      </c>
      <c r="K35" s="18">
        <v>935000</v>
      </c>
      <c r="L35" s="18">
        <v>494701.34</v>
      </c>
      <c r="M35" s="16" t="s">
        <v>413</v>
      </c>
      <c r="N35" s="18">
        <v>494786.71</v>
      </c>
      <c r="O35">
        <f t="shared" si="0"/>
        <v>494786.71</v>
      </c>
      <c r="P35">
        <f t="shared" si="1"/>
        <v>274919.45</v>
      </c>
    </row>
    <row r="36" spans="1:16">
      <c r="A36" s="13" t="s">
        <v>410</v>
      </c>
      <c r="B36" s="14" t="s">
        <v>411</v>
      </c>
      <c r="C36" s="13" t="s">
        <v>286</v>
      </c>
      <c r="D36" s="14" t="s">
        <v>204</v>
      </c>
      <c r="E36" s="13" t="s">
        <v>286</v>
      </c>
      <c r="F36" s="13" t="s">
        <v>412</v>
      </c>
      <c r="G36" s="13" t="s">
        <v>413</v>
      </c>
      <c r="H36" s="15">
        <v>881.72</v>
      </c>
      <c r="I36" s="15">
        <v>819.02</v>
      </c>
      <c r="J36" s="15">
        <v>0</v>
      </c>
      <c r="K36" s="15">
        <v>819.02</v>
      </c>
      <c r="L36" s="15">
        <v>819.02</v>
      </c>
      <c r="M36" s="13" t="s">
        <v>413</v>
      </c>
      <c r="N36" s="15">
        <v>62.7</v>
      </c>
      <c r="O36">
        <f t="shared" si="0"/>
        <v>62.7</v>
      </c>
      <c r="P36">
        <f t="shared" si="1"/>
        <v>881.72</v>
      </c>
    </row>
    <row r="37" spans="1:16">
      <c r="A37" s="16" t="s">
        <v>410</v>
      </c>
      <c r="B37" s="17" t="s">
        <v>411</v>
      </c>
      <c r="C37" s="16" t="s">
        <v>286</v>
      </c>
      <c r="D37" s="17" t="s">
        <v>269</v>
      </c>
      <c r="E37" s="16" t="s">
        <v>286</v>
      </c>
      <c r="F37" s="16" t="s">
        <v>412</v>
      </c>
      <c r="G37" s="16" t="s">
        <v>415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6" t="s">
        <v>415</v>
      </c>
      <c r="N37" s="18">
        <v>0</v>
      </c>
      <c r="O37">
        <f t="shared" si="0"/>
        <v>0</v>
      </c>
      <c r="P37">
        <f t="shared" si="1"/>
        <v>0</v>
      </c>
    </row>
    <row r="38" spans="1:16">
      <c r="A38" s="13" t="s">
        <v>410</v>
      </c>
      <c r="B38" s="14" t="s">
        <v>411</v>
      </c>
      <c r="C38" s="13" t="s">
        <v>286</v>
      </c>
      <c r="D38" s="14" t="s">
        <v>287</v>
      </c>
      <c r="E38" s="13" t="s">
        <v>286</v>
      </c>
      <c r="F38" s="13" t="s">
        <v>412</v>
      </c>
      <c r="G38" s="13" t="s">
        <v>413</v>
      </c>
      <c r="H38" s="15">
        <v>330851.57</v>
      </c>
      <c r="I38" s="15">
        <v>20000</v>
      </c>
      <c r="J38" s="15">
        <v>0</v>
      </c>
      <c r="K38" s="15">
        <v>39790.82</v>
      </c>
      <c r="L38" s="15">
        <v>350642.39</v>
      </c>
      <c r="M38" s="13" t="s">
        <v>413</v>
      </c>
      <c r="N38" s="15">
        <v>310851.57</v>
      </c>
      <c r="O38">
        <f t="shared" si="0"/>
        <v>310851.57</v>
      </c>
      <c r="P38">
        <f t="shared" si="1"/>
        <v>330851.57</v>
      </c>
    </row>
    <row r="39" spans="1:16">
      <c r="A39" s="16" t="s">
        <v>410</v>
      </c>
      <c r="B39" s="17" t="s">
        <v>411</v>
      </c>
      <c r="C39" s="16" t="s">
        <v>286</v>
      </c>
      <c r="D39" s="17" t="s">
        <v>214</v>
      </c>
      <c r="E39" s="16" t="s">
        <v>286</v>
      </c>
      <c r="F39" s="16" t="s">
        <v>412</v>
      </c>
      <c r="G39" s="16" t="s">
        <v>415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6" t="s">
        <v>415</v>
      </c>
      <c r="N39" s="18">
        <v>0</v>
      </c>
      <c r="O39">
        <f t="shared" si="0"/>
        <v>0</v>
      </c>
      <c r="P39">
        <f t="shared" si="1"/>
        <v>0</v>
      </c>
    </row>
    <row r="40" spans="1:16">
      <c r="A40" s="13" t="s">
        <v>410</v>
      </c>
      <c r="B40" s="14" t="s">
        <v>411</v>
      </c>
      <c r="C40" s="13" t="s">
        <v>286</v>
      </c>
      <c r="D40" s="14" t="s">
        <v>113</v>
      </c>
      <c r="E40" s="13" t="s">
        <v>286</v>
      </c>
      <c r="F40" s="13" t="s">
        <v>412</v>
      </c>
      <c r="G40" s="13" t="s">
        <v>413</v>
      </c>
      <c r="H40" s="15">
        <v>205279.13</v>
      </c>
      <c r="I40" s="15">
        <v>0</v>
      </c>
      <c r="J40" s="15">
        <v>0</v>
      </c>
      <c r="K40" s="15">
        <v>0</v>
      </c>
      <c r="L40" s="15">
        <v>162469.7</v>
      </c>
      <c r="M40" s="13" t="s">
        <v>413</v>
      </c>
      <c r="N40" s="15">
        <v>205279.13</v>
      </c>
      <c r="O40">
        <f t="shared" si="0"/>
        <v>205279.13</v>
      </c>
      <c r="P40">
        <f t="shared" si="1"/>
        <v>205279.13</v>
      </c>
    </row>
    <row r="41" spans="1:16">
      <c r="A41" s="16" t="s">
        <v>410</v>
      </c>
      <c r="B41" s="17" t="s">
        <v>411</v>
      </c>
      <c r="C41" s="16" t="s">
        <v>286</v>
      </c>
      <c r="D41" s="17" t="s">
        <v>115</v>
      </c>
      <c r="E41" s="16" t="s">
        <v>286</v>
      </c>
      <c r="F41" s="16" t="s">
        <v>412</v>
      </c>
      <c r="G41" s="16" t="s">
        <v>413</v>
      </c>
      <c r="H41" s="18">
        <v>117608.6</v>
      </c>
      <c r="I41" s="18">
        <v>0</v>
      </c>
      <c r="J41" s="18">
        <v>75926.51</v>
      </c>
      <c r="K41" s="18">
        <v>0</v>
      </c>
      <c r="L41" s="18">
        <v>193535.11</v>
      </c>
      <c r="M41" s="16" t="s">
        <v>413</v>
      </c>
      <c r="N41" s="18">
        <v>193535.11</v>
      </c>
      <c r="O41">
        <f t="shared" si="0"/>
        <v>193535.11</v>
      </c>
      <c r="P41">
        <f t="shared" si="1"/>
        <v>117608.6</v>
      </c>
    </row>
    <row r="42" spans="1:16">
      <c r="A42" s="13" t="s">
        <v>410</v>
      </c>
      <c r="B42" s="14" t="s">
        <v>411</v>
      </c>
      <c r="C42" s="13" t="s">
        <v>286</v>
      </c>
      <c r="D42" s="14" t="s">
        <v>422</v>
      </c>
      <c r="E42" s="13" t="s">
        <v>286</v>
      </c>
      <c r="F42" s="13" t="s">
        <v>412</v>
      </c>
      <c r="G42" s="13" t="s">
        <v>415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3" t="s">
        <v>415</v>
      </c>
      <c r="N42" s="15">
        <v>0</v>
      </c>
      <c r="O42">
        <f t="shared" si="0"/>
        <v>0</v>
      </c>
      <c r="P42">
        <f t="shared" si="1"/>
        <v>0</v>
      </c>
    </row>
    <row r="43" spans="1:16">
      <c r="A43" s="16" t="s">
        <v>410</v>
      </c>
      <c r="B43" s="17" t="s">
        <v>411</v>
      </c>
      <c r="C43" s="16" t="s">
        <v>286</v>
      </c>
      <c r="D43" s="17" t="s">
        <v>423</v>
      </c>
      <c r="E43" s="16" t="s">
        <v>286</v>
      </c>
      <c r="F43" s="16" t="s">
        <v>412</v>
      </c>
      <c r="G43" s="16" t="s">
        <v>415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6" t="s">
        <v>415</v>
      </c>
      <c r="N43" s="18">
        <v>0</v>
      </c>
      <c r="O43">
        <f t="shared" si="0"/>
        <v>0</v>
      </c>
      <c r="P43">
        <f t="shared" si="1"/>
        <v>0</v>
      </c>
    </row>
    <row r="44" spans="1:16">
      <c r="A44" s="13" t="s">
        <v>410</v>
      </c>
      <c r="B44" s="14" t="s">
        <v>411</v>
      </c>
      <c r="C44" s="13" t="s">
        <v>286</v>
      </c>
      <c r="D44" s="14" t="s">
        <v>424</v>
      </c>
      <c r="E44" s="13" t="s">
        <v>286</v>
      </c>
      <c r="F44" s="13" t="s">
        <v>412</v>
      </c>
      <c r="G44" s="13" t="s">
        <v>415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3" t="s">
        <v>415</v>
      </c>
      <c r="N44" s="15">
        <v>0</v>
      </c>
      <c r="O44">
        <f t="shared" si="0"/>
        <v>0</v>
      </c>
      <c r="P44">
        <f t="shared" si="1"/>
        <v>0</v>
      </c>
    </row>
    <row r="45" spans="1:16">
      <c r="A45" s="16" t="s">
        <v>410</v>
      </c>
      <c r="B45" s="17" t="s">
        <v>411</v>
      </c>
      <c r="C45" s="16" t="s">
        <v>286</v>
      </c>
      <c r="D45" s="17" t="s">
        <v>205</v>
      </c>
      <c r="E45" s="16" t="s">
        <v>286</v>
      </c>
      <c r="F45" s="16" t="s">
        <v>412</v>
      </c>
      <c r="G45" s="16" t="s">
        <v>415</v>
      </c>
      <c r="H45" s="18">
        <v>0</v>
      </c>
      <c r="I45" s="18">
        <v>0</v>
      </c>
      <c r="J45" s="18">
        <v>0</v>
      </c>
      <c r="K45" s="18">
        <v>0</v>
      </c>
      <c r="L45" s="18">
        <v>0</v>
      </c>
      <c r="M45" s="16" t="s">
        <v>415</v>
      </c>
      <c r="N45" s="18">
        <v>0</v>
      </c>
      <c r="O45">
        <f t="shared" si="0"/>
        <v>0</v>
      </c>
      <c r="P45">
        <f t="shared" si="1"/>
        <v>0</v>
      </c>
    </row>
    <row r="46" spans="1:16">
      <c r="A46" s="13" t="s">
        <v>410</v>
      </c>
      <c r="B46" s="14" t="s">
        <v>411</v>
      </c>
      <c r="C46" s="13" t="s">
        <v>286</v>
      </c>
      <c r="D46" s="14" t="s">
        <v>425</v>
      </c>
      <c r="E46" s="13" t="s">
        <v>286</v>
      </c>
      <c r="F46" s="13" t="s">
        <v>412</v>
      </c>
      <c r="G46" s="13" t="s">
        <v>415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3" t="s">
        <v>415</v>
      </c>
      <c r="N46" s="15">
        <v>0</v>
      </c>
      <c r="O46">
        <f t="shared" si="0"/>
        <v>0</v>
      </c>
      <c r="P46">
        <f t="shared" si="1"/>
        <v>0</v>
      </c>
    </row>
    <row r="47" spans="1:16">
      <c r="A47" s="16" t="s">
        <v>410</v>
      </c>
      <c r="B47" s="17" t="s">
        <v>411</v>
      </c>
      <c r="C47" s="16" t="s">
        <v>286</v>
      </c>
      <c r="D47" s="17" t="s">
        <v>206</v>
      </c>
      <c r="E47" s="16" t="s">
        <v>286</v>
      </c>
      <c r="F47" s="16" t="s">
        <v>412</v>
      </c>
      <c r="G47" s="16" t="s">
        <v>415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6" t="s">
        <v>415</v>
      </c>
      <c r="N47" s="18">
        <v>0</v>
      </c>
      <c r="O47">
        <f t="shared" si="0"/>
        <v>0</v>
      </c>
      <c r="P47">
        <f t="shared" si="1"/>
        <v>0</v>
      </c>
    </row>
    <row r="48" spans="1:16">
      <c r="A48" s="13" t="s">
        <v>410</v>
      </c>
      <c r="B48" s="14" t="s">
        <v>411</v>
      </c>
      <c r="C48" s="13" t="s">
        <v>286</v>
      </c>
      <c r="D48" s="14" t="s">
        <v>223</v>
      </c>
      <c r="E48" s="13" t="s">
        <v>286</v>
      </c>
      <c r="F48" s="13" t="s">
        <v>412</v>
      </c>
      <c r="G48" s="13" t="s">
        <v>413</v>
      </c>
      <c r="H48" s="15">
        <v>46748.1</v>
      </c>
      <c r="I48" s="15">
        <v>25391</v>
      </c>
      <c r="J48" s="15">
        <v>11390.4</v>
      </c>
      <c r="K48" s="15">
        <v>25391</v>
      </c>
      <c r="L48" s="15">
        <v>32747.4</v>
      </c>
      <c r="M48" s="13" t="s">
        <v>413</v>
      </c>
      <c r="N48" s="15">
        <v>32747.5</v>
      </c>
      <c r="O48">
        <f t="shared" si="0"/>
        <v>32747.5</v>
      </c>
      <c r="P48">
        <f t="shared" si="1"/>
        <v>46748.1</v>
      </c>
    </row>
    <row r="49" spans="1:16">
      <c r="A49" s="16" t="s">
        <v>410</v>
      </c>
      <c r="B49" s="17" t="s">
        <v>411</v>
      </c>
      <c r="C49" s="16" t="s">
        <v>286</v>
      </c>
      <c r="D49" s="17" t="s">
        <v>426</v>
      </c>
      <c r="E49" s="16" t="s">
        <v>286</v>
      </c>
      <c r="F49" s="16" t="s">
        <v>412</v>
      </c>
      <c r="G49" s="16" t="s">
        <v>415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6" t="s">
        <v>415</v>
      </c>
      <c r="N49" s="18">
        <v>0</v>
      </c>
      <c r="O49">
        <f t="shared" si="0"/>
        <v>0</v>
      </c>
      <c r="P49">
        <f t="shared" si="1"/>
        <v>0</v>
      </c>
    </row>
    <row r="50" spans="1:16">
      <c r="A50" s="13" t="s">
        <v>410</v>
      </c>
      <c r="B50" s="14" t="s">
        <v>411</v>
      </c>
      <c r="C50" s="13" t="s">
        <v>286</v>
      </c>
      <c r="D50" s="14" t="s">
        <v>229</v>
      </c>
      <c r="E50" s="13" t="s">
        <v>286</v>
      </c>
      <c r="F50" s="13" t="s">
        <v>412</v>
      </c>
      <c r="G50" s="13" t="s">
        <v>413</v>
      </c>
      <c r="H50" s="15">
        <v>2518.39</v>
      </c>
      <c r="I50" s="15">
        <v>0</v>
      </c>
      <c r="J50" s="15">
        <v>0</v>
      </c>
      <c r="K50" s="15">
        <v>0</v>
      </c>
      <c r="L50" s="15">
        <v>0</v>
      </c>
      <c r="M50" s="13" t="s">
        <v>413</v>
      </c>
      <c r="N50" s="15">
        <v>2518.39</v>
      </c>
      <c r="O50">
        <f t="shared" si="0"/>
        <v>2518.39</v>
      </c>
      <c r="P50">
        <f t="shared" si="1"/>
        <v>2518.39</v>
      </c>
    </row>
    <row r="51" spans="1:16">
      <c r="A51" s="16" t="s">
        <v>410</v>
      </c>
      <c r="B51" s="17" t="s">
        <v>411</v>
      </c>
      <c r="C51" s="16" t="s">
        <v>286</v>
      </c>
      <c r="D51" s="17" t="s">
        <v>427</v>
      </c>
      <c r="E51" s="16" t="s">
        <v>286</v>
      </c>
      <c r="F51" s="16" t="s">
        <v>412</v>
      </c>
      <c r="G51" s="16" t="s">
        <v>415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6" t="s">
        <v>415</v>
      </c>
      <c r="N51" s="18">
        <v>0</v>
      </c>
      <c r="O51">
        <f t="shared" si="0"/>
        <v>0</v>
      </c>
      <c r="P51">
        <f t="shared" si="1"/>
        <v>0</v>
      </c>
    </row>
    <row r="52" spans="1:16">
      <c r="A52" s="13" t="s">
        <v>410</v>
      </c>
      <c r="B52" s="14" t="s">
        <v>411</v>
      </c>
      <c r="C52" s="13" t="s">
        <v>286</v>
      </c>
      <c r="D52" s="14" t="s">
        <v>428</v>
      </c>
      <c r="E52" s="13" t="s">
        <v>286</v>
      </c>
      <c r="F52" s="13" t="s">
        <v>412</v>
      </c>
      <c r="G52" s="13" t="s">
        <v>415</v>
      </c>
      <c r="H52" s="15">
        <v>0</v>
      </c>
      <c r="I52" s="15">
        <v>0</v>
      </c>
      <c r="J52" s="15">
        <v>0</v>
      </c>
      <c r="K52" s="15">
        <v>0</v>
      </c>
      <c r="L52" s="15">
        <v>0</v>
      </c>
      <c r="M52" s="13" t="s">
        <v>415</v>
      </c>
      <c r="N52" s="15">
        <v>0</v>
      </c>
      <c r="O52">
        <f t="shared" si="0"/>
        <v>0</v>
      </c>
      <c r="P52">
        <f t="shared" si="1"/>
        <v>0</v>
      </c>
    </row>
    <row r="53" spans="1:16">
      <c r="A53" s="16" t="s">
        <v>410</v>
      </c>
      <c r="B53" s="17" t="s">
        <v>411</v>
      </c>
      <c r="C53" s="16" t="s">
        <v>286</v>
      </c>
      <c r="D53" s="17" t="s">
        <v>208</v>
      </c>
      <c r="E53" s="16" t="s">
        <v>286</v>
      </c>
      <c r="F53" s="16" t="s">
        <v>412</v>
      </c>
      <c r="G53" s="16" t="s">
        <v>415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6" t="s">
        <v>415</v>
      </c>
      <c r="N53" s="18">
        <v>0</v>
      </c>
      <c r="O53">
        <f t="shared" si="0"/>
        <v>0</v>
      </c>
      <c r="P53">
        <f t="shared" si="1"/>
        <v>0</v>
      </c>
    </row>
    <row r="54" spans="1:16">
      <c r="A54" s="13" t="s">
        <v>410</v>
      </c>
      <c r="B54" s="14" t="s">
        <v>411</v>
      </c>
      <c r="C54" s="13" t="s">
        <v>286</v>
      </c>
      <c r="D54" s="14" t="s">
        <v>119</v>
      </c>
      <c r="E54" s="13" t="s">
        <v>286</v>
      </c>
      <c r="F54" s="13" t="s">
        <v>412</v>
      </c>
      <c r="G54" s="13" t="s">
        <v>415</v>
      </c>
      <c r="H54" s="15">
        <v>0</v>
      </c>
      <c r="I54" s="15">
        <v>0</v>
      </c>
      <c r="J54" s="15">
        <v>0</v>
      </c>
      <c r="K54" s="15">
        <v>0</v>
      </c>
      <c r="L54" s="15">
        <v>0</v>
      </c>
      <c r="M54" s="13" t="s">
        <v>415</v>
      </c>
      <c r="N54" s="15">
        <v>0</v>
      </c>
      <c r="O54">
        <f t="shared" si="0"/>
        <v>0</v>
      </c>
      <c r="P54">
        <f t="shared" si="1"/>
        <v>0</v>
      </c>
    </row>
    <row r="55" spans="1:16">
      <c r="A55" s="16" t="s">
        <v>410</v>
      </c>
      <c r="B55" s="17" t="s">
        <v>411</v>
      </c>
      <c r="C55" s="16" t="s">
        <v>286</v>
      </c>
      <c r="D55" s="17" t="s">
        <v>121</v>
      </c>
      <c r="E55" s="16" t="s">
        <v>286</v>
      </c>
      <c r="F55" s="16" t="s">
        <v>412</v>
      </c>
      <c r="G55" s="16" t="s">
        <v>415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6" t="s">
        <v>415</v>
      </c>
      <c r="N55" s="18">
        <v>0</v>
      </c>
      <c r="O55">
        <f t="shared" si="0"/>
        <v>0</v>
      </c>
      <c r="P55">
        <f t="shared" si="1"/>
        <v>0</v>
      </c>
    </row>
    <row r="56" spans="1:16">
      <c r="A56" s="13" t="s">
        <v>410</v>
      </c>
      <c r="B56" s="14" t="s">
        <v>411</v>
      </c>
      <c r="C56" s="13" t="s">
        <v>286</v>
      </c>
      <c r="D56" s="14" t="s">
        <v>288</v>
      </c>
      <c r="E56" s="13" t="s">
        <v>286</v>
      </c>
      <c r="F56" s="13" t="s">
        <v>412</v>
      </c>
      <c r="G56" s="13" t="s">
        <v>413</v>
      </c>
      <c r="H56" s="15">
        <v>18350.22</v>
      </c>
      <c r="I56" s="15">
        <v>0</v>
      </c>
      <c r="J56" s="15">
        <v>198608.39</v>
      </c>
      <c r="K56" s="15">
        <v>152326.87</v>
      </c>
      <c r="L56" s="15">
        <v>366264.04</v>
      </c>
      <c r="M56" s="13" t="s">
        <v>413</v>
      </c>
      <c r="N56" s="15">
        <v>216958.61</v>
      </c>
      <c r="O56">
        <f t="shared" si="0"/>
        <v>216958.61</v>
      </c>
      <c r="P56">
        <f t="shared" si="1"/>
        <v>18350.22</v>
      </c>
    </row>
    <row r="57" spans="1:16">
      <c r="A57" s="16" t="s">
        <v>410</v>
      </c>
      <c r="B57" s="17" t="s">
        <v>411</v>
      </c>
      <c r="C57" s="16" t="s">
        <v>286</v>
      </c>
      <c r="D57" s="17" t="s">
        <v>429</v>
      </c>
      <c r="E57" s="16" t="s">
        <v>286</v>
      </c>
      <c r="F57" s="16" t="s">
        <v>412</v>
      </c>
      <c r="G57" s="16" t="s">
        <v>415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6" t="s">
        <v>415</v>
      </c>
      <c r="N57" s="18">
        <v>0</v>
      </c>
      <c r="O57">
        <f t="shared" si="0"/>
        <v>0</v>
      </c>
      <c r="P57">
        <f t="shared" si="1"/>
        <v>0</v>
      </c>
    </row>
    <row r="58" spans="1:16">
      <c r="A58" s="13" t="s">
        <v>410</v>
      </c>
      <c r="B58" s="14" t="s">
        <v>411</v>
      </c>
      <c r="C58" s="13" t="s">
        <v>286</v>
      </c>
      <c r="D58" s="14" t="s">
        <v>430</v>
      </c>
      <c r="E58" s="13" t="s">
        <v>286</v>
      </c>
      <c r="F58" s="13" t="s">
        <v>412</v>
      </c>
      <c r="G58" s="13" t="s">
        <v>415</v>
      </c>
      <c r="H58" s="15">
        <v>0</v>
      </c>
      <c r="I58" s="15">
        <v>0</v>
      </c>
      <c r="J58" s="15">
        <v>0</v>
      </c>
      <c r="K58" s="15">
        <v>0</v>
      </c>
      <c r="L58" s="15">
        <v>0</v>
      </c>
      <c r="M58" s="13" t="s">
        <v>415</v>
      </c>
      <c r="N58" s="15">
        <v>0</v>
      </c>
      <c r="O58">
        <f t="shared" si="0"/>
        <v>0</v>
      </c>
      <c r="P58">
        <f t="shared" si="1"/>
        <v>0</v>
      </c>
    </row>
    <row r="59" spans="1:16">
      <c r="A59" s="16" t="s">
        <v>410</v>
      </c>
      <c r="B59" s="17" t="s">
        <v>411</v>
      </c>
      <c r="C59" s="16" t="s">
        <v>286</v>
      </c>
      <c r="D59" s="17" t="s">
        <v>431</v>
      </c>
      <c r="E59" s="16" t="s">
        <v>286</v>
      </c>
      <c r="F59" s="16" t="s">
        <v>412</v>
      </c>
      <c r="G59" s="16" t="s">
        <v>415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6" t="s">
        <v>415</v>
      </c>
      <c r="N59" s="18">
        <v>0</v>
      </c>
      <c r="O59">
        <f t="shared" si="0"/>
        <v>0</v>
      </c>
      <c r="P59">
        <f t="shared" si="1"/>
        <v>0</v>
      </c>
    </row>
    <row r="60" spans="1:16">
      <c r="A60" s="13" t="s">
        <v>410</v>
      </c>
      <c r="B60" s="14" t="s">
        <v>411</v>
      </c>
      <c r="C60" s="13" t="s">
        <v>286</v>
      </c>
      <c r="D60" s="14" t="s">
        <v>432</v>
      </c>
      <c r="E60" s="13" t="s">
        <v>286</v>
      </c>
      <c r="F60" s="13" t="s">
        <v>412</v>
      </c>
      <c r="G60" s="13" t="s">
        <v>415</v>
      </c>
      <c r="H60" s="15">
        <v>0</v>
      </c>
      <c r="I60" s="15">
        <v>0</v>
      </c>
      <c r="J60" s="15">
        <v>0</v>
      </c>
      <c r="K60" s="15">
        <v>0</v>
      </c>
      <c r="L60" s="15">
        <v>0</v>
      </c>
      <c r="M60" s="13" t="s">
        <v>415</v>
      </c>
      <c r="N60" s="15">
        <v>0</v>
      </c>
      <c r="O60">
        <f t="shared" si="0"/>
        <v>0</v>
      </c>
      <c r="P60">
        <f t="shared" si="1"/>
        <v>0</v>
      </c>
    </row>
    <row r="61" spans="1:16">
      <c r="A61" s="16" t="s">
        <v>410</v>
      </c>
      <c r="B61" s="17" t="s">
        <v>411</v>
      </c>
      <c r="C61" s="16" t="s">
        <v>286</v>
      </c>
      <c r="D61" s="17" t="s">
        <v>433</v>
      </c>
      <c r="E61" s="16" t="s">
        <v>286</v>
      </c>
      <c r="F61" s="16" t="s">
        <v>412</v>
      </c>
      <c r="G61" s="16" t="s">
        <v>415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6" t="s">
        <v>415</v>
      </c>
      <c r="N61" s="18">
        <v>0</v>
      </c>
      <c r="O61">
        <f t="shared" si="0"/>
        <v>0</v>
      </c>
      <c r="P61">
        <f t="shared" si="1"/>
        <v>0</v>
      </c>
    </row>
    <row r="62" spans="1:16">
      <c r="A62" s="13" t="s">
        <v>410</v>
      </c>
      <c r="B62" s="14" t="s">
        <v>411</v>
      </c>
      <c r="C62" s="13" t="s">
        <v>286</v>
      </c>
      <c r="D62" s="14" t="s">
        <v>434</v>
      </c>
      <c r="E62" s="13" t="s">
        <v>286</v>
      </c>
      <c r="F62" s="13" t="s">
        <v>412</v>
      </c>
      <c r="G62" s="13" t="s">
        <v>415</v>
      </c>
      <c r="H62" s="15">
        <v>0</v>
      </c>
      <c r="I62" s="15">
        <v>0</v>
      </c>
      <c r="J62" s="15">
        <v>0</v>
      </c>
      <c r="K62" s="15">
        <v>0</v>
      </c>
      <c r="L62" s="15">
        <v>0</v>
      </c>
      <c r="M62" s="13" t="s">
        <v>415</v>
      </c>
      <c r="N62" s="15">
        <v>0</v>
      </c>
      <c r="O62">
        <f t="shared" si="0"/>
        <v>0</v>
      </c>
      <c r="P62">
        <f t="shared" si="1"/>
        <v>0</v>
      </c>
    </row>
    <row r="63" spans="1:16">
      <c r="A63" s="16" t="s">
        <v>410</v>
      </c>
      <c r="B63" s="17" t="s">
        <v>411</v>
      </c>
      <c r="C63" s="16" t="s">
        <v>286</v>
      </c>
      <c r="D63" s="17" t="s">
        <v>123</v>
      </c>
      <c r="E63" s="16" t="s">
        <v>286</v>
      </c>
      <c r="F63" s="16" t="s">
        <v>412</v>
      </c>
      <c r="G63" s="16" t="s">
        <v>413</v>
      </c>
      <c r="H63" s="18">
        <v>517942.08</v>
      </c>
      <c r="I63" s="18">
        <v>370975</v>
      </c>
      <c r="J63" s="18">
        <v>208690.84</v>
      </c>
      <c r="K63" s="18">
        <v>840975</v>
      </c>
      <c r="L63" s="18">
        <v>355657.92</v>
      </c>
      <c r="M63" s="16" t="s">
        <v>413</v>
      </c>
      <c r="N63" s="18">
        <v>355657.92</v>
      </c>
      <c r="O63">
        <f t="shared" si="0"/>
        <v>355657.92</v>
      </c>
      <c r="P63">
        <f t="shared" si="1"/>
        <v>517942.08</v>
      </c>
    </row>
    <row r="64" spans="1:16">
      <c r="A64" s="13" t="s">
        <v>410</v>
      </c>
      <c r="B64" s="14" t="s">
        <v>411</v>
      </c>
      <c r="C64" s="13" t="s">
        <v>286</v>
      </c>
      <c r="D64" s="14" t="s">
        <v>125</v>
      </c>
      <c r="E64" s="13" t="s">
        <v>286</v>
      </c>
      <c r="F64" s="13" t="s">
        <v>412</v>
      </c>
      <c r="G64" s="13" t="s">
        <v>413</v>
      </c>
      <c r="H64" s="15">
        <v>43378.44</v>
      </c>
      <c r="I64" s="15">
        <v>0</v>
      </c>
      <c r="J64" s="15">
        <v>0</v>
      </c>
      <c r="K64" s="15">
        <v>0</v>
      </c>
      <c r="L64" s="15">
        <v>0</v>
      </c>
      <c r="M64" s="13" t="s">
        <v>413</v>
      </c>
      <c r="N64" s="15">
        <v>43378.44</v>
      </c>
      <c r="O64">
        <f t="shared" si="0"/>
        <v>43378.44</v>
      </c>
      <c r="P64">
        <f t="shared" si="1"/>
        <v>43378.44</v>
      </c>
    </row>
    <row r="65" spans="1:16">
      <c r="A65" s="16" t="s">
        <v>410</v>
      </c>
      <c r="B65" s="17" t="s">
        <v>411</v>
      </c>
      <c r="C65" s="16" t="s">
        <v>286</v>
      </c>
      <c r="D65" s="17" t="s">
        <v>435</v>
      </c>
      <c r="E65" s="16" t="s">
        <v>286</v>
      </c>
      <c r="F65" s="16" t="s">
        <v>412</v>
      </c>
      <c r="G65" s="16" t="s">
        <v>415</v>
      </c>
      <c r="H65" s="18">
        <v>0</v>
      </c>
      <c r="I65" s="18">
        <v>0</v>
      </c>
      <c r="J65" s="18">
        <v>0</v>
      </c>
      <c r="K65" s="18">
        <v>0</v>
      </c>
      <c r="L65" s="18">
        <v>0</v>
      </c>
      <c r="M65" s="16" t="s">
        <v>415</v>
      </c>
      <c r="N65" s="18">
        <v>0</v>
      </c>
      <c r="O65">
        <f t="shared" si="0"/>
        <v>0</v>
      </c>
      <c r="P65">
        <f t="shared" si="1"/>
        <v>0</v>
      </c>
    </row>
    <row r="66" spans="1:16">
      <c r="A66" s="13" t="s">
        <v>410</v>
      </c>
      <c r="B66" s="14" t="s">
        <v>411</v>
      </c>
      <c r="C66" s="13" t="s">
        <v>286</v>
      </c>
      <c r="D66" s="14" t="s">
        <v>436</v>
      </c>
      <c r="E66" s="13" t="s">
        <v>286</v>
      </c>
      <c r="F66" s="13" t="s">
        <v>412</v>
      </c>
      <c r="G66" s="13" t="s">
        <v>415</v>
      </c>
      <c r="H66" s="15">
        <v>0</v>
      </c>
      <c r="I66" s="15">
        <v>0</v>
      </c>
      <c r="J66" s="15">
        <v>0</v>
      </c>
      <c r="K66" s="15">
        <v>0</v>
      </c>
      <c r="L66" s="15">
        <v>0</v>
      </c>
      <c r="M66" s="13" t="s">
        <v>415</v>
      </c>
      <c r="N66" s="15">
        <v>0</v>
      </c>
      <c r="O66">
        <f t="shared" si="0"/>
        <v>0</v>
      </c>
      <c r="P66">
        <f t="shared" si="1"/>
        <v>0</v>
      </c>
    </row>
    <row r="67" spans="1:16">
      <c r="A67" s="16" t="s">
        <v>410</v>
      </c>
      <c r="B67" s="17" t="s">
        <v>411</v>
      </c>
      <c r="C67" s="16" t="s">
        <v>286</v>
      </c>
      <c r="D67" s="17" t="s">
        <v>437</v>
      </c>
      <c r="E67" s="16" t="s">
        <v>286</v>
      </c>
      <c r="F67" s="16" t="s">
        <v>412</v>
      </c>
      <c r="G67" s="16" t="s">
        <v>415</v>
      </c>
      <c r="H67" s="18">
        <v>0</v>
      </c>
      <c r="I67" s="18">
        <v>0</v>
      </c>
      <c r="J67" s="18">
        <v>0</v>
      </c>
      <c r="K67" s="18">
        <v>0</v>
      </c>
      <c r="L67" s="18">
        <v>0</v>
      </c>
      <c r="M67" s="16" t="s">
        <v>415</v>
      </c>
      <c r="N67" s="18">
        <v>0</v>
      </c>
      <c r="O67">
        <f t="shared" si="0"/>
        <v>0</v>
      </c>
      <c r="P67">
        <f t="shared" si="1"/>
        <v>0</v>
      </c>
    </row>
    <row r="68" spans="1:16">
      <c r="A68" s="13" t="s">
        <v>410</v>
      </c>
      <c r="B68" s="14" t="s">
        <v>411</v>
      </c>
      <c r="C68" s="13" t="s">
        <v>286</v>
      </c>
      <c r="D68" s="14" t="s">
        <v>438</v>
      </c>
      <c r="E68" s="13" t="s">
        <v>286</v>
      </c>
      <c r="F68" s="13" t="s">
        <v>412</v>
      </c>
      <c r="G68" s="13" t="s">
        <v>415</v>
      </c>
      <c r="H68" s="15">
        <v>0</v>
      </c>
      <c r="I68" s="15">
        <v>0</v>
      </c>
      <c r="J68" s="15">
        <v>0</v>
      </c>
      <c r="K68" s="15">
        <v>0</v>
      </c>
      <c r="L68" s="15">
        <v>0</v>
      </c>
      <c r="M68" s="13" t="s">
        <v>415</v>
      </c>
      <c r="N68" s="15">
        <v>0</v>
      </c>
      <c r="O68">
        <f t="shared" ref="O68:O81" si="2">IF(M68="贷",N68,-N68)</f>
        <v>0</v>
      </c>
      <c r="P68">
        <f t="shared" ref="P68:P81" si="3">IF(G68="贷",H68,-H68)</f>
        <v>0</v>
      </c>
    </row>
    <row r="69" spans="1:16">
      <c r="A69" s="16" t="s">
        <v>410</v>
      </c>
      <c r="B69" s="17" t="s">
        <v>411</v>
      </c>
      <c r="C69" s="16" t="s">
        <v>286</v>
      </c>
      <c r="D69" s="17" t="s">
        <v>439</v>
      </c>
      <c r="E69" s="16" t="s">
        <v>286</v>
      </c>
      <c r="F69" s="16" t="s">
        <v>412</v>
      </c>
      <c r="G69" s="16" t="s">
        <v>415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6" t="s">
        <v>415</v>
      </c>
      <c r="N69" s="18">
        <v>0</v>
      </c>
      <c r="O69">
        <f t="shared" si="2"/>
        <v>0</v>
      </c>
      <c r="P69">
        <f t="shared" si="3"/>
        <v>0</v>
      </c>
    </row>
    <row r="70" spans="1:16">
      <c r="A70" s="13" t="s">
        <v>410</v>
      </c>
      <c r="B70" s="14" t="s">
        <v>411</v>
      </c>
      <c r="C70" s="13" t="s">
        <v>286</v>
      </c>
      <c r="D70" s="14" t="s">
        <v>440</v>
      </c>
      <c r="E70" s="13" t="s">
        <v>286</v>
      </c>
      <c r="F70" s="13" t="s">
        <v>412</v>
      </c>
      <c r="G70" s="13" t="s">
        <v>415</v>
      </c>
      <c r="H70" s="15">
        <v>0</v>
      </c>
      <c r="I70" s="15">
        <v>0</v>
      </c>
      <c r="J70" s="15">
        <v>0</v>
      </c>
      <c r="K70" s="15">
        <v>0</v>
      </c>
      <c r="L70" s="15">
        <v>0</v>
      </c>
      <c r="M70" s="13" t="s">
        <v>415</v>
      </c>
      <c r="N70" s="15">
        <v>0</v>
      </c>
      <c r="O70">
        <f t="shared" si="2"/>
        <v>0</v>
      </c>
      <c r="P70">
        <f t="shared" si="3"/>
        <v>0</v>
      </c>
    </row>
    <row r="71" spans="1:16">
      <c r="A71" s="16" t="s">
        <v>410</v>
      </c>
      <c r="B71" s="17" t="s">
        <v>411</v>
      </c>
      <c r="C71" s="16" t="s">
        <v>286</v>
      </c>
      <c r="D71" s="17" t="s">
        <v>127</v>
      </c>
      <c r="E71" s="16" t="s">
        <v>286</v>
      </c>
      <c r="F71" s="16" t="s">
        <v>412</v>
      </c>
      <c r="G71" s="16" t="s">
        <v>415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6" t="s">
        <v>415</v>
      </c>
      <c r="N71" s="18">
        <v>0</v>
      </c>
      <c r="O71">
        <f t="shared" si="2"/>
        <v>0</v>
      </c>
      <c r="P71">
        <f t="shared" si="3"/>
        <v>0</v>
      </c>
    </row>
    <row r="72" spans="1:16">
      <c r="A72" s="13" t="s">
        <v>410</v>
      </c>
      <c r="B72" s="14" t="s">
        <v>411</v>
      </c>
      <c r="C72" s="13" t="s">
        <v>286</v>
      </c>
      <c r="D72" s="14" t="s">
        <v>441</v>
      </c>
      <c r="E72" s="13" t="s">
        <v>286</v>
      </c>
      <c r="F72" s="13" t="s">
        <v>412</v>
      </c>
      <c r="G72" s="13" t="s">
        <v>415</v>
      </c>
      <c r="H72" s="15">
        <v>0</v>
      </c>
      <c r="I72" s="15">
        <v>0</v>
      </c>
      <c r="J72" s="15">
        <v>0</v>
      </c>
      <c r="K72" s="15">
        <v>0</v>
      </c>
      <c r="L72" s="15">
        <v>0</v>
      </c>
      <c r="M72" s="13" t="s">
        <v>415</v>
      </c>
      <c r="N72" s="15">
        <v>0</v>
      </c>
      <c r="O72">
        <f t="shared" si="2"/>
        <v>0</v>
      </c>
      <c r="P72">
        <f t="shared" si="3"/>
        <v>0</v>
      </c>
    </row>
    <row r="73" spans="1:16">
      <c r="A73" s="16" t="s">
        <v>410</v>
      </c>
      <c r="B73" s="17" t="s">
        <v>411</v>
      </c>
      <c r="C73" s="16" t="s">
        <v>286</v>
      </c>
      <c r="D73" s="17" t="s">
        <v>442</v>
      </c>
      <c r="E73" s="16" t="s">
        <v>286</v>
      </c>
      <c r="F73" s="16" t="s">
        <v>412</v>
      </c>
      <c r="G73" s="16" t="s">
        <v>415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6" t="s">
        <v>415</v>
      </c>
      <c r="N73" s="18">
        <v>0</v>
      </c>
      <c r="O73">
        <f t="shared" si="2"/>
        <v>0</v>
      </c>
      <c r="P73">
        <f t="shared" si="3"/>
        <v>0</v>
      </c>
    </row>
    <row r="74" spans="1:16">
      <c r="A74" s="13" t="s">
        <v>410</v>
      </c>
      <c r="B74" s="14" t="s">
        <v>411</v>
      </c>
      <c r="C74" s="13" t="s">
        <v>286</v>
      </c>
      <c r="D74" s="14" t="s">
        <v>129</v>
      </c>
      <c r="E74" s="13" t="s">
        <v>286</v>
      </c>
      <c r="F74" s="13" t="s">
        <v>412</v>
      </c>
      <c r="G74" s="13" t="s">
        <v>413</v>
      </c>
      <c r="H74" s="15">
        <v>142483.76</v>
      </c>
      <c r="I74" s="15">
        <v>30000</v>
      </c>
      <c r="J74" s="15">
        <v>0</v>
      </c>
      <c r="K74" s="15">
        <v>30000</v>
      </c>
      <c r="L74" s="15">
        <v>49145.74</v>
      </c>
      <c r="M74" s="13" t="s">
        <v>413</v>
      </c>
      <c r="N74" s="15">
        <v>112483.76</v>
      </c>
      <c r="O74">
        <f t="shared" si="2"/>
        <v>112483.76</v>
      </c>
      <c r="P74">
        <f t="shared" si="3"/>
        <v>142483.76</v>
      </c>
    </row>
    <row r="75" spans="1:16">
      <c r="A75" s="16" t="s">
        <v>410</v>
      </c>
      <c r="B75" s="17" t="s">
        <v>411</v>
      </c>
      <c r="C75" s="16" t="s">
        <v>286</v>
      </c>
      <c r="D75" s="17" t="s">
        <v>131</v>
      </c>
      <c r="E75" s="16" t="s">
        <v>286</v>
      </c>
      <c r="F75" s="16" t="s">
        <v>412</v>
      </c>
      <c r="G75" s="16" t="s">
        <v>413</v>
      </c>
      <c r="H75" s="18">
        <v>2000</v>
      </c>
      <c r="I75" s="18">
        <v>0</v>
      </c>
      <c r="J75" s="18">
        <v>0</v>
      </c>
      <c r="K75" s="18">
        <v>0</v>
      </c>
      <c r="L75" s="18">
        <v>2000</v>
      </c>
      <c r="M75" s="16" t="s">
        <v>413</v>
      </c>
      <c r="N75" s="18">
        <v>2000</v>
      </c>
      <c r="O75">
        <f t="shared" si="2"/>
        <v>2000</v>
      </c>
      <c r="P75">
        <f t="shared" si="3"/>
        <v>2000</v>
      </c>
    </row>
    <row r="76" spans="1:16">
      <c r="A76" s="13" t="s">
        <v>410</v>
      </c>
      <c r="B76" s="14" t="s">
        <v>411</v>
      </c>
      <c r="C76" s="13" t="s">
        <v>286</v>
      </c>
      <c r="D76" s="14" t="s">
        <v>180</v>
      </c>
      <c r="E76" s="13" t="s">
        <v>286</v>
      </c>
      <c r="F76" s="13" t="s">
        <v>412</v>
      </c>
      <c r="G76" s="13" t="s">
        <v>415</v>
      </c>
      <c r="H76" s="15">
        <v>0</v>
      </c>
      <c r="I76" s="15">
        <v>0</v>
      </c>
      <c r="J76" s="15">
        <v>0</v>
      </c>
      <c r="K76" s="15">
        <v>0</v>
      </c>
      <c r="L76" s="15">
        <v>0</v>
      </c>
      <c r="M76" s="13" t="s">
        <v>415</v>
      </c>
      <c r="N76" s="15">
        <v>0</v>
      </c>
      <c r="O76">
        <f t="shared" si="2"/>
        <v>0</v>
      </c>
      <c r="P76">
        <f t="shared" si="3"/>
        <v>0</v>
      </c>
    </row>
    <row r="77" spans="1:16">
      <c r="A77" s="16" t="s">
        <v>410</v>
      </c>
      <c r="B77" s="17" t="s">
        <v>411</v>
      </c>
      <c r="C77" s="16" t="s">
        <v>286</v>
      </c>
      <c r="D77" s="17" t="s">
        <v>443</v>
      </c>
      <c r="E77" s="16" t="s">
        <v>286</v>
      </c>
      <c r="F77" s="16" t="s">
        <v>412</v>
      </c>
      <c r="G77" s="16" t="s">
        <v>415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6" t="s">
        <v>415</v>
      </c>
      <c r="N77" s="18">
        <v>0</v>
      </c>
      <c r="O77">
        <f t="shared" si="2"/>
        <v>0</v>
      </c>
      <c r="P77">
        <f t="shared" si="3"/>
        <v>0</v>
      </c>
    </row>
    <row r="78" spans="1:16">
      <c r="A78" s="13" t="s">
        <v>410</v>
      </c>
      <c r="B78" s="14" t="s">
        <v>411</v>
      </c>
      <c r="C78" s="13" t="s">
        <v>286</v>
      </c>
      <c r="D78" s="14" t="s">
        <v>133</v>
      </c>
      <c r="E78" s="13" t="s">
        <v>286</v>
      </c>
      <c r="F78" s="13" t="s">
        <v>412</v>
      </c>
      <c r="G78" s="13" t="s">
        <v>415</v>
      </c>
      <c r="H78" s="15">
        <v>0</v>
      </c>
      <c r="I78" s="15">
        <v>0</v>
      </c>
      <c r="J78" s="15">
        <v>0</v>
      </c>
      <c r="K78" s="15">
        <v>0</v>
      </c>
      <c r="L78" s="15">
        <v>-120026.79</v>
      </c>
      <c r="M78" s="13" t="s">
        <v>415</v>
      </c>
      <c r="N78" s="15">
        <v>0</v>
      </c>
      <c r="O78">
        <f t="shared" si="2"/>
        <v>0</v>
      </c>
      <c r="P78">
        <f t="shared" si="3"/>
        <v>0</v>
      </c>
    </row>
    <row r="79" spans="1:16">
      <c r="A79" s="16" t="s">
        <v>410</v>
      </c>
      <c r="B79" s="17" t="s">
        <v>411</v>
      </c>
      <c r="C79" s="16" t="s">
        <v>286</v>
      </c>
      <c r="D79" s="17" t="s">
        <v>444</v>
      </c>
      <c r="E79" s="16" t="s">
        <v>286</v>
      </c>
      <c r="F79" s="16" t="s">
        <v>412</v>
      </c>
      <c r="G79" s="16" t="s">
        <v>415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6" t="s">
        <v>415</v>
      </c>
      <c r="N79" s="18">
        <v>0</v>
      </c>
      <c r="O79">
        <f t="shared" si="2"/>
        <v>0</v>
      </c>
      <c r="P79">
        <f t="shared" si="3"/>
        <v>0</v>
      </c>
    </row>
    <row r="80" spans="1:16">
      <c r="A80" s="13" t="s">
        <v>410</v>
      </c>
      <c r="B80" s="14" t="s">
        <v>411</v>
      </c>
      <c r="C80" s="13" t="s">
        <v>286</v>
      </c>
      <c r="D80" s="14" t="s">
        <v>445</v>
      </c>
      <c r="E80" s="13" t="s">
        <v>286</v>
      </c>
      <c r="F80" s="13" t="s">
        <v>412</v>
      </c>
      <c r="G80" s="13" t="s">
        <v>415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3" t="s">
        <v>415</v>
      </c>
      <c r="N80" s="15">
        <v>0</v>
      </c>
      <c r="O80">
        <f t="shared" si="2"/>
        <v>0</v>
      </c>
      <c r="P80">
        <f t="shared" si="3"/>
        <v>0</v>
      </c>
    </row>
    <row r="81" spans="1:16">
      <c r="A81" s="16" t="s">
        <v>410</v>
      </c>
      <c r="B81" s="17" t="s">
        <v>411</v>
      </c>
      <c r="C81" s="16" t="s">
        <v>286</v>
      </c>
      <c r="D81" s="17" t="s">
        <v>446</v>
      </c>
      <c r="E81" s="16" t="s">
        <v>286</v>
      </c>
      <c r="F81" s="16" t="s">
        <v>412</v>
      </c>
      <c r="G81" s="16" t="s">
        <v>415</v>
      </c>
      <c r="H81" s="18">
        <v>0</v>
      </c>
      <c r="I81" s="18">
        <v>0</v>
      </c>
      <c r="J81" s="18">
        <v>0</v>
      </c>
      <c r="K81" s="18">
        <v>0</v>
      </c>
      <c r="L81" s="18">
        <v>0</v>
      </c>
      <c r="M81" s="16" t="s">
        <v>415</v>
      </c>
      <c r="N81" s="18">
        <v>0</v>
      </c>
      <c r="O81">
        <f t="shared" si="2"/>
        <v>0</v>
      </c>
      <c r="P81">
        <f t="shared" si="3"/>
        <v>0</v>
      </c>
    </row>
    <row r="82" spans="1:16">
      <c r="A82" s="13" t="s">
        <v>410</v>
      </c>
      <c r="B82" s="14" t="s">
        <v>411</v>
      </c>
      <c r="C82" s="13" t="s">
        <v>286</v>
      </c>
      <c r="D82" s="14" t="s">
        <v>137</v>
      </c>
      <c r="E82" s="13" t="s">
        <v>286</v>
      </c>
      <c r="F82" s="13" t="s">
        <v>412</v>
      </c>
      <c r="G82" s="13" t="s">
        <v>413</v>
      </c>
      <c r="H82" s="15">
        <v>294135.13</v>
      </c>
      <c r="I82" s="15">
        <v>0</v>
      </c>
      <c r="J82" s="15">
        <v>47545.77</v>
      </c>
      <c r="K82" s="15">
        <v>100000</v>
      </c>
      <c r="L82" s="15">
        <v>136001.55</v>
      </c>
      <c r="M82" s="13" t="s">
        <v>413</v>
      </c>
      <c r="N82" s="15">
        <v>341680.9</v>
      </c>
      <c r="O82">
        <f t="shared" ref="O82:O104" si="4">IF(M82="贷",N82,-N82)</f>
        <v>341680.9</v>
      </c>
      <c r="P82">
        <f t="shared" ref="P82:P104" si="5">IF(G82="贷",H82,-H82)</f>
        <v>294135.13</v>
      </c>
    </row>
    <row r="83" spans="1:16">
      <c r="A83" s="16" t="s">
        <v>410</v>
      </c>
      <c r="B83" s="17" t="s">
        <v>411</v>
      </c>
      <c r="C83" s="16" t="s">
        <v>286</v>
      </c>
      <c r="D83" s="17" t="s">
        <v>447</v>
      </c>
      <c r="E83" s="16" t="s">
        <v>286</v>
      </c>
      <c r="F83" s="16" t="s">
        <v>412</v>
      </c>
      <c r="G83" s="16" t="s">
        <v>415</v>
      </c>
      <c r="H83" s="18">
        <v>0</v>
      </c>
      <c r="I83" s="18">
        <v>0</v>
      </c>
      <c r="J83" s="18">
        <v>0</v>
      </c>
      <c r="K83" s="18">
        <v>0</v>
      </c>
      <c r="L83" s="18">
        <v>0</v>
      </c>
      <c r="M83" s="16" t="s">
        <v>415</v>
      </c>
      <c r="N83" s="18">
        <v>0</v>
      </c>
      <c r="O83">
        <f t="shared" si="4"/>
        <v>0</v>
      </c>
      <c r="P83">
        <f t="shared" si="5"/>
        <v>0</v>
      </c>
    </row>
    <row r="84" spans="1:16">
      <c r="A84" s="13" t="s">
        <v>410</v>
      </c>
      <c r="B84" s="14" t="s">
        <v>411</v>
      </c>
      <c r="C84" s="13" t="s">
        <v>286</v>
      </c>
      <c r="D84" s="14" t="s">
        <v>448</v>
      </c>
      <c r="E84" s="13" t="s">
        <v>286</v>
      </c>
      <c r="F84" s="13" t="s">
        <v>412</v>
      </c>
      <c r="G84" s="13" t="s">
        <v>415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3" t="s">
        <v>415</v>
      </c>
      <c r="N84" s="15">
        <v>0</v>
      </c>
      <c r="O84">
        <f t="shared" si="4"/>
        <v>0</v>
      </c>
      <c r="P84">
        <f t="shared" si="5"/>
        <v>0</v>
      </c>
    </row>
    <row r="85" spans="1:16">
      <c r="A85" s="16" t="s">
        <v>410</v>
      </c>
      <c r="B85" s="17" t="s">
        <v>411</v>
      </c>
      <c r="C85" s="16" t="s">
        <v>286</v>
      </c>
      <c r="D85" s="17" t="s">
        <v>139</v>
      </c>
      <c r="E85" s="16" t="s">
        <v>286</v>
      </c>
      <c r="F85" s="16" t="s">
        <v>412</v>
      </c>
      <c r="G85" s="16" t="s">
        <v>415</v>
      </c>
      <c r="H85" s="18">
        <v>0</v>
      </c>
      <c r="I85" s="18">
        <v>0</v>
      </c>
      <c r="J85" s="18">
        <v>0</v>
      </c>
      <c r="K85" s="18">
        <v>0</v>
      </c>
      <c r="L85" s="18">
        <v>0</v>
      </c>
      <c r="M85" s="16" t="s">
        <v>415</v>
      </c>
      <c r="N85" s="18">
        <v>0</v>
      </c>
      <c r="O85">
        <f t="shared" si="4"/>
        <v>0</v>
      </c>
      <c r="P85">
        <f t="shared" si="5"/>
        <v>0</v>
      </c>
    </row>
    <row r="86" spans="1:16">
      <c r="A86" s="13" t="s">
        <v>410</v>
      </c>
      <c r="B86" s="14" t="s">
        <v>411</v>
      </c>
      <c r="C86" s="13" t="s">
        <v>286</v>
      </c>
      <c r="D86" s="14" t="s">
        <v>449</v>
      </c>
      <c r="E86" s="13" t="s">
        <v>286</v>
      </c>
      <c r="F86" s="13" t="s">
        <v>412</v>
      </c>
      <c r="G86" s="13" t="s">
        <v>415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3" t="s">
        <v>415</v>
      </c>
      <c r="N86" s="15">
        <v>0</v>
      </c>
      <c r="O86">
        <f t="shared" si="4"/>
        <v>0</v>
      </c>
      <c r="P86">
        <f t="shared" si="5"/>
        <v>0</v>
      </c>
    </row>
    <row r="87" spans="1:16">
      <c r="A87" s="16" t="s">
        <v>410</v>
      </c>
      <c r="B87" s="17" t="s">
        <v>411</v>
      </c>
      <c r="C87" s="16" t="s">
        <v>286</v>
      </c>
      <c r="D87" s="17" t="s">
        <v>450</v>
      </c>
      <c r="E87" s="16" t="s">
        <v>286</v>
      </c>
      <c r="F87" s="16" t="s">
        <v>412</v>
      </c>
      <c r="G87" s="16" t="s">
        <v>415</v>
      </c>
      <c r="H87" s="18">
        <v>0</v>
      </c>
      <c r="I87" s="18">
        <v>0</v>
      </c>
      <c r="J87" s="18">
        <v>0</v>
      </c>
      <c r="K87" s="18">
        <v>0</v>
      </c>
      <c r="L87" s="18">
        <v>0</v>
      </c>
      <c r="M87" s="16" t="s">
        <v>415</v>
      </c>
      <c r="N87" s="18">
        <v>0</v>
      </c>
      <c r="O87">
        <f t="shared" si="4"/>
        <v>0</v>
      </c>
      <c r="P87">
        <f t="shared" si="5"/>
        <v>0</v>
      </c>
    </row>
    <row r="88" spans="1:16">
      <c r="A88" s="13" t="s">
        <v>410</v>
      </c>
      <c r="B88" s="14" t="s">
        <v>411</v>
      </c>
      <c r="C88" s="13" t="s">
        <v>286</v>
      </c>
      <c r="D88" s="14" t="s">
        <v>213</v>
      </c>
      <c r="E88" s="13" t="s">
        <v>286</v>
      </c>
      <c r="F88" s="13" t="s">
        <v>412</v>
      </c>
      <c r="G88" s="13" t="s">
        <v>413</v>
      </c>
      <c r="H88" s="15">
        <v>168832.84</v>
      </c>
      <c r="I88" s="15">
        <v>0</v>
      </c>
      <c r="J88" s="15">
        <v>168832.84</v>
      </c>
      <c r="K88" s="15">
        <v>334790.96</v>
      </c>
      <c r="L88" s="15">
        <v>337665.68</v>
      </c>
      <c r="M88" s="13" t="s">
        <v>413</v>
      </c>
      <c r="N88" s="15">
        <v>337665.68</v>
      </c>
      <c r="O88">
        <f t="shared" si="4"/>
        <v>337665.68</v>
      </c>
      <c r="P88">
        <f t="shared" si="5"/>
        <v>168832.84</v>
      </c>
    </row>
    <row r="89" spans="1:16">
      <c r="A89" s="16" t="s">
        <v>410</v>
      </c>
      <c r="B89" s="17" t="s">
        <v>411</v>
      </c>
      <c r="C89" s="16" t="s">
        <v>286</v>
      </c>
      <c r="D89" s="17" t="s">
        <v>451</v>
      </c>
      <c r="E89" s="16" t="s">
        <v>286</v>
      </c>
      <c r="F89" s="16" t="s">
        <v>412</v>
      </c>
      <c r="G89" s="16" t="s">
        <v>413</v>
      </c>
      <c r="H89" s="18">
        <v>203629.67</v>
      </c>
      <c r="I89" s="18">
        <v>203629.58</v>
      </c>
      <c r="J89" s="18">
        <v>232942.22</v>
      </c>
      <c r="K89" s="18">
        <v>531640.06</v>
      </c>
      <c r="L89" s="18">
        <v>686546.66</v>
      </c>
      <c r="M89" s="16" t="s">
        <v>413</v>
      </c>
      <c r="N89" s="18">
        <v>232942.31</v>
      </c>
      <c r="O89">
        <f t="shared" si="4"/>
        <v>232942.31</v>
      </c>
      <c r="P89">
        <f t="shared" si="5"/>
        <v>203629.67</v>
      </c>
    </row>
    <row r="90" spans="1:16">
      <c r="A90" s="13" t="s">
        <v>410</v>
      </c>
      <c r="B90" s="14" t="s">
        <v>411</v>
      </c>
      <c r="C90" s="13" t="s">
        <v>286</v>
      </c>
      <c r="D90" s="14" t="s">
        <v>178</v>
      </c>
      <c r="E90" s="13" t="s">
        <v>286</v>
      </c>
      <c r="F90" s="13" t="s">
        <v>412</v>
      </c>
      <c r="G90" s="13" t="s">
        <v>415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3" t="s">
        <v>415</v>
      </c>
      <c r="N90" s="15">
        <v>0</v>
      </c>
      <c r="O90">
        <f t="shared" si="4"/>
        <v>0</v>
      </c>
      <c r="P90">
        <f t="shared" si="5"/>
        <v>0</v>
      </c>
    </row>
    <row r="91" spans="1:16">
      <c r="A91" s="16" t="s">
        <v>410</v>
      </c>
      <c r="B91" s="17" t="s">
        <v>411</v>
      </c>
      <c r="C91" s="16" t="s">
        <v>286</v>
      </c>
      <c r="D91" s="19" t="s">
        <v>185</v>
      </c>
      <c r="E91" s="16" t="s">
        <v>286</v>
      </c>
      <c r="F91" s="16" t="s">
        <v>412</v>
      </c>
      <c r="G91" s="16" t="s">
        <v>413</v>
      </c>
      <c r="H91" s="18">
        <v>130642.35</v>
      </c>
      <c r="I91" s="18">
        <v>38190.61</v>
      </c>
      <c r="J91" s="18">
        <v>6780</v>
      </c>
      <c r="K91" s="18">
        <v>84649.43</v>
      </c>
      <c r="L91" s="18">
        <v>137422.35</v>
      </c>
      <c r="M91" s="16" t="s">
        <v>413</v>
      </c>
      <c r="N91" s="18">
        <v>99231.74</v>
      </c>
      <c r="O91">
        <f t="shared" si="4"/>
        <v>99231.74</v>
      </c>
      <c r="P91">
        <f t="shared" si="5"/>
        <v>130642.35</v>
      </c>
    </row>
    <row r="92" spans="1:16">
      <c r="A92" s="13" t="s">
        <v>410</v>
      </c>
      <c r="B92" s="14" t="s">
        <v>411</v>
      </c>
      <c r="C92" s="13" t="s">
        <v>286</v>
      </c>
      <c r="D92" s="14" t="s">
        <v>305</v>
      </c>
      <c r="E92" s="13" t="s">
        <v>286</v>
      </c>
      <c r="F92" s="13" t="s">
        <v>412</v>
      </c>
      <c r="G92" s="13" t="s">
        <v>413</v>
      </c>
      <c r="H92" s="15">
        <v>322369.79</v>
      </c>
      <c r="I92" s="15">
        <v>0</v>
      </c>
      <c r="J92" s="15">
        <v>0</v>
      </c>
      <c r="K92" s="15">
        <v>0</v>
      </c>
      <c r="L92" s="15">
        <v>322369.79</v>
      </c>
      <c r="M92" s="13" t="s">
        <v>413</v>
      </c>
      <c r="N92" s="15">
        <v>322369.79</v>
      </c>
      <c r="O92">
        <f t="shared" si="4"/>
        <v>322369.79</v>
      </c>
      <c r="P92">
        <f t="shared" si="5"/>
        <v>322369.79</v>
      </c>
    </row>
    <row r="93" spans="1:16">
      <c r="A93" s="16" t="s">
        <v>410</v>
      </c>
      <c r="B93" s="17" t="s">
        <v>411</v>
      </c>
      <c r="C93" s="16" t="s">
        <v>286</v>
      </c>
      <c r="D93" s="17" t="s">
        <v>452</v>
      </c>
      <c r="E93" s="16" t="s">
        <v>286</v>
      </c>
      <c r="F93" s="16" t="s">
        <v>412</v>
      </c>
      <c r="G93" s="16" t="s">
        <v>415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6" t="s">
        <v>415</v>
      </c>
      <c r="N93" s="18">
        <v>0</v>
      </c>
      <c r="O93">
        <f t="shared" si="4"/>
        <v>0</v>
      </c>
      <c r="P93">
        <f t="shared" si="5"/>
        <v>0</v>
      </c>
    </row>
    <row r="94" spans="1:16">
      <c r="A94" s="13" t="s">
        <v>410</v>
      </c>
      <c r="B94" s="14" t="s">
        <v>411</v>
      </c>
      <c r="C94" s="13" t="s">
        <v>286</v>
      </c>
      <c r="D94" s="14" t="s">
        <v>303</v>
      </c>
      <c r="E94" s="13" t="s">
        <v>286</v>
      </c>
      <c r="F94" s="13" t="s">
        <v>412</v>
      </c>
      <c r="G94" s="13" t="s">
        <v>413</v>
      </c>
      <c r="H94" s="15">
        <v>1658.84</v>
      </c>
      <c r="I94" s="15">
        <v>0</v>
      </c>
      <c r="J94" s="15">
        <v>0</v>
      </c>
      <c r="K94" s="15">
        <v>0</v>
      </c>
      <c r="L94" s="15">
        <v>1658.84</v>
      </c>
      <c r="M94" s="13" t="s">
        <v>413</v>
      </c>
      <c r="N94" s="15">
        <v>1658.84</v>
      </c>
      <c r="O94">
        <f t="shared" si="4"/>
        <v>1658.84</v>
      </c>
      <c r="P94">
        <f t="shared" si="5"/>
        <v>1658.84</v>
      </c>
    </row>
    <row r="95" spans="1:16">
      <c r="A95" s="16" t="s">
        <v>410</v>
      </c>
      <c r="B95" s="17" t="s">
        <v>411</v>
      </c>
      <c r="C95" s="16" t="s">
        <v>286</v>
      </c>
      <c r="D95" s="17" t="s">
        <v>289</v>
      </c>
      <c r="E95" s="16" t="s">
        <v>286</v>
      </c>
      <c r="F95" s="16" t="s">
        <v>412</v>
      </c>
      <c r="G95" s="16" t="s">
        <v>413</v>
      </c>
      <c r="H95" s="18">
        <v>9155.89</v>
      </c>
      <c r="I95" s="18">
        <v>0</v>
      </c>
      <c r="J95" s="18">
        <v>16527.4</v>
      </c>
      <c r="K95" s="18">
        <v>0</v>
      </c>
      <c r="L95" s="18">
        <v>25683.29</v>
      </c>
      <c r="M95" s="16" t="s">
        <v>413</v>
      </c>
      <c r="N95" s="18">
        <v>25683.29</v>
      </c>
      <c r="O95">
        <f t="shared" si="4"/>
        <v>25683.29</v>
      </c>
      <c r="P95">
        <f t="shared" si="5"/>
        <v>9155.89</v>
      </c>
    </row>
    <row r="96" spans="1:16">
      <c r="A96" s="13" t="s">
        <v>410</v>
      </c>
      <c r="B96" s="14" t="s">
        <v>411</v>
      </c>
      <c r="C96" s="13" t="s">
        <v>286</v>
      </c>
      <c r="D96" s="14" t="s">
        <v>219</v>
      </c>
      <c r="E96" s="13" t="s">
        <v>286</v>
      </c>
      <c r="F96" s="13" t="s">
        <v>412</v>
      </c>
      <c r="G96" s="13" t="s">
        <v>415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3" t="s">
        <v>415</v>
      </c>
      <c r="N96" s="15">
        <v>0</v>
      </c>
      <c r="O96">
        <f t="shared" si="4"/>
        <v>0</v>
      </c>
      <c r="P96">
        <f t="shared" si="5"/>
        <v>0</v>
      </c>
    </row>
    <row r="97" spans="1:16">
      <c r="A97" s="16" t="s">
        <v>410</v>
      </c>
      <c r="B97" s="17" t="s">
        <v>411</v>
      </c>
      <c r="C97" s="16" t="s">
        <v>286</v>
      </c>
      <c r="D97" s="17" t="s">
        <v>268</v>
      </c>
      <c r="E97" s="16" t="s">
        <v>286</v>
      </c>
      <c r="F97" s="16" t="s">
        <v>412</v>
      </c>
      <c r="G97" s="16" t="s">
        <v>413</v>
      </c>
      <c r="H97" s="18">
        <v>34250.87</v>
      </c>
      <c r="I97" s="18">
        <v>34250.87</v>
      </c>
      <c r="J97" s="18">
        <v>66236.89</v>
      </c>
      <c r="K97" s="18">
        <v>216170.14</v>
      </c>
      <c r="L97" s="18">
        <v>245900.12</v>
      </c>
      <c r="M97" s="16" t="s">
        <v>413</v>
      </c>
      <c r="N97" s="18">
        <v>66236.89</v>
      </c>
      <c r="O97">
        <f t="shared" si="4"/>
        <v>66236.89</v>
      </c>
      <c r="P97">
        <f t="shared" si="5"/>
        <v>34250.87</v>
      </c>
    </row>
    <row r="98" spans="1:16">
      <c r="A98" s="13" t="s">
        <v>410</v>
      </c>
      <c r="B98" s="14" t="s">
        <v>411</v>
      </c>
      <c r="C98" s="13" t="s">
        <v>286</v>
      </c>
      <c r="D98" s="14" t="s">
        <v>453</v>
      </c>
      <c r="E98" s="13" t="s">
        <v>286</v>
      </c>
      <c r="F98" s="13" t="s">
        <v>412</v>
      </c>
      <c r="G98" s="13" t="s">
        <v>415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3" t="s">
        <v>415</v>
      </c>
      <c r="N98" s="15">
        <v>0</v>
      </c>
      <c r="O98">
        <f t="shared" si="4"/>
        <v>0</v>
      </c>
      <c r="P98">
        <f t="shared" si="5"/>
        <v>0</v>
      </c>
    </row>
    <row r="99" spans="1:16">
      <c r="A99" s="16" t="s">
        <v>410</v>
      </c>
      <c r="B99" s="17" t="s">
        <v>411</v>
      </c>
      <c r="C99" s="16" t="s">
        <v>286</v>
      </c>
      <c r="D99" s="19" t="s">
        <v>275</v>
      </c>
      <c r="E99" s="16" t="s">
        <v>286</v>
      </c>
      <c r="F99" s="16" t="s">
        <v>412</v>
      </c>
      <c r="G99" s="16" t="s">
        <v>413</v>
      </c>
      <c r="H99" s="18">
        <v>56104.5</v>
      </c>
      <c r="I99" s="18">
        <v>0</v>
      </c>
      <c r="J99" s="18">
        <v>0</v>
      </c>
      <c r="K99" s="18">
        <v>294732.84</v>
      </c>
      <c r="L99" s="18">
        <v>80512.5</v>
      </c>
      <c r="M99" s="16" t="s">
        <v>413</v>
      </c>
      <c r="N99" s="18">
        <v>56104.5</v>
      </c>
      <c r="O99">
        <f t="shared" si="4"/>
        <v>56104.5</v>
      </c>
      <c r="P99">
        <f t="shared" si="5"/>
        <v>56104.5</v>
      </c>
    </row>
    <row r="100" spans="1:16">
      <c r="A100" s="13" t="s">
        <v>410</v>
      </c>
      <c r="B100" s="14" t="s">
        <v>411</v>
      </c>
      <c r="C100" s="13" t="s">
        <v>286</v>
      </c>
      <c r="D100" s="14" t="s">
        <v>301</v>
      </c>
      <c r="E100" s="13" t="s">
        <v>286</v>
      </c>
      <c r="F100" s="13" t="s">
        <v>412</v>
      </c>
      <c r="G100" s="13" t="s">
        <v>413</v>
      </c>
      <c r="H100" s="15">
        <v>62773.76</v>
      </c>
      <c r="I100" s="15">
        <v>0</v>
      </c>
      <c r="J100" s="15">
        <v>112511.84</v>
      </c>
      <c r="K100" s="15">
        <v>0</v>
      </c>
      <c r="L100" s="15">
        <v>175285.6</v>
      </c>
      <c r="M100" s="13" t="s">
        <v>413</v>
      </c>
      <c r="N100" s="15">
        <v>175285.6</v>
      </c>
      <c r="O100">
        <f t="shared" si="4"/>
        <v>175285.6</v>
      </c>
      <c r="P100">
        <f t="shared" si="5"/>
        <v>62773.76</v>
      </c>
    </row>
    <row r="101" spans="1:16">
      <c r="A101" s="16" t="s">
        <v>410</v>
      </c>
      <c r="B101" s="17" t="s">
        <v>411</v>
      </c>
      <c r="C101" s="16" t="s">
        <v>286</v>
      </c>
      <c r="D101" s="17" t="s">
        <v>454</v>
      </c>
      <c r="E101" s="16" t="s">
        <v>286</v>
      </c>
      <c r="F101" s="16" t="s">
        <v>412</v>
      </c>
      <c r="G101" s="16" t="s">
        <v>415</v>
      </c>
      <c r="H101" s="18">
        <v>0</v>
      </c>
      <c r="I101" s="18">
        <v>0</v>
      </c>
      <c r="J101" s="18">
        <v>0</v>
      </c>
      <c r="K101" s="18">
        <v>0</v>
      </c>
      <c r="L101" s="18">
        <v>-6780</v>
      </c>
      <c r="M101" s="16" t="s">
        <v>415</v>
      </c>
      <c r="N101" s="18">
        <v>0</v>
      </c>
      <c r="O101">
        <f t="shared" si="4"/>
        <v>0</v>
      </c>
      <c r="P101">
        <f t="shared" si="5"/>
        <v>0</v>
      </c>
    </row>
    <row r="102" spans="1:16">
      <c r="A102" s="13" t="s">
        <v>410</v>
      </c>
      <c r="B102" s="14" t="s">
        <v>411</v>
      </c>
      <c r="C102" s="13" t="s">
        <v>286</v>
      </c>
      <c r="D102" s="14" t="s">
        <v>455</v>
      </c>
      <c r="E102" s="13" t="s">
        <v>286</v>
      </c>
      <c r="F102" s="13" t="s">
        <v>412</v>
      </c>
      <c r="G102" s="13" t="s">
        <v>415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3" t="s">
        <v>415</v>
      </c>
      <c r="N102" s="15">
        <v>0</v>
      </c>
      <c r="O102">
        <f t="shared" si="4"/>
        <v>0</v>
      </c>
      <c r="P102">
        <f t="shared" si="5"/>
        <v>0</v>
      </c>
    </row>
    <row r="103" spans="1:16">
      <c r="A103" s="16" t="s">
        <v>410</v>
      </c>
      <c r="B103" s="17" t="s">
        <v>411</v>
      </c>
      <c r="C103" s="16" t="s">
        <v>286</v>
      </c>
      <c r="D103" s="17" t="s">
        <v>308</v>
      </c>
      <c r="E103" s="16" t="s">
        <v>286</v>
      </c>
      <c r="F103" s="16" t="s">
        <v>412</v>
      </c>
      <c r="G103" s="16" t="s">
        <v>413</v>
      </c>
      <c r="H103" s="18">
        <v>480429.95</v>
      </c>
      <c r="I103" s="18">
        <v>0</v>
      </c>
      <c r="J103" s="18">
        <v>376162.84</v>
      </c>
      <c r="K103" s="18">
        <v>0</v>
      </c>
      <c r="L103" s="18">
        <v>856592.79</v>
      </c>
      <c r="M103" s="16" t="s">
        <v>413</v>
      </c>
      <c r="N103" s="18">
        <v>856592.79</v>
      </c>
      <c r="O103">
        <f t="shared" si="4"/>
        <v>856592.79</v>
      </c>
      <c r="P103">
        <f t="shared" si="5"/>
        <v>480429.95</v>
      </c>
    </row>
    <row r="104" spans="1:16">
      <c r="A104" s="13" t="s">
        <v>410</v>
      </c>
      <c r="B104" s="14" t="s">
        <v>411</v>
      </c>
      <c r="C104" s="13" t="s">
        <v>286</v>
      </c>
      <c r="D104" s="14" t="s">
        <v>456</v>
      </c>
      <c r="E104" s="13" t="s">
        <v>286</v>
      </c>
      <c r="F104" s="13" t="s">
        <v>412</v>
      </c>
      <c r="G104" s="13" t="s">
        <v>415</v>
      </c>
      <c r="H104" s="15">
        <v>0</v>
      </c>
      <c r="I104" s="15">
        <v>0</v>
      </c>
      <c r="J104" s="15">
        <v>5498.59</v>
      </c>
      <c r="K104" s="15">
        <v>0</v>
      </c>
      <c r="L104" s="15">
        <v>5498.59</v>
      </c>
      <c r="M104" s="13" t="s">
        <v>413</v>
      </c>
      <c r="N104" s="15">
        <v>5498.59</v>
      </c>
      <c r="O104">
        <f t="shared" si="4"/>
        <v>5498.59</v>
      </c>
      <c r="P104">
        <f t="shared" si="5"/>
        <v>0</v>
      </c>
    </row>
    <row r="105" spans="1:16">
      <c r="A105" s="16" t="s">
        <v>457</v>
      </c>
      <c r="B105" s="17" t="s">
        <v>458</v>
      </c>
      <c r="C105" s="16" t="s">
        <v>286</v>
      </c>
      <c r="D105" s="17" t="s">
        <v>286</v>
      </c>
      <c r="E105" s="16" t="s">
        <v>286</v>
      </c>
      <c r="F105" s="16" t="s">
        <v>412</v>
      </c>
      <c r="G105" s="16" t="s">
        <v>413</v>
      </c>
      <c r="H105" s="18">
        <v>1256313.87</v>
      </c>
      <c r="I105" s="18">
        <v>1323147.09</v>
      </c>
      <c r="J105" s="18">
        <v>789573.55</v>
      </c>
      <c r="K105" s="18">
        <v>3917365.67</v>
      </c>
      <c r="L105" s="18">
        <v>4417505.69</v>
      </c>
      <c r="M105" s="16" t="s">
        <v>413</v>
      </c>
      <c r="N105" s="18">
        <v>722740.33</v>
      </c>
      <c r="O105">
        <f t="shared" ref="O105:O130" si="6">IF(M105="贷",N105,-N105)</f>
        <v>722740.33</v>
      </c>
      <c r="P105">
        <f t="shared" ref="P105:P130" si="7">IF(G105="贷",H105,-H105)</f>
        <v>1256313.87</v>
      </c>
    </row>
    <row r="106" spans="1:16">
      <c r="A106" s="13" t="s">
        <v>457</v>
      </c>
      <c r="B106" s="14" t="s">
        <v>458</v>
      </c>
      <c r="C106" s="13" t="s">
        <v>459</v>
      </c>
      <c r="D106" s="14" t="s">
        <v>286</v>
      </c>
      <c r="E106" s="13" t="s">
        <v>286</v>
      </c>
      <c r="F106" s="13" t="s">
        <v>412</v>
      </c>
      <c r="G106" s="13" t="s">
        <v>413</v>
      </c>
      <c r="H106" s="15">
        <v>524810.41</v>
      </c>
      <c r="I106" s="15">
        <v>500007.42</v>
      </c>
      <c r="J106" s="15">
        <v>610736.19</v>
      </c>
      <c r="K106" s="15">
        <v>1300403.64</v>
      </c>
      <c r="L106" s="15">
        <v>1914696.85</v>
      </c>
      <c r="M106" s="13" t="s">
        <v>413</v>
      </c>
      <c r="N106" s="15">
        <v>635539.18</v>
      </c>
      <c r="O106">
        <f t="shared" si="6"/>
        <v>635539.18</v>
      </c>
      <c r="P106">
        <f t="shared" si="7"/>
        <v>524810.41</v>
      </c>
    </row>
    <row r="107" spans="1:16">
      <c r="A107" s="16" t="s">
        <v>457</v>
      </c>
      <c r="B107" s="17" t="s">
        <v>458</v>
      </c>
      <c r="C107" s="16" t="s">
        <v>460</v>
      </c>
      <c r="D107" s="17" t="s">
        <v>286</v>
      </c>
      <c r="E107" s="16" t="s">
        <v>286</v>
      </c>
      <c r="F107" s="16" t="s">
        <v>412</v>
      </c>
      <c r="G107" s="16" t="s">
        <v>415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6" t="s">
        <v>415</v>
      </c>
      <c r="N107" s="18">
        <v>0</v>
      </c>
      <c r="O107">
        <f t="shared" si="6"/>
        <v>0</v>
      </c>
      <c r="P107">
        <f t="shared" si="7"/>
        <v>0</v>
      </c>
    </row>
    <row r="108" spans="1:16">
      <c r="A108" s="13" t="s">
        <v>457</v>
      </c>
      <c r="B108" s="14" t="s">
        <v>458</v>
      </c>
      <c r="C108" s="13" t="s">
        <v>461</v>
      </c>
      <c r="D108" s="14" t="s">
        <v>286</v>
      </c>
      <c r="E108" s="13" t="s">
        <v>286</v>
      </c>
      <c r="F108" s="13" t="s">
        <v>412</v>
      </c>
      <c r="G108" s="13" t="s">
        <v>415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3" t="s">
        <v>415</v>
      </c>
      <c r="N108" s="15">
        <v>0</v>
      </c>
      <c r="O108">
        <f t="shared" si="6"/>
        <v>0</v>
      </c>
      <c r="P108">
        <f t="shared" si="7"/>
        <v>0</v>
      </c>
    </row>
    <row r="109" spans="1:16">
      <c r="A109" s="16" t="s">
        <v>457</v>
      </c>
      <c r="B109" s="17" t="s">
        <v>458</v>
      </c>
      <c r="C109" s="16" t="s">
        <v>462</v>
      </c>
      <c r="D109" s="17" t="s">
        <v>286</v>
      </c>
      <c r="E109" s="16" t="s">
        <v>286</v>
      </c>
      <c r="F109" s="16" t="s">
        <v>412</v>
      </c>
      <c r="G109" s="16" t="s">
        <v>415</v>
      </c>
      <c r="H109" s="18">
        <v>0</v>
      </c>
      <c r="I109" s="18">
        <v>208845</v>
      </c>
      <c r="J109" s="18">
        <v>208845</v>
      </c>
      <c r="K109" s="18">
        <v>614282.76</v>
      </c>
      <c r="L109" s="18">
        <v>614282.76</v>
      </c>
      <c r="M109" s="16" t="s">
        <v>415</v>
      </c>
      <c r="N109" s="18">
        <v>0</v>
      </c>
      <c r="O109">
        <f t="shared" si="6"/>
        <v>0</v>
      </c>
      <c r="P109">
        <f t="shared" si="7"/>
        <v>0</v>
      </c>
    </row>
    <row r="110" spans="1:16">
      <c r="A110" s="13" t="s">
        <v>457</v>
      </c>
      <c r="B110" s="14" t="s">
        <v>458</v>
      </c>
      <c r="C110" s="13" t="s">
        <v>463</v>
      </c>
      <c r="D110" s="14" t="s">
        <v>286</v>
      </c>
      <c r="E110" s="13" t="s">
        <v>286</v>
      </c>
      <c r="F110" s="13" t="s">
        <v>412</v>
      </c>
      <c r="G110" s="13" t="s">
        <v>413</v>
      </c>
      <c r="H110" s="15">
        <v>0.01</v>
      </c>
      <c r="I110" s="15">
        <v>0</v>
      </c>
      <c r="J110" s="15">
        <v>0</v>
      </c>
      <c r="K110" s="15">
        <v>101298.72</v>
      </c>
      <c r="L110" s="15">
        <v>101298.72</v>
      </c>
      <c r="M110" s="13" t="s">
        <v>413</v>
      </c>
      <c r="N110" s="15">
        <v>0.01</v>
      </c>
      <c r="O110">
        <f t="shared" si="6"/>
        <v>0.01</v>
      </c>
      <c r="P110">
        <f t="shared" si="7"/>
        <v>0.01</v>
      </c>
    </row>
    <row r="111" spans="1:16">
      <c r="A111" s="16" t="s">
        <v>457</v>
      </c>
      <c r="B111" s="17" t="s">
        <v>458</v>
      </c>
      <c r="C111" s="16" t="s">
        <v>464</v>
      </c>
      <c r="D111" s="17" t="s">
        <v>286</v>
      </c>
      <c r="E111" s="16" t="s">
        <v>286</v>
      </c>
      <c r="F111" s="16" t="s">
        <v>412</v>
      </c>
      <c r="G111" s="16" t="s">
        <v>413</v>
      </c>
      <c r="H111" s="18">
        <v>58395.3</v>
      </c>
      <c r="I111" s="18">
        <v>46468.8</v>
      </c>
      <c r="J111" s="18">
        <v>70560</v>
      </c>
      <c r="K111" s="18">
        <v>186827.35</v>
      </c>
      <c r="L111" s="18">
        <v>223188.84</v>
      </c>
      <c r="M111" s="16" t="s">
        <v>413</v>
      </c>
      <c r="N111" s="18">
        <v>82486.5</v>
      </c>
      <c r="O111">
        <f t="shared" si="6"/>
        <v>82486.5</v>
      </c>
      <c r="P111">
        <f t="shared" si="7"/>
        <v>58395.3</v>
      </c>
    </row>
    <row r="112" spans="1:16">
      <c r="A112" s="13" t="s">
        <v>457</v>
      </c>
      <c r="B112" s="14" t="s">
        <v>458</v>
      </c>
      <c r="C112" s="13" t="s">
        <v>465</v>
      </c>
      <c r="D112" s="14" t="s">
        <v>286</v>
      </c>
      <c r="E112" s="13" t="s">
        <v>286</v>
      </c>
      <c r="F112" s="13" t="s">
        <v>412</v>
      </c>
      <c r="G112" s="13" t="s">
        <v>413</v>
      </c>
      <c r="H112" s="15">
        <v>2568983.84</v>
      </c>
      <c r="I112" s="15">
        <v>1174548.1</v>
      </c>
      <c r="J112" s="15">
        <v>2356250.22</v>
      </c>
      <c r="K112" s="15">
        <v>4179134.67</v>
      </c>
      <c r="L112" s="15">
        <v>6085054.21</v>
      </c>
      <c r="M112" s="13" t="s">
        <v>413</v>
      </c>
      <c r="N112" s="15">
        <v>3750685.96</v>
      </c>
      <c r="O112">
        <f t="shared" si="6"/>
        <v>3750685.96</v>
      </c>
      <c r="P112">
        <f t="shared" si="7"/>
        <v>2568983.84</v>
      </c>
    </row>
    <row r="113" spans="1:16">
      <c r="A113" s="10" t="s">
        <v>457</v>
      </c>
      <c r="B113" s="10" t="s">
        <v>458</v>
      </c>
      <c r="C113" s="10" t="s">
        <v>466</v>
      </c>
      <c r="D113" s="10" t="s">
        <v>286</v>
      </c>
      <c r="E113" s="10" t="s">
        <v>286</v>
      </c>
      <c r="F113" s="10" t="s">
        <v>412</v>
      </c>
      <c r="G113" s="10" t="s">
        <v>413</v>
      </c>
      <c r="H113" s="10">
        <v>137500</v>
      </c>
      <c r="I113" s="10">
        <v>0</v>
      </c>
      <c r="J113" s="10">
        <v>0</v>
      </c>
      <c r="K113" s="10">
        <v>57043.02</v>
      </c>
      <c r="L113" s="10">
        <v>0</v>
      </c>
      <c r="M113" s="10" t="s">
        <v>413</v>
      </c>
      <c r="N113" s="10">
        <v>137500</v>
      </c>
      <c r="O113">
        <f t="shared" si="6"/>
        <v>137500</v>
      </c>
      <c r="P113">
        <f t="shared" si="7"/>
        <v>137500</v>
      </c>
    </row>
    <row r="114" spans="1:16">
      <c r="A114" s="10" t="s">
        <v>457</v>
      </c>
      <c r="B114" s="10" t="s">
        <v>458</v>
      </c>
      <c r="C114" s="10" t="s">
        <v>467</v>
      </c>
      <c r="D114" s="10" t="s">
        <v>286</v>
      </c>
      <c r="E114" s="10" t="s">
        <v>286</v>
      </c>
      <c r="F114" s="10" t="s">
        <v>412</v>
      </c>
      <c r="G114" s="10" t="s">
        <v>413</v>
      </c>
      <c r="H114" s="10">
        <v>19132.3</v>
      </c>
      <c r="I114" s="10">
        <v>3254.62</v>
      </c>
      <c r="J114" s="10">
        <v>6395.72</v>
      </c>
      <c r="K114" s="10">
        <v>10968.72</v>
      </c>
      <c r="L114" s="10">
        <v>31886.12</v>
      </c>
      <c r="M114" s="10" t="s">
        <v>413</v>
      </c>
      <c r="N114" s="10">
        <v>22273.4</v>
      </c>
      <c r="O114">
        <f t="shared" si="6"/>
        <v>22273.4</v>
      </c>
      <c r="P114">
        <f t="shared" si="7"/>
        <v>19132.3</v>
      </c>
    </row>
    <row r="115" spans="15:16">
      <c r="O115">
        <f t="shared" si="6"/>
        <v>0</v>
      </c>
      <c r="P115">
        <f t="shared" si="7"/>
        <v>0</v>
      </c>
    </row>
    <row r="116" spans="15:16">
      <c r="O116">
        <f t="shared" si="6"/>
        <v>0</v>
      </c>
      <c r="P116">
        <f t="shared" si="7"/>
        <v>0</v>
      </c>
    </row>
    <row r="117" spans="15:16">
      <c r="O117">
        <f t="shared" si="6"/>
        <v>0</v>
      </c>
      <c r="P117">
        <f t="shared" si="7"/>
        <v>0</v>
      </c>
    </row>
    <row r="118" spans="15:16">
      <c r="O118">
        <f t="shared" si="6"/>
        <v>0</v>
      </c>
      <c r="P118">
        <f t="shared" si="7"/>
        <v>0</v>
      </c>
    </row>
    <row r="119" spans="15:16">
      <c r="O119">
        <f t="shared" si="6"/>
        <v>0</v>
      </c>
      <c r="P119">
        <f t="shared" si="7"/>
        <v>0</v>
      </c>
    </row>
    <row r="120" spans="15:16">
      <c r="O120">
        <f t="shared" si="6"/>
        <v>0</v>
      </c>
      <c r="P120">
        <f t="shared" si="7"/>
        <v>0</v>
      </c>
    </row>
    <row r="121" spans="15:16">
      <c r="O121">
        <f t="shared" si="6"/>
        <v>0</v>
      </c>
      <c r="P121">
        <f t="shared" si="7"/>
        <v>0</v>
      </c>
    </row>
    <row r="122" spans="15:16">
      <c r="O122">
        <f t="shared" si="6"/>
        <v>0</v>
      </c>
      <c r="P122">
        <f t="shared" si="7"/>
        <v>0</v>
      </c>
    </row>
    <row r="123" spans="15:16">
      <c r="O123">
        <f t="shared" si="6"/>
        <v>0</v>
      </c>
      <c r="P123">
        <f t="shared" si="7"/>
        <v>0</v>
      </c>
    </row>
    <row r="124" spans="15:16">
      <c r="O124">
        <f t="shared" si="6"/>
        <v>0</v>
      </c>
      <c r="P124">
        <f t="shared" si="7"/>
        <v>0</v>
      </c>
    </row>
    <row r="125" spans="15:16">
      <c r="O125">
        <f t="shared" si="6"/>
        <v>0</v>
      </c>
      <c r="P125">
        <f t="shared" si="7"/>
        <v>0</v>
      </c>
    </row>
    <row r="126" spans="15:16">
      <c r="O126">
        <f t="shared" si="6"/>
        <v>0</v>
      </c>
      <c r="P126">
        <f t="shared" si="7"/>
        <v>0</v>
      </c>
    </row>
    <row r="127" spans="15:16">
      <c r="O127">
        <f t="shared" si="6"/>
        <v>0</v>
      </c>
      <c r="P127">
        <f t="shared" si="7"/>
        <v>0</v>
      </c>
    </row>
    <row r="128" spans="15:16">
      <c r="O128">
        <f t="shared" si="6"/>
        <v>0</v>
      </c>
      <c r="P128">
        <f t="shared" si="7"/>
        <v>0</v>
      </c>
    </row>
    <row r="129" spans="15:16">
      <c r="O129">
        <f t="shared" si="6"/>
        <v>0</v>
      </c>
      <c r="P129">
        <f t="shared" si="7"/>
        <v>0</v>
      </c>
    </row>
    <row r="130" spans="15:16">
      <c r="O130">
        <f t="shared" si="6"/>
        <v>0</v>
      </c>
      <c r="P130">
        <f t="shared" si="7"/>
        <v>0</v>
      </c>
    </row>
  </sheetData>
  <pageMargins left="0.7" right="0.7" top="0.75" bottom="0.75" header="0.3" footer="0.3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"/>
  <sheetViews>
    <sheetView workbookViewId="0">
      <pane xSplit="3" ySplit="1" topLeftCell="D2" activePane="bottomRight" state="frozen"/>
      <selection/>
      <selection pane="topRight"/>
      <selection pane="bottomLeft"/>
      <selection pane="bottomRight" activeCell="F2" sqref="F2"/>
    </sheetView>
  </sheetViews>
  <sheetFormatPr defaultColWidth="9" defaultRowHeight="14.4"/>
  <cols>
    <col min="1" max="1" width="7.26851851851852" customWidth="1"/>
    <col min="3" max="3" width="28.2685185185185" customWidth="1"/>
    <col min="4" max="6" width="16.3611111111111" customWidth="1"/>
    <col min="7" max="9" width="19.6296296296296" customWidth="1"/>
    <col min="10" max="18" width="18.4537037037037" customWidth="1"/>
    <col min="19" max="21" width="19.6296296296296" customWidth="1"/>
  </cols>
  <sheetData>
    <row r="1" ht="29.15" customHeight="1" spans="1:21">
      <c r="A1" s="1" t="s">
        <v>1</v>
      </c>
      <c r="B1" s="2" t="s">
        <v>2</v>
      </c>
      <c r="C1" s="2" t="s">
        <v>3</v>
      </c>
      <c r="D1" s="2" t="s">
        <v>199</v>
      </c>
      <c r="E1" s="3" t="s">
        <v>468</v>
      </c>
      <c r="F1" s="3" t="s">
        <v>469</v>
      </c>
      <c r="G1" s="3" t="s">
        <v>470</v>
      </c>
      <c r="H1" s="3" t="s">
        <v>471</v>
      </c>
      <c r="I1" s="3" t="s">
        <v>472</v>
      </c>
      <c r="J1" s="3" t="s">
        <v>473</v>
      </c>
      <c r="K1" s="3" t="s">
        <v>474</v>
      </c>
      <c r="L1" s="3" t="s">
        <v>475</v>
      </c>
      <c r="M1" s="3" t="s">
        <v>476</v>
      </c>
      <c r="N1" s="3" t="s">
        <v>477</v>
      </c>
      <c r="O1" s="3" t="s">
        <v>478</v>
      </c>
      <c r="P1" s="3" t="s">
        <v>479</v>
      </c>
      <c r="Q1" s="3" t="s">
        <v>480</v>
      </c>
      <c r="R1" s="3" t="s">
        <v>481</v>
      </c>
      <c r="S1" s="3" t="s">
        <v>482</v>
      </c>
      <c r="T1" s="3" t="s">
        <v>483</v>
      </c>
      <c r="U1" s="3" t="s">
        <v>484</v>
      </c>
    </row>
    <row r="2" ht="17.15" customHeight="1" spans="1:21">
      <c r="A2" s="4" t="s">
        <v>81</v>
      </c>
      <c r="B2" s="5" t="str">
        <f>'2023年'!C5</f>
        <v>1922339</v>
      </c>
      <c r="C2" s="5" t="str">
        <f>'2023年'!D5</f>
        <v>长春市夸克普精汽车电子有限责</v>
      </c>
      <c r="D2" s="6">
        <v>166675</v>
      </c>
      <c r="E2" s="6">
        <v>13560</v>
      </c>
      <c r="F2" s="6">
        <f>49381+35595</f>
        <v>84976</v>
      </c>
      <c r="G2" s="8">
        <f>'2023年'!O5+'2023年'!R5</f>
        <v>19097</v>
      </c>
      <c r="H2" s="8">
        <f>'2023年'!P5+'2023年'!S5</f>
        <v>0</v>
      </c>
      <c r="I2" s="8">
        <f>'2023年'!Q5+'2023年'!T5</f>
        <v>0</v>
      </c>
      <c r="J2" s="9">
        <f>'2023年'!V5</f>
        <v>49042</v>
      </c>
      <c r="K2" s="9">
        <f>'2023年'!W5</f>
        <v>0</v>
      </c>
      <c r="L2" s="3"/>
      <c r="M2" s="3"/>
      <c r="N2" s="3"/>
      <c r="O2" s="3"/>
      <c r="P2" s="3"/>
      <c r="Q2" s="3"/>
      <c r="R2" s="3"/>
      <c r="S2" s="3"/>
      <c r="T2" s="3"/>
      <c r="U2" s="3"/>
    </row>
    <row r="3" ht="17.15" customHeight="1" spans="1:21">
      <c r="A3" s="4" t="s">
        <v>81</v>
      </c>
      <c r="B3" s="5" t="str">
        <f>'2023年'!C6</f>
        <v>1931396A</v>
      </c>
      <c r="C3" s="5" t="str">
        <f>'2023年'!D6</f>
        <v>芜湖卓人汽车配件有限公司</v>
      </c>
      <c r="D3" s="6">
        <v>27255.6</v>
      </c>
      <c r="E3" s="6"/>
      <c r="F3" s="6"/>
      <c r="G3" s="8">
        <f>'2023年'!O6+'2023年'!R6</f>
        <v>4542.6</v>
      </c>
      <c r="H3" s="8">
        <f>'2023年'!P6+'2023年'!S6</f>
        <v>4542.6</v>
      </c>
      <c r="I3" s="8">
        <f>'2023年'!Q6+'2023年'!T6</f>
        <v>10447.98</v>
      </c>
      <c r="J3" s="9">
        <f>'2023年'!V6</f>
        <v>0</v>
      </c>
      <c r="K3" s="9">
        <f>'2023年'!W6</f>
        <v>2271.3</v>
      </c>
      <c r="L3" s="3"/>
      <c r="M3" s="3"/>
      <c r="N3" s="3"/>
      <c r="O3" s="3"/>
      <c r="P3" s="3"/>
      <c r="Q3" s="3"/>
      <c r="R3" s="3"/>
      <c r="S3" s="3"/>
      <c r="T3" s="3"/>
      <c r="U3" s="3"/>
    </row>
    <row r="4" ht="17.15" customHeight="1" spans="1:21">
      <c r="A4" s="4" t="s">
        <v>81</v>
      </c>
      <c r="B4" s="5" t="str">
        <f>'2023年'!C7</f>
        <v>1933001</v>
      </c>
      <c r="C4" s="5" t="str">
        <f>'2023年'!D7</f>
        <v>宁波市北仑屹昌机械有限公司</v>
      </c>
      <c r="D4" s="6">
        <v>136999.81</v>
      </c>
      <c r="E4" s="6"/>
      <c r="F4" s="6"/>
      <c r="G4" s="8">
        <f>'2023年'!O7+'2023年'!R7</f>
        <v>24950.4</v>
      </c>
      <c r="H4" s="8">
        <f>'2023年'!P7+'2023年'!S7</f>
        <v>0</v>
      </c>
      <c r="I4" s="8">
        <f>'2023年'!Q7+'2023年'!T7</f>
        <v>31185.92</v>
      </c>
      <c r="J4" s="9">
        <f>'2023年'!V7</f>
        <v>0</v>
      </c>
      <c r="K4" s="9">
        <f>'2023年'!W7</f>
        <v>65893.25</v>
      </c>
      <c r="L4" s="3"/>
      <c r="M4" s="3"/>
      <c r="N4" s="3"/>
      <c r="O4" s="3"/>
      <c r="P4" s="3"/>
      <c r="Q4" s="3"/>
      <c r="R4" s="3"/>
      <c r="S4" s="3"/>
      <c r="T4" s="3"/>
      <c r="U4" s="3"/>
    </row>
    <row r="5" ht="17.15" customHeight="1" spans="1:21">
      <c r="A5" s="4" t="s">
        <v>81</v>
      </c>
      <c r="B5" s="5" t="str">
        <f>'2023年'!C8</f>
        <v>1933361</v>
      </c>
      <c r="C5" s="5" t="str">
        <f>'2023年'!D8</f>
        <v>宁波精成车业有限公司</v>
      </c>
      <c r="D5" s="6">
        <v>220085.37</v>
      </c>
      <c r="E5" s="6"/>
      <c r="F5" s="6"/>
      <c r="G5" s="8">
        <f>'2023年'!O8+'2023年'!R8</f>
        <v>164900.45</v>
      </c>
      <c r="H5" s="8">
        <f>'2023年'!P8+'2023年'!S8</f>
        <v>219867.26</v>
      </c>
      <c r="I5" s="8">
        <f>'2023年'!Q8+'2023年'!T8</f>
        <v>219867.26</v>
      </c>
      <c r="J5" s="9">
        <f>'2023年'!V8</f>
        <v>0</v>
      </c>
      <c r="K5" s="9">
        <f>'2023年'!W8</f>
        <v>0</v>
      </c>
      <c r="L5" s="3"/>
      <c r="M5" s="3"/>
      <c r="N5" s="3"/>
      <c r="O5" s="3"/>
      <c r="P5" s="3"/>
      <c r="Q5" s="3"/>
      <c r="R5" s="3"/>
      <c r="S5" s="3"/>
      <c r="T5" s="3"/>
      <c r="U5" s="3"/>
    </row>
    <row r="6" ht="17.15" customHeight="1" spans="1:21">
      <c r="A6" s="4" t="s">
        <v>81</v>
      </c>
      <c r="B6" s="5" t="str">
        <f>'2023年'!C9</f>
        <v>1933511</v>
      </c>
      <c r="C6" s="5" t="str">
        <f>'2023年'!D9</f>
        <v>浙江万福机电科技有限公司</v>
      </c>
      <c r="D6" s="6">
        <v>62.7000000000698</v>
      </c>
      <c r="E6" s="6"/>
      <c r="F6" s="6"/>
      <c r="G6" s="8">
        <f>'2023年'!O9+'2023年'!R9</f>
        <v>0</v>
      </c>
      <c r="H6" s="8">
        <f>'2023年'!P9+'2023年'!S9</f>
        <v>0</v>
      </c>
      <c r="I6" s="8">
        <f>'2023年'!Q9+'2023年'!T9</f>
        <v>0</v>
      </c>
      <c r="J6" s="9">
        <f>'2023年'!V9</f>
        <v>0</v>
      </c>
      <c r="K6" s="9">
        <f>'2023年'!W9</f>
        <v>0</v>
      </c>
      <c r="L6" s="3"/>
      <c r="M6" s="3"/>
      <c r="N6" s="3"/>
      <c r="O6" s="3"/>
      <c r="P6" s="3"/>
      <c r="Q6" s="3"/>
      <c r="R6" s="3"/>
      <c r="S6" s="3"/>
      <c r="T6" s="3"/>
      <c r="U6" s="3"/>
    </row>
    <row r="7" ht="17.15" customHeight="1" spans="1:21">
      <c r="A7" s="4" t="s">
        <v>81</v>
      </c>
      <c r="B7" s="5" t="str">
        <f>'2023年'!C10</f>
        <v>1937045</v>
      </c>
      <c r="C7" s="5" t="str">
        <f>'2023年'!D10</f>
        <v>烟台美龙汽车部件有限公司</v>
      </c>
      <c r="D7" s="6">
        <v>42809.4299999999</v>
      </c>
      <c r="E7" s="6"/>
      <c r="F7" s="6"/>
      <c r="G7" s="8">
        <f>'2023年'!O10+'2023年'!R10</f>
        <v>0</v>
      </c>
      <c r="H7" s="8">
        <f>'2023年'!P10+'2023年'!S10</f>
        <v>0</v>
      </c>
      <c r="I7" s="8">
        <f>'2023年'!Q10+'2023年'!T10</f>
        <v>0</v>
      </c>
      <c r="J7" s="9">
        <f>'2023年'!V10</f>
        <v>0</v>
      </c>
      <c r="K7" s="9">
        <f>'2023年'!W10</f>
        <v>162469.7</v>
      </c>
      <c r="L7" s="3"/>
      <c r="M7" s="3"/>
      <c r="N7" s="3"/>
      <c r="O7" s="3"/>
      <c r="P7" s="3"/>
      <c r="Q7" s="3"/>
      <c r="R7" s="3"/>
      <c r="S7" s="3"/>
      <c r="T7" s="3"/>
      <c r="U7" s="3"/>
    </row>
    <row r="8" ht="17.15" customHeight="1" spans="1:21">
      <c r="A8" s="4" t="s">
        <v>81</v>
      </c>
      <c r="B8" s="5" t="str">
        <f>'2023年'!C11</f>
        <v>L4153</v>
      </c>
      <c r="C8" s="5" t="str">
        <f>'2023年'!D11</f>
        <v>上海发之源电器有限公司</v>
      </c>
      <c r="D8" s="6">
        <v>690975</v>
      </c>
      <c r="E8" s="6"/>
      <c r="F8" s="6"/>
      <c r="G8" s="8">
        <f>'2023年'!O11+'2023年'!R11</f>
        <v>221799.23</v>
      </c>
      <c r="H8" s="8">
        <f>'2023年'!P11+'2023年'!S11</f>
        <v>158895.27</v>
      </c>
      <c r="I8" s="8">
        <f>'2023年'!Q11+'2023年'!T11</f>
        <v>176578.93</v>
      </c>
      <c r="J8" s="9">
        <f>'2023年'!V11</f>
        <v>0</v>
      </c>
      <c r="K8" s="9">
        <f>'2023年'!W11</f>
        <v>0</v>
      </c>
      <c r="L8" s="3"/>
      <c r="M8" s="3"/>
      <c r="N8" s="3"/>
      <c r="O8" s="3"/>
      <c r="P8" s="3"/>
      <c r="Q8" s="3"/>
      <c r="R8" s="3"/>
      <c r="S8" s="3"/>
      <c r="T8" s="3"/>
      <c r="U8" s="3"/>
    </row>
    <row r="9" ht="17.15" customHeight="1" spans="1:21">
      <c r="A9" s="4" t="s">
        <v>81</v>
      </c>
      <c r="B9" s="5" t="str">
        <f>'2023年'!C12</f>
        <v>L4154</v>
      </c>
      <c r="C9" s="5" t="str">
        <f>'2023年'!D12</f>
        <v>抚州锐而简实业有限公司</v>
      </c>
      <c r="D9" s="6">
        <v>43378.44</v>
      </c>
      <c r="E9" s="6"/>
      <c r="F9" s="6"/>
      <c r="G9" s="8">
        <f>'2023年'!O12+'2023年'!R12</f>
        <v>0</v>
      </c>
      <c r="H9" s="8">
        <f>'2023年'!P12+'2023年'!S12</f>
        <v>0</v>
      </c>
      <c r="I9" s="8">
        <f>'2023年'!Q12+'2023年'!T12</f>
        <v>0</v>
      </c>
      <c r="J9" s="9">
        <f>'2023年'!V12</f>
        <v>0</v>
      </c>
      <c r="K9" s="9">
        <f>'2023年'!W12</f>
        <v>0</v>
      </c>
      <c r="L9" s="3"/>
      <c r="M9" s="3"/>
      <c r="N9" s="3"/>
      <c r="O9" s="3"/>
      <c r="P9" s="3"/>
      <c r="Q9" s="3"/>
      <c r="R9" s="3"/>
      <c r="S9" s="3"/>
      <c r="T9" s="3"/>
      <c r="U9" s="3"/>
    </row>
    <row r="10" ht="17.15" customHeight="1" spans="1:21">
      <c r="A10" s="4" t="s">
        <v>81</v>
      </c>
      <c r="B10" s="5" t="str">
        <f>'2023年'!C13</f>
        <v>L4392</v>
      </c>
      <c r="C10" s="5" t="str">
        <f>'2023年'!D13</f>
        <v>阿诺德紧固件（沈阳）有限公司</v>
      </c>
      <c r="D10" s="6">
        <v>93338.0200000001</v>
      </c>
      <c r="E10" s="6"/>
      <c r="F10" s="6"/>
      <c r="G10" s="8">
        <f>'2023年'!O13+'2023年'!R13</f>
        <v>21710.01</v>
      </c>
      <c r="H10" s="8">
        <f>'2023年'!P13+'2023年'!S13</f>
        <v>23909.67</v>
      </c>
      <c r="I10" s="8">
        <f>'2023年'!Q13+'2023年'!T13</f>
        <v>23358.23</v>
      </c>
      <c r="J10" s="9">
        <f>'2023年'!V13</f>
        <v>0</v>
      </c>
      <c r="K10" s="9">
        <f>'2023年'!W13</f>
        <v>0</v>
      </c>
      <c r="L10" s="3"/>
      <c r="M10" s="3"/>
      <c r="N10" s="3"/>
      <c r="O10" s="3"/>
      <c r="P10" s="3"/>
      <c r="Q10" s="3"/>
      <c r="R10" s="3"/>
      <c r="S10" s="3"/>
      <c r="T10" s="3"/>
      <c r="U10" s="3"/>
    </row>
    <row r="11" ht="17.15" customHeight="1" spans="1:21">
      <c r="A11" s="4" t="s">
        <v>81</v>
      </c>
      <c r="B11" s="5" t="str">
        <f>'2023年'!C14</f>
        <v>L4410</v>
      </c>
      <c r="C11" s="5" t="str">
        <f>'2023年'!D14</f>
        <v>上海坤达五金制品有限公司</v>
      </c>
      <c r="D11" s="6">
        <v>2000</v>
      </c>
      <c r="E11" s="6"/>
      <c r="F11" s="6"/>
      <c r="G11" s="8">
        <f>'2023年'!O14+'2023年'!R14</f>
        <v>2076.8</v>
      </c>
      <c r="H11" s="8">
        <f>'2023年'!P14+'2023年'!S14</f>
        <v>2000</v>
      </c>
      <c r="I11" s="8">
        <f>'2023年'!Q14+'2023年'!T14</f>
        <v>0</v>
      </c>
      <c r="J11" s="9">
        <f>'2023年'!V14</f>
        <v>0</v>
      </c>
      <c r="K11" s="9">
        <f>'2023年'!W14</f>
        <v>0</v>
      </c>
      <c r="L11" s="3"/>
      <c r="M11" s="3"/>
      <c r="N11" s="3"/>
      <c r="O11" s="3"/>
      <c r="P11" s="3"/>
      <c r="Q11" s="3"/>
      <c r="R11" s="3"/>
      <c r="S11" s="3"/>
      <c r="T11" s="3"/>
      <c r="U11" s="3"/>
    </row>
    <row r="12" ht="17.15" customHeight="1" spans="1:21">
      <c r="A12" s="4" t="s">
        <v>81</v>
      </c>
      <c r="B12" s="5" t="str">
        <f>'2023年'!C15</f>
        <v>1932031</v>
      </c>
      <c r="C12" s="5" t="str">
        <f>'2023年'!D15</f>
        <v>江苏海德莱特汽车部件有限公司</v>
      </c>
      <c r="D12" s="6">
        <v>53656.24</v>
      </c>
      <c r="E12" s="6"/>
      <c r="F12" s="6"/>
      <c r="G12" s="8">
        <f>'2023年'!O15+'2023年'!R15</f>
        <v>78991.44</v>
      </c>
      <c r="H12" s="8">
        <f>'2023年'!P15+'2023年'!S15</f>
        <v>22471.7</v>
      </c>
      <c r="I12" s="8">
        <f>'2023年'!Q15+'2023年'!T15</f>
        <v>21555.34</v>
      </c>
      <c r="J12" s="9">
        <f>'2023年'!V15</f>
        <v>13548.18</v>
      </c>
      <c r="K12" s="9">
        <f>'2023年'!W15</f>
        <v>53656.12</v>
      </c>
      <c r="L12" s="3"/>
      <c r="M12" s="3"/>
      <c r="N12" s="3"/>
      <c r="O12" s="3"/>
      <c r="P12" s="3"/>
      <c r="Q12" s="3"/>
      <c r="R12" s="3"/>
      <c r="S12" s="3"/>
      <c r="T12" s="3"/>
      <c r="U12" s="3"/>
    </row>
    <row r="13" ht="17.15" customHeight="1" spans="1:21">
      <c r="A13" s="4" t="s">
        <v>81</v>
      </c>
      <c r="B13" s="5" t="str">
        <f>'2023年'!C16</f>
        <v>L5273</v>
      </c>
      <c r="C13" s="5" t="str">
        <f>'2023年'!D16</f>
        <v>江苏日盈电子股份有限公司</v>
      </c>
      <c r="D13" s="6">
        <v>54555.2700000001</v>
      </c>
      <c r="E13" s="6"/>
      <c r="F13" s="6"/>
      <c r="G13" s="8">
        <f>'2023年'!O16+'2023年'!R16</f>
        <v>0</v>
      </c>
      <c r="H13" s="8">
        <f>'2023年'!P16+'2023年'!S16</f>
        <v>157512.96</v>
      </c>
      <c r="I13" s="8">
        <f>'2023年'!Q16+'2023年'!T16</f>
        <v>36506.91</v>
      </c>
      <c r="J13" s="9">
        <f>'2023年'!V16</f>
        <v>60297.93</v>
      </c>
      <c r="K13" s="9">
        <f>'2023年'!W16</f>
        <v>54555.27</v>
      </c>
      <c r="L13" s="3"/>
      <c r="M13" s="3"/>
      <c r="N13" s="3"/>
      <c r="O13" s="3"/>
      <c r="P13" s="3"/>
      <c r="Q13" s="3"/>
      <c r="R13" s="3"/>
      <c r="S13" s="3"/>
      <c r="T13" s="3"/>
      <c r="U13" s="3"/>
    </row>
    <row r="14" ht="17.15" customHeight="1" spans="1:21">
      <c r="A14" s="4" t="s">
        <v>81</v>
      </c>
      <c r="B14" s="5" t="str">
        <f>'2023年'!C17</f>
        <v>L4437</v>
      </c>
      <c r="C14" s="5" t="str">
        <f>'2023年'!D17</f>
        <v>法雷奥汽车内部控制（深圳）有</v>
      </c>
      <c r="D14" s="6">
        <v>0</v>
      </c>
      <c r="E14" s="6"/>
      <c r="F14" s="6"/>
      <c r="G14" s="8">
        <f>'2023年'!O17+'2023年'!R17</f>
        <v>0</v>
      </c>
      <c r="H14" s="8">
        <f>'2023年'!P17+'2023年'!S17</f>
        <v>0</v>
      </c>
      <c r="I14" s="8">
        <f>'2023年'!Q17+'2023年'!T17</f>
        <v>-32123.64</v>
      </c>
      <c r="J14" s="9">
        <f>'2023年'!V17</f>
        <v>0</v>
      </c>
      <c r="K14" s="9">
        <f>'2023年'!W17</f>
        <v>0</v>
      </c>
      <c r="L14" s="3"/>
      <c r="M14" s="3"/>
      <c r="N14" s="3"/>
      <c r="O14" s="3"/>
      <c r="P14" s="3"/>
      <c r="Q14" s="3"/>
      <c r="R14" s="3"/>
      <c r="S14" s="3"/>
      <c r="T14" s="3"/>
      <c r="U14" s="3"/>
    </row>
    <row r="15" ht="17.15" customHeight="1" spans="1:21">
      <c r="A15" s="4" t="s">
        <v>81</v>
      </c>
      <c r="B15" s="5" t="str">
        <f>'2023年'!C18</f>
        <v>L4617</v>
      </c>
      <c r="C15" s="5" t="str">
        <f>'2023年'!D18</f>
        <v>无锡市汇源机械科技有限公司</v>
      </c>
      <c r="D15" s="6">
        <v>351722.63</v>
      </c>
      <c r="E15" s="6"/>
      <c r="F15" s="6"/>
      <c r="G15" s="8">
        <f>'2023年'!O18+'2023年'!R18</f>
        <v>119729.08</v>
      </c>
      <c r="H15" s="8">
        <f>'2023年'!P18+'2023年'!S18</f>
        <v>97054.06</v>
      </c>
      <c r="I15" s="8">
        <f>'2023年'!Q18+'2023年'!T18</f>
        <v>0</v>
      </c>
      <c r="J15" s="9">
        <f>'2023年'!V18</f>
        <v>46043.28</v>
      </c>
      <c r="K15" s="9">
        <f>'2023年'!W18</f>
        <v>0</v>
      </c>
      <c r="L15" s="3"/>
      <c r="M15" s="3"/>
      <c r="N15" s="3"/>
      <c r="O15" s="3"/>
      <c r="P15" s="3"/>
      <c r="Q15" s="3"/>
      <c r="R15" s="3"/>
      <c r="S15" s="3"/>
      <c r="T15" s="3"/>
      <c r="U15" s="3"/>
    </row>
    <row r="16" ht="17.15" customHeight="1" spans="1:21">
      <c r="A16" s="4" t="s">
        <v>81</v>
      </c>
      <c r="B16" s="5" t="str">
        <f>'2023年'!C19</f>
        <v>1931679</v>
      </c>
      <c r="C16" s="5" t="str">
        <f>'2023年'!D19</f>
        <v>上海金山张泾五金弹簧有限公司</v>
      </c>
      <c r="D16" s="6">
        <v>0</v>
      </c>
      <c r="E16" s="6"/>
      <c r="F16" s="6"/>
      <c r="G16" s="8">
        <f>'2023年'!O19+'2023年'!R19</f>
        <v>0</v>
      </c>
      <c r="H16" s="8">
        <f>'2023年'!P19+'2023年'!S19</f>
        <v>0</v>
      </c>
      <c r="I16" s="8">
        <f>'2023年'!Q19+'2023年'!T19</f>
        <v>0</v>
      </c>
      <c r="J16" s="9">
        <f>'2023年'!V19</f>
        <v>0</v>
      </c>
      <c r="K16" s="9">
        <f>'2023年'!W19</f>
        <v>0</v>
      </c>
      <c r="L16" s="3"/>
      <c r="M16" s="3"/>
      <c r="N16" s="3"/>
      <c r="O16" s="3"/>
      <c r="P16" s="3"/>
      <c r="Q16" s="3"/>
      <c r="R16" s="3"/>
      <c r="S16" s="3"/>
      <c r="T16" s="3"/>
      <c r="U16" s="3"/>
    </row>
    <row r="17" ht="17.15" customHeight="1" spans="1:21">
      <c r="A17" s="4" t="s">
        <v>81</v>
      </c>
      <c r="B17" s="5" t="str">
        <f>'2023年'!C20</f>
        <v>L4878</v>
      </c>
      <c r="C17" s="5" t="str">
        <f>'2023年'!D20</f>
        <v>江阴宝曼电子科技有限公司</v>
      </c>
      <c r="D17" s="6">
        <v>41063.07</v>
      </c>
      <c r="E17" s="6"/>
      <c r="F17" s="6"/>
      <c r="G17" s="8">
        <f>'2023年'!O20+'2023年'!R20</f>
        <v>56601.7</v>
      </c>
      <c r="H17" s="8">
        <f>'2023年'!P20+'2023年'!S20</f>
        <v>6611.86</v>
      </c>
      <c r="I17" s="8">
        <f>'2023年'!Q20+'2023年'!T20</f>
        <v>27360.46</v>
      </c>
      <c r="J17" s="9">
        <f>'2023年'!V20</f>
        <v>7090.75</v>
      </c>
      <c r="K17" s="9">
        <f>'2023年'!W20</f>
        <v>0</v>
      </c>
      <c r="L17" s="3"/>
      <c r="M17" s="3"/>
      <c r="N17" s="3"/>
      <c r="O17" s="3"/>
      <c r="P17" s="3"/>
      <c r="Q17" s="3"/>
      <c r="R17" s="3"/>
      <c r="S17" s="3"/>
      <c r="T17" s="3"/>
      <c r="U17" s="3"/>
    </row>
    <row r="18" ht="17.15" customHeight="1" spans="1:21">
      <c r="A18" s="4" t="s">
        <v>81</v>
      </c>
      <c r="B18" s="5" t="str">
        <f>'2023年'!C21</f>
        <v>L4749</v>
      </c>
      <c r="C18" s="5" t="str">
        <f>'2023年'!D21</f>
        <v>麦格纳（太仓）汽车科技有限公</v>
      </c>
      <c r="D18" s="6">
        <v>334790.96</v>
      </c>
      <c r="E18" s="6"/>
      <c r="F18" s="6"/>
      <c r="G18" s="8">
        <f>'2023年'!O21+'2023年'!R21</f>
        <v>167395.48</v>
      </c>
      <c r="H18" s="8">
        <f>'2023年'!P21+'2023年'!S21</f>
        <v>167395.48</v>
      </c>
      <c r="I18" s="8">
        <f>'2023年'!Q21+'2023年'!T21</f>
        <v>0</v>
      </c>
      <c r="J18" s="9">
        <f>'2023年'!V21</f>
        <v>0</v>
      </c>
      <c r="K18" s="9">
        <f>'2023年'!W21</f>
        <v>0</v>
      </c>
      <c r="L18" s="3"/>
      <c r="M18" s="3"/>
      <c r="N18" s="3"/>
      <c r="O18" s="3"/>
      <c r="P18" s="3"/>
      <c r="Q18" s="3"/>
      <c r="R18" s="3"/>
      <c r="S18" s="3"/>
      <c r="T18" s="3"/>
      <c r="U18" s="3"/>
    </row>
    <row r="19" ht="17.15" customHeight="1" spans="1:21">
      <c r="A19" s="4" t="s">
        <v>81</v>
      </c>
      <c r="B19" s="5" t="str">
        <f>'2023年'!C22</f>
        <v>1913023</v>
      </c>
      <c r="C19" s="5" t="str">
        <f>'2023年'!D22</f>
        <v>海兴中盛弹簧制品有限公司</v>
      </c>
      <c r="D19" s="6">
        <v>77290.31</v>
      </c>
      <c r="E19" s="6"/>
      <c r="F19" s="6"/>
      <c r="G19" s="8">
        <f>'2023年'!O22+'2023年'!R22</f>
        <v>42307.2</v>
      </c>
      <c r="H19" s="8">
        <f>'2023年'!P22+'2023年'!S22</f>
        <v>0</v>
      </c>
      <c r="I19" s="8">
        <f>'2023年'!Q22+'2023年'!T22</f>
        <v>34983.11</v>
      </c>
      <c r="J19" s="9">
        <f>'2023年'!V22</f>
        <v>0</v>
      </c>
      <c r="K19" s="9">
        <f>'2023年'!W22</f>
        <v>0</v>
      </c>
      <c r="L19" s="3"/>
      <c r="M19" s="3"/>
      <c r="N19" s="3"/>
      <c r="O19" s="3"/>
      <c r="P19" s="3"/>
      <c r="Q19" s="3"/>
      <c r="R19" s="3"/>
      <c r="S19" s="3"/>
      <c r="T19" s="3"/>
      <c r="U19" s="3"/>
    </row>
    <row r="20" ht="17.15" customHeight="1" spans="1:21">
      <c r="A20" s="4" t="s">
        <v>81</v>
      </c>
      <c r="B20" s="5" t="str">
        <f>'2023年'!C23</f>
        <v>1951035</v>
      </c>
      <c r="C20" s="5" t="str">
        <f>'2023年'!D23</f>
        <v>长春力登维科技产业有限公司成</v>
      </c>
      <c r="D20" s="6">
        <v>30137.1</v>
      </c>
      <c r="E20" s="6"/>
      <c r="F20" s="6"/>
      <c r="G20" s="8">
        <f>'2023年'!O23+'2023年'!R23</f>
        <v>14475.3</v>
      </c>
      <c r="H20" s="8">
        <f>'2023年'!P23+'2023年'!S23</f>
        <v>10915.8</v>
      </c>
      <c r="I20" s="8">
        <f>'2023年'!Q23+'2023年'!T23</f>
        <v>0</v>
      </c>
      <c r="J20" s="9">
        <f>'2023年'!V23</f>
        <v>4746</v>
      </c>
      <c r="K20" s="9">
        <f>'2023年'!W23</f>
        <v>0</v>
      </c>
      <c r="L20" s="3"/>
      <c r="M20" s="3"/>
      <c r="N20" s="3"/>
      <c r="O20" s="3"/>
      <c r="P20" s="3"/>
      <c r="Q20" s="3"/>
      <c r="R20" s="3"/>
      <c r="S20" s="3"/>
      <c r="T20" s="3"/>
      <c r="U20" s="3"/>
    </row>
    <row r="21" ht="17.15" customHeight="1" spans="1:21">
      <c r="A21" s="4" t="s">
        <v>81</v>
      </c>
      <c r="B21" s="5" t="str">
        <f>'2023年'!C24</f>
        <v>1951047</v>
      </c>
      <c r="C21" s="5" t="str">
        <f>'2023年'!D24</f>
        <v>上海中鹏岳博实业发展有限公司</v>
      </c>
      <c r="D21" s="6">
        <v>2518.39</v>
      </c>
      <c r="E21" s="6"/>
      <c r="F21" s="6"/>
      <c r="G21" s="8">
        <f>'2023年'!O24+'2023年'!R24</f>
        <v>0</v>
      </c>
      <c r="H21" s="8">
        <f>'2023年'!P24+'2023年'!S24</f>
        <v>0</v>
      </c>
      <c r="I21" s="8">
        <f>'2023年'!Q24+'2023年'!T24</f>
        <v>0</v>
      </c>
      <c r="J21" s="9">
        <f>'2023年'!V24</f>
        <v>0</v>
      </c>
      <c r="K21" s="9">
        <f>'2023年'!W24</f>
        <v>0</v>
      </c>
      <c r="L21" s="3"/>
      <c r="M21" s="3"/>
      <c r="N21" s="3"/>
      <c r="O21" s="3"/>
      <c r="P21" s="3"/>
      <c r="Q21" s="3"/>
      <c r="R21" s="3"/>
      <c r="S21" s="3"/>
      <c r="T21" s="3"/>
      <c r="U21" s="3"/>
    </row>
    <row r="22" ht="17.15" customHeight="1" spans="1:21">
      <c r="A22" s="4" t="s">
        <v>81</v>
      </c>
      <c r="B22" s="5" t="str">
        <f>'2023年'!C25</f>
        <v>1922009</v>
      </c>
      <c r="C22" s="5" t="str">
        <f>'2023年'!D25</f>
        <v>长春鸿德汽车照明有限公司</v>
      </c>
      <c r="D22" s="6">
        <v>1070377.44</v>
      </c>
      <c r="E22" s="6"/>
      <c r="F22" s="6"/>
      <c r="G22" s="8">
        <f>'2023年'!O25+'2023年'!R25</f>
        <v>0</v>
      </c>
      <c r="H22" s="8">
        <f>'2023年'!P25+'2023年'!S25</f>
        <v>396836.44</v>
      </c>
      <c r="I22" s="8">
        <f>'2023年'!Q25+'2023年'!T25</f>
        <v>0</v>
      </c>
      <c r="J22" s="9">
        <f>'2023年'!V25</f>
        <v>0</v>
      </c>
      <c r="K22" s="9">
        <f>'2023年'!W25</f>
        <v>0</v>
      </c>
      <c r="L22" s="3"/>
      <c r="M22" s="3"/>
      <c r="N22" s="3"/>
      <c r="O22" s="3"/>
      <c r="P22" s="3"/>
      <c r="Q22" s="3"/>
      <c r="R22" s="3"/>
      <c r="S22" s="3"/>
      <c r="T22" s="3"/>
      <c r="U22" s="3"/>
    </row>
    <row r="23" ht="17.15" customHeight="1" spans="1:21">
      <c r="A23" s="4" t="s">
        <v>81</v>
      </c>
      <c r="B23" s="5" t="str">
        <f>'2023年'!C26</f>
        <v>1931704</v>
      </c>
      <c r="C23" s="5" t="str">
        <f>'2023年'!D26</f>
        <v>上海努辰金属制品有限公司</v>
      </c>
      <c r="D23" s="6">
        <v>38399.46</v>
      </c>
      <c r="E23" s="6"/>
      <c r="F23" s="6"/>
      <c r="G23" s="8">
        <f>'2023年'!O26+'2023年'!R26</f>
        <v>9202.52</v>
      </c>
      <c r="H23" s="8">
        <f>'2023年'!P26+'2023年'!S26</f>
        <v>6820.68</v>
      </c>
      <c r="I23" s="8">
        <f>'2023年'!Q26+'2023年'!T26</f>
        <v>0</v>
      </c>
      <c r="J23" s="9">
        <f>'2023年'!V26</f>
        <v>7641.06</v>
      </c>
      <c r="K23" s="9">
        <f>'2023年'!W26</f>
        <v>0</v>
      </c>
      <c r="L23" s="3"/>
      <c r="M23" s="3"/>
      <c r="N23" s="3"/>
      <c r="O23" s="3"/>
      <c r="P23" s="3"/>
      <c r="Q23" s="3"/>
      <c r="R23" s="3"/>
      <c r="S23" s="3"/>
      <c r="T23" s="3"/>
      <c r="U23" s="3"/>
    </row>
    <row r="24" ht="17.15" customHeight="1" spans="1:21">
      <c r="A24" s="4" t="s">
        <v>81</v>
      </c>
      <c r="B24" s="5" t="str">
        <f>'2023年'!C27</f>
        <v>L5389</v>
      </c>
      <c r="C24" s="5" t="str">
        <f>'2023年'!D27</f>
        <v>上海博迩森汽车部件有限公司</v>
      </c>
      <c r="D24" s="6">
        <v>24408</v>
      </c>
      <c r="E24" s="6"/>
      <c r="F24" s="6"/>
      <c r="G24" s="8">
        <f>'2023年'!O27+'2023年'!R27</f>
        <v>104163.4</v>
      </c>
      <c r="H24" s="8">
        <f>'2023年'!P27+'2023年'!S27</f>
        <v>128571.4</v>
      </c>
      <c r="I24" s="8">
        <f>'2023年'!Q27+'2023年'!T27</f>
        <v>0</v>
      </c>
      <c r="J24" s="9">
        <f>'2023年'!V27</f>
        <v>0</v>
      </c>
      <c r="K24" s="9">
        <f>'2023年'!W27</f>
        <v>0</v>
      </c>
      <c r="L24" s="3"/>
      <c r="M24" s="3"/>
      <c r="N24" s="3"/>
      <c r="O24" s="3"/>
      <c r="P24" s="3"/>
      <c r="Q24" s="3"/>
      <c r="R24" s="3"/>
      <c r="S24" s="3"/>
      <c r="T24" s="3"/>
      <c r="U24" s="3"/>
    </row>
    <row r="25" ht="17.15" customHeight="1" spans="1:21">
      <c r="A25" s="4" t="s">
        <v>81</v>
      </c>
      <c r="B25" s="5" t="str">
        <f>'2023年'!C28</f>
        <v>1944520</v>
      </c>
      <c r="C25" s="5" t="str">
        <f>'2023年'!D28</f>
        <v>中山市华胜汽车部件有限公司</v>
      </c>
      <c r="D25" s="6">
        <v>38483.28</v>
      </c>
      <c r="E25" s="6"/>
      <c r="F25" s="6"/>
      <c r="G25" s="8">
        <f>'2023年'!O28+'2023年'!R28</f>
        <v>0</v>
      </c>
      <c r="H25" s="8">
        <f>'2023年'!P28+'2023年'!S28</f>
        <v>0</v>
      </c>
      <c r="I25" s="8">
        <f>'2023年'!Q28+'2023年'!T28</f>
        <v>0</v>
      </c>
      <c r="J25" s="9">
        <f>'2023年'!V28</f>
        <v>0</v>
      </c>
      <c r="K25" s="9">
        <f>'2023年'!W28</f>
        <v>38483.28</v>
      </c>
      <c r="L25" s="3"/>
      <c r="M25" s="3"/>
      <c r="N25" s="3"/>
      <c r="O25" s="3"/>
      <c r="P25" s="3"/>
      <c r="Q25" s="3"/>
      <c r="R25" s="3"/>
      <c r="S25" s="3"/>
      <c r="T25" s="3"/>
      <c r="U25" s="3"/>
    </row>
    <row r="26" ht="17.15" customHeight="1" spans="1:21">
      <c r="A26" s="4"/>
      <c r="B26" s="5">
        <f>'2023年'!C29</f>
        <v>0</v>
      </c>
      <c r="C26" s="5" t="str">
        <f>'2023年'!D29</f>
        <v>泉州市福兴塑料五金有限公司</v>
      </c>
      <c r="D26" s="6">
        <v>32006.12</v>
      </c>
      <c r="E26" s="6"/>
      <c r="F26" s="6"/>
      <c r="G26" s="8">
        <f>'2023年'!O29+'2023年'!R29</f>
        <v>0</v>
      </c>
      <c r="H26" s="8">
        <f>'2023年'!P29+'2023年'!S29</f>
        <v>19790.82</v>
      </c>
      <c r="I26" s="8">
        <f>'2023年'!Q29+'2023年'!T29</f>
        <v>32006.12</v>
      </c>
      <c r="J26" s="9">
        <f>'2023年'!V29</f>
        <v>0</v>
      </c>
      <c r="K26" s="9">
        <f>'2023年'!W29</f>
        <v>0</v>
      </c>
      <c r="L26" s="3"/>
      <c r="M26" s="3"/>
      <c r="N26" s="3"/>
      <c r="O26" s="3"/>
      <c r="P26" s="3"/>
      <c r="Q26" s="3"/>
      <c r="R26" s="3"/>
      <c r="S26" s="3"/>
      <c r="T26" s="3"/>
      <c r="U26" s="3"/>
    </row>
    <row r="27" ht="17.15" customHeight="1" spans="1:21">
      <c r="A27" s="4"/>
      <c r="B27" s="5">
        <f>'2023年'!C30</f>
        <v>0</v>
      </c>
      <c r="C27" s="5" t="str">
        <f>'2023年'!D30</f>
        <v>西安光华荣昌汽车部件有限公司</v>
      </c>
      <c r="D27" s="6">
        <v>-120131</v>
      </c>
      <c r="E27" s="6"/>
      <c r="F27" s="6"/>
      <c r="G27" s="8">
        <f>'2023年'!O30+'2023年'!R30</f>
        <v>1531.82</v>
      </c>
      <c r="H27" s="8">
        <f>'2023年'!P30+'2023年'!S30</f>
        <v>0</v>
      </c>
      <c r="I27" s="8">
        <f>'2023年'!Q30+'2023年'!T30</f>
        <v>1489.62</v>
      </c>
      <c r="J27" s="9">
        <f>'2023年'!V30</f>
        <v>179974.43</v>
      </c>
      <c r="K27" s="9">
        <f>'2023年'!W30</f>
        <v>4554.35</v>
      </c>
      <c r="L27" s="3"/>
      <c r="M27" s="3"/>
      <c r="N27" s="3"/>
      <c r="O27" s="3"/>
      <c r="P27" s="3"/>
      <c r="Q27" s="3"/>
      <c r="R27" s="3"/>
      <c r="S27" s="3"/>
      <c r="T27" s="3"/>
      <c r="U27" s="3"/>
    </row>
    <row r="28" ht="17.15" customHeight="1" spans="1:21">
      <c r="A28" s="4"/>
      <c r="B28" s="5">
        <f>'2023年'!C31</f>
        <v>0</v>
      </c>
      <c r="C28" s="5" t="str">
        <f>'2023年'!D31</f>
        <v>西安海容塑料制品有限责任公司</v>
      </c>
      <c r="D28" s="6">
        <v>0</v>
      </c>
      <c r="E28" s="6"/>
      <c r="F28" s="6"/>
      <c r="G28" s="8">
        <f>'2023年'!O31+'2023年'!R31</f>
        <v>0</v>
      </c>
      <c r="H28" s="8">
        <f>'2023年'!P31+'2023年'!S31</f>
        <v>0</v>
      </c>
      <c r="I28" s="8">
        <f>'2023年'!Q31+'2023年'!T31</f>
        <v>0</v>
      </c>
      <c r="J28" s="9">
        <f>'2023年'!V31</f>
        <v>0</v>
      </c>
      <c r="K28" s="9">
        <f>'2023年'!W31</f>
        <v>0</v>
      </c>
      <c r="L28" s="3"/>
      <c r="M28" s="3"/>
      <c r="N28" s="3"/>
      <c r="O28" s="3"/>
      <c r="P28" s="3"/>
      <c r="Q28" s="3"/>
      <c r="R28" s="3"/>
      <c r="S28" s="3"/>
      <c r="T28" s="3"/>
      <c r="U28" s="3"/>
    </row>
    <row r="29" ht="17.15" customHeight="1" spans="1:21">
      <c r="A29" s="4"/>
      <c r="B29" s="5" t="str">
        <f>'2023年'!C32</f>
        <v>1932034</v>
      </c>
      <c r="C29" s="5" t="str">
        <f>'2023年'!D32</f>
        <v>江苏福美汽车镜有限公司</v>
      </c>
      <c r="D29" s="6">
        <v>182408.67</v>
      </c>
      <c r="E29" s="6"/>
      <c r="F29" s="6"/>
      <c r="G29" s="8">
        <f>'2023年'!O32+'2023年'!R32</f>
        <v>0</v>
      </c>
      <c r="H29" s="8">
        <f>'2023年'!P32+'2023年'!S32</f>
        <v>0</v>
      </c>
      <c r="I29" s="8">
        <f>'2023年'!Q32+'2023年'!T32</f>
        <v>0</v>
      </c>
      <c r="J29" s="9">
        <f>'2023年'!V32</f>
        <v>0</v>
      </c>
      <c r="K29" s="9">
        <f>'2023年'!W32</f>
        <v>182408.67</v>
      </c>
      <c r="L29" s="3"/>
      <c r="M29" s="3"/>
      <c r="N29" s="3"/>
      <c r="O29" s="3"/>
      <c r="P29" s="3"/>
      <c r="Q29" s="3"/>
      <c r="R29" s="3"/>
      <c r="S29" s="3"/>
      <c r="T29" s="3"/>
      <c r="U29" s="3"/>
    </row>
    <row r="30" ht="17.15" customHeight="1" spans="1:21">
      <c r="A30" s="4" t="s">
        <v>81</v>
      </c>
      <c r="B30" s="5" t="str">
        <f>'2023年'!C33</f>
        <v>1913037</v>
      </c>
      <c r="C30" s="5" t="str">
        <f>'2023年'!D33</f>
        <v>河北光华荣昌汽车部件有限公司</v>
      </c>
      <c r="D30" s="6">
        <v>444256.56</v>
      </c>
      <c r="E30" s="6"/>
      <c r="F30" s="6"/>
      <c r="G30" s="8">
        <f>'2023年'!O33+'2023年'!R33</f>
        <v>-701702.24</v>
      </c>
      <c r="H30" s="8">
        <f>'2023年'!P33+'2023年'!S33</f>
        <v>0</v>
      </c>
      <c r="I30" s="8">
        <f>'2023年'!Q33+'2023年'!T33</f>
        <v>1163418</v>
      </c>
      <c r="J30" s="9">
        <f>'2023年'!V33</f>
        <v>300741.83</v>
      </c>
      <c r="K30" s="9">
        <f>'2023年'!W33</f>
        <v>316289.99</v>
      </c>
      <c r="L30" s="3"/>
      <c r="M30" s="3"/>
      <c r="N30" s="3"/>
      <c r="O30" s="3"/>
      <c r="P30" s="3"/>
      <c r="Q30" s="3"/>
      <c r="R30" s="3"/>
      <c r="S30" s="3"/>
      <c r="T30" s="3"/>
      <c r="U30" s="3"/>
    </row>
    <row r="31" ht="15" spans="1:11">
      <c r="A31" s="4" t="s">
        <v>81</v>
      </c>
      <c r="B31" s="5">
        <f>'2023年'!C51</f>
        <v>0</v>
      </c>
      <c r="C31" s="5" t="str">
        <f>'2023年'!D51</f>
        <v>长春光华荣昌汽车部件有限公司</v>
      </c>
      <c r="D31" s="6">
        <f>SUM(E31:U31)</f>
        <v>0</v>
      </c>
      <c r="E31" s="6"/>
      <c r="F31" s="6"/>
      <c r="G31" s="8">
        <f>'2023年'!O51+'2023年'!R51</f>
        <v>0</v>
      </c>
      <c r="H31" s="8">
        <f>'2023年'!P51+'2023年'!S51</f>
        <v>0</v>
      </c>
      <c r="I31" s="8">
        <f>'2023年'!Q51+'2023年'!T51</f>
        <v>0</v>
      </c>
      <c r="J31" s="9">
        <f>'2023年'!V51</f>
        <v>0</v>
      </c>
      <c r="K31" s="9">
        <f>'2023年'!W51</f>
        <v>0</v>
      </c>
    </row>
    <row r="32" ht="15" spans="1:11">
      <c r="A32" s="4" t="s">
        <v>81</v>
      </c>
      <c r="B32" s="5">
        <f>'2023年'!C52</f>
        <v>0</v>
      </c>
      <c r="C32" s="5" t="str">
        <f>'2023年'!D52</f>
        <v>天津金发新材料有限公司</v>
      </c>
      <c r="D32" s="6">
        <f>SUM(E32:U32)</f>
        <v>0</v>
      </c>
      <c r="E32" s="6"/>
      <c r="F32" s="6"/>
      <c r="G32" s="8">
        <f>'2023年'!O52+'2023年'!R52</f>
        <v>0</v>
      </c>
      <c r="H32" s="8">
        <f>'2023年'!P52+'2023年'!S52</f>
        <v>0</v>
      </c>
      <c r="I32" s="8">
        <f>'2023年'!Q52+'2023年'!T52</f>
        <v>0</v>
      </c>
      <c r="J32" s="9">
        <f>'2023年'!V52</f>
        <v>0</v>
      </c>
      <c r="K32" s="9">
        <f>'2023年'!W52</f>
        <v>0</v>
      </c>
    </row>
  </sheetData>
  <pageMargins left="0.75" right="0.75" top="1" bottom="1" header="0.5" footer="0.5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"/>
  <sheetViews>
    <sheetView workbookViewId="0">
      <pane xSplit="4" ySplit="1" topLeftCell="E2" activePane="bottomRight" state="frozen"/>
      <selection/>
      <selection pane="topRight"/>
      <selection pane="bottomLeft"/>
      <selection pane="bottomRight" activeCell="J20" sqref="J20"/>
    </sheetView>
  </sheetViews>
  <sheetFormatPr defaultColWidth="9" defaultRowHeight="14.4"/>
  <cols>
    <col min="1" max="1" width="7.26851851851852" customWidth="1"/>
    <col min="3" max="3" width="28.2685185185185" customWidth="1"/>
    <col min="4" max="4" width="16.3611111111111" customWidth="1"/>
    <col min="5" max="7" width="19.6296296296296" customWidth="1"/>
    <col min="8" max="16" width="18.4537037037037" customWidth="1"/>
  </cols>
  <sheetData>
    <row r="1" ht="29.15" customHeight="1" spans="1:16">
      <c r="A1" s="1" t="s">
        <v>1</v>
      </c>
      <c r="B1" s="2" t="s">
        <v>2</v>
      </c>
      <c r="C1" s="2" t="s">
        <v>3</v>
      </c>
      <c r="D1" s="2" t="s">
        <v>485</v>
      </c>
      <c r="E1" s="3" t="s">
        <v>486</v>
      </c>
      <c r="F1" s="3" t="s">
        <v>487</v>
      </c>
      <c r="G1" s="3" t="s">
        <v>488</v>
      </c>
      <c r="H1" s="3" t="s">
        <v>489</v>
      </c>
      <c r="I1" s="3" t="s">
        <v>490</v>
      </c>
      <c r="J1" s="3" t="s">
        <v>491</v>
      </c>
      <c r="K1" s="3" t="s">
        <v>492</v>
      </c>
      <c r="L1" s="3" t="s">
        <v>493</v>
      </c>
      <c r="M1" s="3" t="s">
        <v>494</v>
      </c>
      <c r="N1" s="3" t="s">
        <v>495</v>
      </c>
      <c r="O1" s="3" t="s">
        <v>496</v>
      </c>
      <c r="P1" s="3" t="s">
        <v>497</v>
      </c>
    </row>
    <row r="2" ht="17.15" customHeight="1" spans="1:16">
      <c r="A2" s="4" t="s">
        <v>81</v>
      </c>
      <c r="B2" s="5" t="str">
        <f>'2023年'!C5</f>
        <v>1922339</v>
      </c>
      <c r="C2" s="5" t="str">
        <f>'2023年'!D5</f>
        <v>长春市夸克普精汽车电子有限责</v>
      </c>
      <c r="D2" s="6">
        <f>SUM(E2:P2)</f>
        <v>0</v>
      </c>
      <c r="E2" s="7">
        <f>'2023年'!AL5</f>
        <v>0</v>
      </c>
      <c r="F2" s="7">
        <f>'2023年'!AM5</f>
        <v>0</v>
      </c>
      <c r="G2" s="7">
        <f>'2023年'!AN5</f>
        <v>0</v>
      </c>
      <c r="H2" s="7">
        <f>'2023年'!AO5</f>
        <v>0</v>
      </c>
      <c r="I2" s="7">
        <f>'2023年'!AP5</f>
        <v>0</v>
      </c>
      <c r="J2" s="7">
        <f>'2023年'!AQ5</f>
        <v>0</v>
      </c>
      <c r="K2" s="7">
        <f>'2023年'!AR5</f>
        <v>0</v>
      </c>
      <c r="L2" s="7">
        <f>'2023年'!AS5</f>
        <v>0</v>
      </c>
      <c r="M2" s="7">
        <f>'2023年'!AT5</f>
        <v>0</v>
      </c>
      <c r="N2" s="7">
        <f>'2023年'!AU5</f>
        <v>0</v>
      </c>
      <c r="O2" s="7">
        <f>'2023年'!AV5</f>
        <v>0</v>
      </c>
      <c r="P2" s="7">
        <f>'2023年'!AW5</f>
        <v>0</v>
      </c>
    </row>
    <row r="3" ht="17.15" customHeight="1" spans="1:16">
      <c r="A3" s="4" t="s">
        <v>81</v>
      </c>
      <c r="B3" s="5" t="str">
        <f>'2023年'!C6</f>
        <v>1931396A</v>
      </c>
      <c r="C3" s="5" t="str">
        <f>'2023年'!D6</f>
        <v>芜湖卓人汽车配件有限公司</v>
      </c>
      <c r="D3" s="6">
        <f t="shared" ref="D3:D30" si="0">SUM(E3:P3)</f>
        <v>0</v>
      </c>
      <c r="E3" s="7">
        <f>'2023年'!AL6</f>
        <v>0</v>
      </c>
      <c r="F3" s="7">
        <f>'2023年'!AM6</f>
        <v>0</v>
      </c>
      <c r="G3" s="7">
        <f>'2023年'!AN6</f>
        <v>0</v>
      </c>
      <c r="H3" s="7">
        <f>'2023年'!AO6</f>
        <v>0</v>
      </c>
      <c r="I3" s="7">
        <f>'2023年'!AP6</f>
        <v>0</v>
      </c>
      <c r="J3" s="7">
        <f>'2023年'!AQ6</f>
        <v>0</v>
      </c>
      <c r="K3" s="7">
        <f>'2023年'!AR6</f>
        <v>0</v>
      </c>
      <c r="L3" s="7">
        <f>'2023年'!AS6</f>
        <v>0</v>
      </c>
      <c r="M3" s="7">
        <f>'2023年'!AT6</f>
        <v>0</v>
      </c>
      <c r="N3" s="7">
        <f>'2023年'!AU6</f>
        <v>0</v>
      </c>
      <c r="O3" s="7">
        <f>'2023年'!AV6</f>
        <v>0</v>
      </c>
      <c r="P3" s="7">
        <f>'2023年'!AW6</f>
        <v>0</v>
      </c>
    </row>
    <row r="4" ht="17.15" customHeight="1" spans="1:16">
      <c r="A4" s="4" t="s">
        <v>81</v>
      </c>
      <c r="B4" s="5" t="str">
        <f>'2023年'!C7</f>
        <v>1933001</v>
      </c>
      <c r="C4" s="5" t="str">
        <f>'2023年'!D7</f>
        <v>宁波市北仑屹昌机械有限公司</v>
      </c>
      <c r="D4" s="6">
        <f t="shared" si="0"/>
        <v>90000</v>
      </c>
      <c r="E4" s="7">
        <f>'2023年'!AL7</f>
        <v>0</v>
      </c>
      <c r="F4" s="7">
        <f>'2023年'!AM7</f>
        <v>0</v>
      </c>
      <c r="G4" s="7">
        <f>'2023年'!AN7</f>
        <v>60000</v>
      </c>
      <c r="H4" s="7">
        <f>'2023年'!AO7</f>
        <v>0</v>
      </c>
      <c r="I4" s="7">
        <f>'2023年'!AP7</f>
        <v>0</v>
      </c>
      <c r="J4" s="7">
        <f>'2023年'!AQ7</f>
        <v>30000</v>
      </c>
      <c r="K4" s="7">
        <f>'2023年'!AR7</f>
        <v>0</v>
      </c>
      <c r="L4" s="7">
        <f>'2023年'!AS7</f>
        <v>0</v>
      </c>
      <c r="M4" s="7">
        <f>'2023年'!AT7</f>
        <v>0</v>
      </c>
      <c r="N4" s="7">
        <f>'2023年'!AU7</f>
        <v>0</v>
      </c>
      <c r="O4" s="7">
        <f>'2023年'!AV7</f>
        <v>0</v>
      </c>
      <c r="P4" s="7">
        <f>'2023年'!AW7</f>
        <v>0</v>
      </c>
    </row>
    <row r="5" ht="17.15" customHeight="1" spans="1:16">
      <c r="A5" s="4" t="s">
        <v>81</v>
      </c>
      <c r="B5" s="5" t="str">
        <f>'2023年'!C8</f>
        <v>1933361</v>
      </c>
      <c r="C5" s="5" t="str">
        <f>'2023年'!D8</f>
        <v>宁波精成车业有限公司</v>
      </c>
      <c r="D5" s="6">
        <f t="shared" si="0"/>
        <v>935000</v>
      </c>
      <c r="E5" s="7">
        <f>'2023年'!AL8</f>
        <v>375000</v>
      </c>
      <c r="F5" s="7">
        <f>'2023年'!AM8</f>
        <v>340000</v>
      </c>
      <c r="G5" s="7">
        <f>'2023年'!AN8</f>
        <v>220000</v>
      </c>
      <c r="H5" s="7">
        <f>'2023年'!AO8</f>
        <v>0</v>
      </c>
      <c r="I5" s="7">
        <f>'2023年'!AP8</f>
        <v>0</v>
      </c>
      <c r="J5" s="7">
        <f>'2023年'!AQ8</f>
        <v>0</v>
      </c>
      <c r="K5" s="7">
        <f>'2023年'!AR8</f>
        <v>0</v>
      </c>
      <c r="L5" s="7">
        <f>'2023年'!AS8</f>
        <v>0</v>
      </c>
      <c r="M5" s="7">
        <f>'2023年'!AT8</f>
        <v>0</v>
      </c>
      <c r="N5" s="7">
        <f>'2023年'!AU8</f>
        <v>0</v>
      </c>
      <c r="O5" s="7">
        <f>'2023年'!AV8</f>
        <v>0</v>
      </c>
      <c r="P5" s="7">
        <f>'2023年'!AW8</f>
        <v>0</v>
      </c>
    </row>
    <row r="6" ht="17.15" customHeight="1" spans="1:16">
      <c r="A6" s="4" t="s">
        <v>81</v>
      </c>
      <c r="B6" s="5" t="str">
        <f>'2023年'!C9</f>
        <v>1933511</v>
      </c>
      <c r="C6" s="5" t="str">
        <f>'2023年'!D9</f>
        <v>浙江万福机电科技有限公司</v>
      </c>
      <c r="D6" s="6">
        <f t="shared" si="0"/>
        <v>819.02</v>
      </c>
      <c r="E6" s="7">
        <f>'2023年'!AL9</f>
        <v>0</v>
      </c>
      <c r="F6" s="7">
        <f>'2023年'!AM9</f>
        <v>0</v>
      </c>
      <c r="G6" s="7">
        <f>'2023年'!AN9</f>
        <v>0</v>
      </c>
      <c r="H6" s="7">
        <f>'2023年'!AO9</f>
        <v>0</v>
      </c>
      <c r="I6" s="7">
        <f>'2023年'!AP9</f>
        <v>819.02</v>
      </c>
      <c r="J6" s="7">
        <f>'2023年'!AQ9</f>
        <v>0</v>
      </c>
      <c r="K6" s="7">
        <f>'2023年'!AR9</f>
        <v>0</v>
      </c>
      <c r="L6" s="7">
        <f>'2023年'!AS9</f>
        <v>0</v>
      </c>
      <c r="M6" s="7">
        <f>'2023年'!AT9</f>
        <v>0</v>
      </c>
      <c r="N6" s="7">
        <f>'2023年'!AU9</f>
        <v>0</v>
      </c>
      <c r="O6" s="7">
        <f>'2023年'!AV9</f>
        <v>0</v>
      </c>
      <c r="P6" s="7">
        <f>'2023年'!AW9</f>
        <v>0</v>
      </c>
    </row>
    <row r="7" ht="17.15" customHeight="1" spans="1:16">
      <c r="A7" s="4" t="s">
        <v>81</v>
      </c>
      <c r="B7" s="5" t="str">
        <f>'2023年'!C10</f>
        <v>1937045</v>
      </c>
      <c r="C7" s="5" t="str">
        <f>'2023年'!D10</f>
        <v>烟台美龙汽车部件有限公司</v>
      </c>
      <c r="D7" s="6">
        <f t="shared" si="0"/>
        <v>0</v>
      </c>
      <c r="E7" s="7">
        <f>'2023年'!AL10</f>
        <v>0</v>
      </c>
      <c r="F7" s="7">
        <f>'2023年'!AM10</f>
        <v>0</v>
      </c>
      <c r="G7" s="7">
        <f>'2023年'!AN10</f>
        <v>0</v>
      </c>
      <c r="H7" s="7">
        <f>'2023年'!AO10</f>
        <v>0</v>
      </c>
      <c r="I7" s="7">
        <f>'2023年'!AP10</f>
        <v>0</v>
      </c>
      <c r="J7" s="7">
        <f>'2023年'!AQ10</f>
        <v>0</v>
      </c>
      <c r="K7" s="7">
        <f>'2023年'!AR10</f>
        <v>0</v>
      </c>
      <c r="L7" s="7">
        <f>'2023年'!AS10</f>
        <v>0</v>
      </c>
      <c r="M7" s="7">
        <f>'2023年'!AT10</f>
        <v>0</v>
      </c>
      <c r="N7" s="7">
        <f>'2023年'!AU10</f>
        <v>0</v>
      </c>
      <c r="O7" s="7">
        <f>'2023年'!AV10</f>
        <v>0</v>
      </c>
      <c r="P7" s="7">
        <f>'2023年'!AW10</f>
        <v>0</v>
      </c>
    </row>
    <row r="8" ht="17.15" customHeight="1" spans="1:16">
      <c r="A8" s="4" t="s">
        <v>81</v>
      </c>
      <c r="B8" s="5" t="str">
        <f>'2023年'!C11</f>
        <v>L4153</v>
      </c>
      <c r="C8" s="5" t="str">
        <f>'2023年'!D11</f>
        <v>上海发之源电器有限公司</v>
      </c>
      <c r="D8" s="6">
        <f t="shared" si="0"/>
        <v>840975</v>
      </c>
      <c r="E8" s="7">
        <f>'2023年'!AL11</f>
        <v>0</v>
      </c>
      <c r="F8" s="7">
        <f>'2023年'!AM11</f>
        <v>150000</v>
      </c>
      <c r="G8" s="7">
        <f>'2023年'!AN11</f>
        <v>200000</v>
      </c>
      <c r="H8" s="7">
        <f>'2023年'!AO11</f>
        <v>120000</v>
      </c>
      <c r="I8" s="7">
        <f>'2023年'!AP11</f>
        <v>370975</v>
      </c>
      <c r="J8" s="7">
        <f>'2023年'!AQ11</f>
        <v>0</v>
      </c>
      <c r="K8" s="7">
        <f>'2023年'!AR11</f>
        <v>0</v>
      </c>
      <c r="L8" s="7">
        <f>'2023年'!AS11</f>
        <v>0</v>
      </c>
      <c r="M8" s="7">
        <f>'2023年'!AT11</f>
        <v>0</v>
      </c>
      <c r="N8" s="7">
        <f>'2023年'!AU11</f>
        <v>0</v>
      </c>
      <c r="O8" s="7">
        <f>'2023年'!AV11</f>
        <v>0</v>
      </c>
      <c r="P8" s="7">
        <f>'2023年'!AW11</f>
        <v>0</v>
      </c>
    </row>
    <row r="9" ht="17.15" customHeight="1" spans="1:16">
      <c r="A9" s="4" t="s">
        <v>81</v>
      </c>
      <c r="B9" s="5" t="str">
        <f>'2023年'!C12</f>
        <v>L4154</v>
      </c>
      <c r="C9" s="5" t="str">
        <f>'2023年'!D12</f>
        <v>抚州锐而简实业有限公司</v>
      </c>
      <c r="D9" s="6">
        <f t="shared" si="0"/>
        <v>0</v>
      </c>
      <c r="E9" s="7">
        <f>'2023年'!AL12</f>
        <v>0</v>
      </c>
      <c r="F9" s="7">
        <f>'2023年'!AM12</f>
        <v>0</v>
      </c>
      <c r="G9" s="7">
        <f>'2023年'!AN12</f>
        <v>0</v>
      </c>
      <c r="H9" s="7">
        <f>'2023年'!AO12</f>
        <v>0</v>
      </c>
      <c r="I9" s="7">
        <f>'2023年'!AP12</f>
        <v>0</v>
      </c>
      <c r="J9" s="7">
        <f>'2023年'!AQ12</f>
        <v>0</v>
      </c>
      <c r="K9" s="7">
        <f>'2023年'!AR12</f>
        <v>0</v>
      </c>
      <c r="L9" s="7">
        <f>'2023年'!AS12</f>
        <v>0</v>
      </c>
      <c r="M9" s="7">
        <f>'2023年'!AT12</f>
        <v>0</v>
      </c>
      <c r="N9" s="7">
        <f>'2023年'!AU12</f>
        <v>0</v>
      </c>
      <c r="O9" s="7">
        <f>'2023年'!AV12</f>
        <v>0</v>
      </c>
      <c r="P9" s="7">
        <f>'2023年'!AW12</f>
        <v>0</v>
      </c>
    </row>
    <row r="10" ht="17.15" customHeight="1" spans="1:16">
      <c r="A10" s="4" t="s">
        <v>81</v>
      </c>
      <c r="B10" s="5" t="str">
        <f>'2023年'!C13</f>
        <v>L4392</v>
      </c>
      <c r="C10" s="5" t="str">
        <f>'2023年'!D13</f>
        <v>阿诺德紧固件（沈阳）有限公司</v>
      </c>
      <c r="D10" s="6">
        <f t="shared" si="0"/>
        <v>30000</v>
      </c>
      <c r="E10" s="7">
        <f>'2023年'!AL13</f>
        <v>0</v>
      </c>
      <c r="F10" s="7">
        <f>'2023年'!AM13</f>
        <v>0</v>
      </c>
      <c r="G10" s="7">
        <f>'2023年'!AN13</f>
        <v>0</v>
      </c>
      <c r="H10" s="7">
        <f>'2023年'!AO13</f>
        <v>0</v>
      </c>
      <c r="I10" s="7">
        <f>'2023年'!AP13</f>
        <v>30000</v>
      </c>
      <c r="J10" s="7">
        <f>'2023年'!AQ13</f>
        <v>0</v>
      </c>
      <c r="K10" s="7">
        <f>'2023年'!AR13</f>
        <v>0</v>
      </c>
      <c r="L10" s="7">
        <f>'2023年'!AS13</f>
        <v>0</v>
      </c>
      <c r="M10" s="7">
        <f>'2023年'!AT13</f>
        <v>0</v>
      </c>
      <c r="N10" s="7">
        <f>'2023年'!AU13</f>
        <v>0</v>
      </c>
      <c r="O10" s="7">
        <f>'2023年'!AV13</f>
        <v>0</v>
      </c>
      <c r="P10" s="7">
        <f>'2023年'!AW13</f>
        <v>0</v>
      </c>
    </row>
    <row r="11" ht="17.15" customHeight="1" spans="1:16">
      <c r="A11" s="4" t="s">
        <v>81</v>
      </c>
      <c r="B11" s="5" t="str">
        <f>'2023年'!C14</f>
        <v>L4410</v>
      </c>
      <c r="C11" s="5" t="str">
        <f>'2023年'!D14</f>
        <v>上海坤达五金制品有限公司</v>
      </c>
      <c r="D11" s="6">
        <f t="shared" si="0"/>
        <v>0</v>
      </c>
      <c r="E11" s="7">
        <f>'2023年'!AL14</f>
        <v>0</v>
      </c>
      <c r="F11" s="7">
        <f>'2023年'!AM14</f>
        <v>0</v>
      </c>
      <c r="G11" s="7">
        <f>'2023年'!AN14</f>
        <v>0</v>
      </c>
      <c r="H11" s="7">
        <f>'2023年'!AO14</f>
        <v>0</v>
      </c>
      <c r="I11" s="7">
        <f>'2023年'!AP14</f>
        <v>0</v>
      </c>
      <c r="J11" s="7">
        <f>'2023年'!AQ14</f>
        <v>0</v>
      </c>
      <c r="K11" s="7">
        <f>'2023年'!AR14</f>
        <v>0</v>
      </c>
      <c r="L11" s="7">
        <f>'2023年'!AS14</f>
        <v>0</v>
      </c>
      <c r="M11" s="7">
        <f>'2023年'!AT14</f>
        <v>0</v>
      </c>
      <c r="N11" s="7">
        <f>'2023年'!AU14</f>
        <v>0</v>
      </c>
      <c r="O11" s="7">
        <f>'2023年'!AV14</f>
        <v>0</v>
      </c>
      <c r="P11" s="7">
        <f>'2023年'!AW14</f>
        <v>0</v>
      </c>
    </row>
    <row r="12" ht="17.15" customHeight="1" spans="1:16">
      <c r="A12" s="4" t="s">
        <v>81</v>
      </c>
      <c r="B12" s="5" t="str">
        <f>'2023年'!C15</f>
        <v>1932031</v>
      </c>
      <c r="C12" s="5" t="str">
        <f>'2023年'!D15</f>
        <v>江苏海德莱特汽车部件有限公司</v>
      </c>
      <c r="D12" s="6">
        <f t="shared" si="0"/>
        <v>266619.69</v>
      </c>
      <c r="E12" s="7">
        <f>'2023年'!AL15</f>
        <v>21555.34</v>
      </c>
      <c r="F12" s="7">
        <f>'2023年'!AM15</f>
        <v>13548.18</v>
      </c>
      <c r="G12" s="7">
        <f>'2023年'!AN15</f>
        <v>53656.11</v>
      </c>
      <c r="H12" s="7">
        <f>'2023年'!AO15</f>
        <v>89792.92</v>
      </c>
      <c r="I12" s="7">
        <f>'2023年'!AP15</f>
        <v>88067.1400000001</v>
      </c>
      <c r="J12" s="7">
        <f>'2023年'!AQ15</f>
        <v>0</v>
      </c>
      <c r="K12" s="7">
        <f>'2023年'!AR15</f>
        <v>0</v>
      </c>
      <c r="L12" s="7">
        <f>'2023年'!AS15</f>
        <v>0</v>
      </c>
      <c r="M12" s="7">
        <f>'2023年'!AT15</f>
        <v>0</v>
      </c>
      <c r="N12" s="7">
        <f>'2023年'!AU15</f>
        <v>0</v>
      </c>
      <c r="O12" s="7">
        <f>'2023年'!AV15</f>
        <v>0</v>
      </c>
      <c r="P12" s="7">
        <f>'2023年'!AW15</f>
        <v>0</v>
      </c>
    </row>
    <row r="13" ht="17.15" customHeight="1" spans="1:16">
      <c r="A13" s="4" t="s">
        <v>81</v>
      </c>
      <c r="B13" s="5" t="str">
        <f>'2023年'!C16</f>
        <v>L5273</v>
      </c>
      <c r="C13" s="5" t="str">
        <f>'2023年'!D16</f>
        <v>江苏日盈电子股份有限公司</v>
      </c>
      <c r="D13" s="6">
        <f t="shared" si="0"/>
        <v>216170.14</v>
      </c>
      <c r="E13" s="7">
        <f>'2023年'!AL16</f>
        <v>36506.91</v>
      </c>
      <c r="F13" s="7">
        <f>'2023年'!AM16</f>
        <v>60297.9299999999</v>
      </c>
      <c r="G13" s="7">
        <f>'2023年'!AN16</f>
        <v>54555.27</v>
      </c>
      <c r="H13" s="7">
        <f>'2023年'!AO16</f>
        <v>30559.16</v>
      </c>
      <c r="I13" s="7">
        <f>'2023年'!AP16</f>
        <v>34250.8700000001</v>
      </c>
      <c r="J13" s="7">
        <f>'2023年'!AQ16</f>
        <v>0</v>
      </c>
      <c r="K13" s="7">
        <f>'2023年'!AR16</f>
        <v>0</v>
      </c>
      <c r="L13" s="7">
        <f>'2023年'!AS16</f>
        <v>0</v>
      </c>
      <c r="M13" s="7">
        <f>'2023年'!AT16</f>
        <v>0</v>
      </c>
      <c r="N13" s="7">
        <f>'2023年'!AU16</f>
        <v>0</v>
      </c>
      <c r="O13" s="7">
        <f>'2023年'!AV16</f>
        <v>0</v>
      </c>
      <c r="P13" s="7">
        <f>'2023年'!AW16</f>
        <v>0</v>
      </c>
    </row>
    <row r="14" ht="17.15" customHeight="1" spans="1:16">
      <c r="A14" s="4" t="s">
        <v>81</v>
      </c>
      <c r="B14" s="5" t="str">
        <f>'2023年'!C17</f>
        <v>L4437</v>
      </c>
      <c r="C14" s="5" t="str">
        <f>'2023年'!D17</f>
        <v>法雷奥汽车内部控制（深圳）有</v>
      </c>
      <c r="D14" s="6">
        <f t="shared" si="0"/>
        <v>120026.79</v>
      </c>
      <c r="E14" s="7">
        <f>'2023年'!AL17</f>
        <v>120026.79</v>
      </c>
      <c r="F14" s="7">
        <f>'2023年'!AM17</f>
        <v>0</v>
      </c>
      <c r="G14" s="7">
        <f>'2023年'!AN17</f>
        <v>0</v>
      </c>
      <c r="H14" s="7">
        <f>'2023年'!AO17</f>
        <v>0</v>
      </c>
      <c r="I14" s="7">
        <f>'2023年'!AP17</f>
        <v>0</v>
      </c>
      <c r="J14" s="7">
        <f>'2023年'!AQ17</f>
        <v>0</v>
      </c>
      <c r="K14" s="7">
        <f>'2023年'!AR17</f>
        <v>0</v>
      </c>
      <c r="L14" s="7">
        <f>'2023年'!AS17</f>
        <v>0</v>
      </c>
      <c r="M14" s="7">
        <f>'2023年'!AT17</f>
        <v>0</v>
      </c>
      <c r="N14" s="7">
        <f>'2023年'!AU17</f>
        <v>0</v>
      </c>
      <c r="O14" s="7">
        <f>'2023年'!AV17</f>
        <v>0</v>
      </c>
      <c r="P14" s="7">
        <f>'2023年'!AW17</f>
        <v>0</v>
      </c>
    </row>
    <row r="15" ht="17.15" customHeight="1" spans="1:16">
      <c r="A15" s="4" t="s">
        <v>81</v>
      </c>
      <c r="B15" s="5" t="str">
        <f>'2023年'!C18</f>
        <v>L4617</v>
      </c>
      <c r="C15" s="5" t="str">
        <f>'2023年'!D18</f>
        <v>无锡市汇源机械科技有限公司</v>
      </c>
      <c r="D15" s="6">
        <f t="shared" si="0"/>
        <v>100000</v>
      </c>
      <c r="E15" s="7">
        <f>'2023年'!AL18</f>
        <v>0</v>
      </c>
      <c r="F15" s="7">
        <f>'2023年'!AM18</f>
        <v>0</v>
      </c>
      <c r="G15" s="7">
        <f>'2023年'!AN18</f>
        <v>100000</v>
      </c>
      <c r="H15" s="7">
        <f>'2023年'!AO18</f>
        <v>0</v>
      </c>
      <c r="I15" s="7">
        <f>'2023年'!AP18</f>
        <v>0</v>
      </c>
      <c r="J15" s="7">
        <f>'2023年'!AQ18</f>
        <v>0</v>
      </c>
      <c r="K15" s="7">
        <f>'2023年'!AR18</f>
        <v>0</v>
      </c>
      <c r="L15" s="7">
        <f>'2023年'!AS18</f>
        <v>0</v>
      </c>
      <c r="M15" s="7">
        <f>'2023年'!AT18</f>
        <v>0</v>
      </c>
      <c r="N15" s="7">
        <f>'2023年'!AU18</f>
        <v>0</v>
      </c>
      <c r="O15" s="7">
        <f>'2023年'!AV18</f>
        <v>0</v>
      </c>
      <c r="P15" s="7">
        <f>'2023年'!AW18</f>
        <v>0</v>
      </c>
    </row>
    <row r="16" ht="17.15" customHeight="1" spans="1:16">
      <c r="A16" s="4" t="s">
        <v>81</v>
      </c>
      <c r="B16" s="5" t="str">
        <f>'2023年'!C19</f>
        <v>1931679</v>
      </c>
      <c r="C16" s="5" t="str">
        <f>'2023年'!D19</f>
        <v>上海金山张泾五金弹簧有限公司</v>
      </c>
      <c r="D16" s="6">
        <f t="shared" si="0"/>
        <v>0</v>
      </c>
      <c r="E16" s="7">
        <f>'2023年'!AL19</f>
        <v>0</v>
      </c>
      <c r="F16" s="7">
        <f>'2023年'!AM19</f>
        <v>0</v>
      </c>
      <c r="G16" s="7">
        <f>'2023年'!AN19</f>
        <v>0</v>
      </c>
      <c r="H16" s="7">
        <f>'2023年'!AO19</f>
        <v>0</v>
      </c>
      <c r="I16" s="7">
        <f>'2023年'!AP19</f>
        <v>0</v>
      </c>
      <c r="J16" s="7">
        <f>'2023年'!AQ19</f>
        <v>0</v>
      </c>
      <c r="K16" s="7">
        <f>'2023年'!AR19</f>
        <v>0</v>
      </c>
      <c r="L16" s="7">
        <f>'2023年'!AS19</f>
        <v>0</v>
      </c>
      <c r="M16" s="7">
        <f>'2023年'!AT19</f>
        <v>0</v>
      </c>
      <c r="N16" s="7">
        <f>'2023年'!AU19</f>
        <v>0</v>
      </c>
      <c r="O16" s="7">
        <f>'2023年'!AV19</f>
        <v>0</v>
      </c>
      <c r="P16" s="7">
        <f>'2023年'!AW19</f>
        <v>0</v>
      </c>
    </row>
    <row r="17" ht="17.15" customHeight="1" spans="1:16">
      <c r="A17" s="4" t="s">
        <v>81</v>
      </c>
      <c r="B17" s="5" t="str">
        <f>'2023年'!C20</f>
        <v>L4878</v>
      </c>
      <c r="C17" s="5" t="str">
        <f>'2023年'!D20</f>
        <v>江阴宝曼电子科技有限公司</v>
      </c>
      <c r="D17" s="6">
        <f t="shared" si="0"/>
        <v>84649.43</v>
      </c>
      <c r="E17" s="7">
        <f>'2023年'!AL20</f>
        <v>12486.5</v>
      </c>
      <c r="F17" s="7">
        <f>'2023年'!AM20</f>
        <v>0</v>
      </c>
      <c r="G17" s="7">
        <f>'2023年'!AN20</f>
        <v>6611.86</v>
      </c>
      <c r="H17" s="7">
        <f>'2023年'!AO20</f>
        <v>27360.46</v>
      </c>
      <c r="I17" s="7">
        <f>'2023年'!AP20</f>
        <v>38190.61</v>
      </c>
      <c r="J17" s="7">
        <f>'2023年'!AQ20</f>
        <v>0</v>
      </c>
      <c r="K17" s="7">
        <f>'2023年'!AR20</f>
        <v>0</v>
      </c>
      <c r="L17" s="7">
        <f>'2023年'!AS20</f>
        <v>0</v>
      </c>
      <c r="M17" s="7">
        <f>'2023年'!AT20</f>
        <v>0</v>
      </c>
      <c r="N17" s="7">
        <f>'2023年'!AU20</f>
        <v>0</v>
      </c>
      <c r="O17" s="7">
        <f>'2023年'!AV20</f>
        <v>0</v>
      </c>
      <c r="P17" s="7">
        <f>'2023年'!AW20</f>
        <v>0</v>
      </c>
    </row>
    <row r="18" ht="17.15" customHeight="1" spans="1:16">
      <c r="A18" s="4" t="s">
        <v>81</v>
      </c>
      <c r="B18" s="5" t="str">
        <f>'2023年'!C21</f>
        <v>L4749</v>
      </c>
      <c r="C18" s="5" t="str">
        <f>'2023年'!D21</f>
        <v>麦格纳（太仓）汽车科技有限公</v>
      </c>
      <c r="D18" s="6">
        <f t="shared" si="0"/>
        <v>334790.96</v>
      </c>
      <c r="E18" s="7">
        <f>'2023年'!AL21</f>
        <v>0</v>
      </c>
      <c r="F18" s="7">
        <f>'2023年'!AM21</f>
        <v>0</v>
      </c>
      <c r="G18" s="7">
        <f>'2023年'!AN21</f>
        <v>120000</v>
      </c>
      <c r="H18" s="7">
        <f>'2023年'!AO21</f>
        <v>214790.96</v>
      </c>
      <c r="I18" s="7">
        <f>'2023年'!AP21</f>
        <v>0</v>
      </c>
      <c r="J18" s="7">
        <f>'2023年'!AQ21</f>
        <v>0</v>
      </c>
      <c r="K18" s="7">
        <f>'2023年'!AR21</f>
        <v>0</v>
      </c>
      <c r="L18" s="7">
        <f>'2023年'!AS21</f>
        <v>0</v>
      </c>
      <c r="M18" s="7">
        <f>'2023年'!AT21</f>
        <v>0</v>
      </c>
      <c r="N18" s="7">
        <f>'2023年'!AU21</f>
        <v>0</v>
      </c>
      <c r="O18" s="7">
        <f>'2023年'!AV21</f>
        <v>0</v>
      </c>
      <c r="P18" s="7">
        <f>'2023年'!AW21</f>
        <v>0</v>
      </c>
    </row>
    <row r="19" ht="17.15" customHeight="1" spans="1:16">
      <c r="A19" s="4" t="s">
        <v>81</v>
      </c>
      <c r="B19" s="5" t="str">
        <f>'2023年'!C22</f>
        <v>1913023</v>
      </c>
      <c r="C19" s="5" t="str">
        <f>'2023年'!D22</f>
        <v>海兴中盛弹簧制品有限公司</v>
      </c>
      <c r="D19" s="6">
        <f t="shared" si="0"/>
        <v>40000</v>
      </c>
      <c r="E19" s="7">
        <f>'2023年'!AL22</f>
        <v>0</v>
      </c>
      <c r="F19" s="7">
        <f>'2023年'!AM22</f>
        <v>0</v>
      </c>
      <c r="G19" s="7">
        <f>'2023年'!AN22</f>
        <v>0</v>
      </c>
      <c r="H19" s="7">
        <f>'2023年'!AO22</f>
        <v>20000</v>
      </c>
      <c r="I19" s="7">
        <f>'2023年'!AP22</f>
        <v>20000</v>
      </c>
      <c r="J19" s="7">
        <f>'2023年'!AQ22</f>
        <v>0</v>
      </c>
      <c r="K19" s="7">
        <f>'2023年'!AR22</f>
        <v>0</v>
      </c>
      <c r="L19" s="7">
        <f>'2023年'!AS22</f>
        <v>0</v>
      </c>
      <c r="M19" s="7">
        <f>'2023年'!AT22</f>
        <v>0</v>
      </c>
      <c r="N19" s="7">
        <f>'2023年'!AU22</f>
        <v>0</v>
      </c>
      <c r="O19" s="7">
        <f>'2023年'!AV22</f>
        <v>0</v>
      </c>
      <c r="P19" s="7">
        <f>'2023年'!AW22</f>
        <v>0</v>
      </c>
    </row>
    <row r="20" ht="17.15" customHeight="1" spans="1:16">
      <c r="A20" s="4" t="s">
        <v>81</v>
      </c>
      <c r="B20" s="5" t="str">
        <f>'2023年'!C23</f>
        <v>1951035</v>
      </c>
      <c r="C20" s="5" t="str">
        <f>'2023年'!D23</f>
        <v>长春力登维科技产业有限公司成</v>
      </c>
      <c r="D20" s="6">
        <f t="shared" si="0"/>
        <v>25391</v>
      </c>
      <c r="E20" s="7">
        <f>'2023年'!AL23</f>
        <v>0</v>
      </c>
      <c r="F20" s="7">
        <f>'2023年'!AM23</f>
        <v>0</v>
      </c>
      <c r="G20" s="7">
        <f>'2023年'!AN23</f>
        <v>0</v>
      </c>
      <c r="H20" s="7">
        <f>'2023年'!AO23</f>
        <v>0</v>
      </c>
      <c r="I20" s="7">
        <f>'2023年'!AP23</f>
        <v>25391</v>
      </c>
      <c r="J20" s="7">
        <f>'2023年'!AQ23</f>
        <v>0</v>
      </c>
      <c r="K20" s="7">
        <f>'2023年'!AR23</f>
        <v>0</v>
      </c>
      <c r="L20" s="7">
        <f>'2023年'!AS23</f>
        <v>0</v>
      </c>
      <c r="M20" s="7">
        <f>'2023年'!AT23</f>
        <v>0</v>
      </c>
      <c r="N20" s="7">
        <f>'2023年'!AU23</f>
        <v>0</v>
      </c>
      <c r="O20" s="7">
        <f>'2023年'!AV23</f>
        <v>0</v>
      </c>
      <c r="P20" s="7">
        <f>'2023年'!AW23</f>
        <v>0</v>
      </c>
    </row>
    <row r="21" ht="17.15" customHeight="1" spans="1:16">
      <c r="A21" s="4" t="s">
        <v>81</v>
      </c>
      <c r="B21" s="5" t="str">
        <f>'2023年'!C24</f>
        <v>1951047</v>
      </c>
      <c r="C21" s="5" t="str">
        <f>'2023年'!D24</f>
        <v>上海中鹏岳博实业发展有限公司</v>
      </c>
      <c r="D21" s="6">
        <f t="shared" si="0"/>
        <v>0</v>
      </c>
      <c r="E21" s="7">
        <f>'2023年'!AL24</f>
        <v>0</v>
      </c>
      <c r="F21" s="7">
        <f>'2023年'!AM24</f>
        <v>0</v>
      </c>
      <c r="G21" s="7">
        <f>'2023年'!AN24</f>
        <v>0</v>
      </c>
      <c r="H21" s="7">
        <f>'2023年'!AO24</f>
        <v>0</v>
      </c>
      <c r="I21" s="7">
        <f>'2023年'!AP24</f>
        <v>0</v>
      </c>
      <c r="J21" s="7">
        <f>'2023年'!AQ24</f>
        <v>0</v>
      </c>
      <c r="K21" s="7">
        <f>'2023年'!AR24</f>
        <v>0</v>
      </c>
      <c r="L21" s="7">
        <f>'2023年'!AS24</f>
        <v>0</v>
      </c>
      <c r="M21" s="7">
        <f>'2023年'!AT24</f>
        <v>0</v>
      </c>
      <c r="N21" s="7">
        <f>'2023年'!AU24</f>
        <v>0</v>
      </c>
      <c r="O21" s="7">
        <f>'2023年'!AV24</f>
        <v>0</v>
      </c>
      <c r="P21" s="7">
        <f>'2023年'!AW24</f>
        <v>0</v>
      </c>
    </row>
    <row r="22" ht="17.15" customHeight="1" spans="1:16">
      <c r="A22" s="4" t="s">
        <v>81</v>
      </c>
      <c r="B22" s="5" t="str">
        <f>'2023年'!C25</f>
        <v>1922009</v>
      </c>
      <c r="C22" s="5" t="str">
        <f>'2023年'!D25</f>
        <v>长春鸿德汽车照明有限公司</v>
      </c>
      <c r="D22" s="6">
        <f t="shared" si="0"/>
        <v>1180377.44</v>
      </c>
      <c r="E22" s="7">
        <f>'2023年'!AL25</f>
        <v>110000</v>
      </c>
      <c r="F22" s="7">
        <f>'2023年'!AM25</f>
        <v>0</v>
      </c>
      <c r="G22" s="7">
        <f>'2023年'!AN25</f>
        <v>1000000</v>
      </c>
      <c r="H22" s="7">
        <f>'2023年'!AO25</f>
        <v>70377.44</v>
      </c>
      <c r="I22" s="7">
        <f>'2023年'!AP25</f>
        <v>0</v>
      </c>
      <c r="J22" s="7">
        <f>'2023年'!AQ25</f>
        <v>0</v>
      </c>
      <c r="K22" s="7">
        <f>'2023年'!AR25</f>
        <v>0</v>
      </c>
      <c r="L22" s="7">
        <f>'2023年'!AS25</f>
        <v>0</v>
      </c>
      <c r="M22" s="7">
        <f>'2023年'!AT25</f>
        <v>0</v>
      </c>
      <c r="N22" s="7">
        <f>'2023年'!AU25</f>
        <v>0</v>
      </c>
      <c r="O22" s="7">
        <f>'2023年'!AV25</f>
        <v>0</v>
      </c>
      <c r="P22" s="7">
        <f>'2023年'!AW25</f>
        <v>0</v>
      </c>
    </row>
    <row r="23" ht="17.15" customHeight="1" spans="1:16">
      <c r="A23" s="4" t="s">
        <v>81</v>
      </c>
      <c r="B23" s="5" t="str">
        <f>'2023年'!C26</f>
        <v>1931704</v>
      </c>
      <c r="C23" s="5" t="str">
        <f>'2023年'!D26</f>
        <v>上海努辰金属制品有限公司</v>
      </c>
      <c r="D23" s="6">
        <f t="shared" si="0"/>
        <v>38399.46</v>
      </c>
      <c r="E23" s="7">
        <f>'2023年'!AL26</f>
        <v>0</v>
      </c>
      <c r="F23" s="7">
        <f>'2023年'!AM26</f>
        <v>0</v>
      </c>
      <c r="G23" s="7">
        <f>'2023年'!AN26</f>
        <v>23000</v>
      </c>
      <c r="H23" s="7">
        <f>'2023年'!AO26</f>
        <v>0</v>
      </c>
      <c r="I23" s="7">
        <f>'2023年'!AP26</f>
        <v>15399.46</v>
      </c>
      <c r="J23" s="7">
        <f>'2023年'!AQ26</f>
        <v>0</v>
      </c>
      <c r="K23" s="7">
        <f>'2023年'!AR26</f>
        <v>0</v>
      </c>
      <c r="L23" s="7">
        <f>'2023年'!AS26</f>
        <v>0</v>
      </c>
      <c r="M23" s="7">
        <f>'2023年'!AT26</f>
        <v>0</v>
      </c>
      <c r="N23" s="7">
        <f>'2023年'!AU26</f>
        <v>0</v>
      </c>
      <c r="O23" s="7">
        <f>'2023年'!AV26</f>
        <v>0</v>
      </c>
      <c r="P23" s="7">
        <f>'2023年'!AW26</f>
        <v>0</v>
      </c>
    </row>
    <row r="24" ht="17.15" customHeight="1" spans="1:16">
      <c r="A24" s="4" t="s">
        <v>81</v>
      </c>
      <c r="B24" s="5" t="str">
        <f>'2023年'!C27</f>
        <v>L5389</v>
      </c>
      <c r="C24" s="5" t="str">
        <f>'2023年'!D27</f>
        <v>上海博迩森汽车部件有限公司</v>
      </c>
      <c r="D24" s="6">
        <f t="shared" si="0"/>
        <v>294732.84</v>
      </c>
      <c r="E24" s="7">
        <f>'2023年'!AL27</f>
        <v>270324.84</v>
      </c>
      <c r="F24" s="7">
        <f>'2023年'!AM27</f>
        <v>0</v>
      </c>
      <c r="G24" s="7">
        <f>'2023年'!AN27</f>
        <v>0</v>
      </c>
      <c r="H24" s="7">
        <f>'2023年'!AO27</f>
        <v>24408</v>
      </c>
      <c r="I24" s="7">
        <f>'2023年'!AP27</f>
        <v>0</v>
      </c>
      <c r="J24" s="7">
        <f>'2023年'!AQ27</f>
        <v>0</v>
      </c>
      <c r="K24" s="7">
        <f>'2023年'!AR27</f>
        <v>0</v>
      </c>
      <c r="L24" s="7">
        <f>'2023年'!AS27</f>
        <v>0</v>
      </c>
      <c r="M24" s="7">
        <f>'2023年'!AT27</f>
        <v>0</v>
      </c>
      <c r="N24" s="7">
        <f>'2023年'!AU27</f>
        <v>0</v>
      </c>
      <c r="O24" s="7">
        <f>'2023年'!AV27</f>
        <v>0</v>
      </c>
      <c r="P24" s="7">
        <f>'2023年'!AW27</f>
        <v>0</v>
      </c>
    </row>
    <row r="25" ht="17.15" customHeight="1" spans="1:16">
      <c r="A25" s="4" t="s">
        <v>81</v>
      </c>
      <c r="B25" s="5" t="str">
        <f>'2023年'!C28</f>
        <v>1944520</v>
      </c>
      <c r="C25" s="5" t="str">
        <f>'2023年'!D28</f>
        <v>中山市华胜汽车部件有限公司</v>
      </c>
      <c r="D25" s="6">
        <f t="shared" si="0"/>
        <v>0</v>
      </c>
      <c r="E25" s="7">
        <f>'2023年'!AL28</f>
        <v>0</v>
      </c>
      <c r="F25" s="7">
        <f>'2023年'!AM28</f>
        <v>0</v>
      </c>
      <c r="G25" s="7">
        <f>'2023年'!AN28</f>
        <v>0</v>
      </c>
      <c r="H25" s="7">
        <f>'2023年'!AO28</f>
        <v>0</v>
      </c>
      <c r="I25" s="7">
        <f>'2023年'!AP28</f>
        <v>0</v>
      </c>
      <c r="J25" s="7">
        <f>'2023年'!AQ28</f>
        <v>0</v>
      </c>
      <c r="K25" s="7">
        <f>'2023年'!AR28</f>
        <v>0</v>
      </c>
      <c r="L25" s="7">
        <f>'2023年'!AS28</f>
        <v>0</v>
      </c>
      <c r="M25" s="7">
        <f>'2023年'!AT28</f>
        <v>0</v>
      </c>
      <c r="N25" s="7">
        <f>'2023年'!AU28</f>
        <v>0</v>
      </c>
      <c r="O25" s="7">
        <f>'2023年'!AV28</f>
        <v>0</v>
      </c>
      <c r="P25" s="7">
        <f>'2023年'!AW28</f>
        <v>0</v>
      </c>
    </row>
    <row r="26" ht="17.15" customHeight="1" spans="1:16">
      <c r="A26" s="4"/>
      <c r="B26" s="5">
        <f>'2023年'!C29</f>
        <v>0</v>
      </c>
      <c r="C26" s="5" t="str">
        <f>'2023年'!D29</f>
        <v>泉州市福兴塑料五金有限公司</v>
      </c>
      <c r="D26" s="6">
        <f t="shared" si="0"/>
        <v>39790.82</v>
      </c>
      <c r="E26" s="7">
        <f>'2023年'!AL29</f>
        <v>0</v>
      </c>
      <c r="F26" s="7">
        <f>'2023年'!AM29</f>
        <v>19790.82</v>
      </c>
      <c r="G26" s="7">
        <f>'2023年'!AN29</f>
        <v>0</v>
      </c>
      <c r="H26" s="7">
        <f>'2023年'!AO29</f>
        <v>0</v>
      </c>
      <c r="I26" s="7">
        <f>'2023年'!AP29</f>
        <v>20000</v>
      </c>
      <c r="J26" s="7">
        <f>'2023年'!AQ29</f>
        <v>0</v>
      </c>
      <c r="K26" s="7">
        <f>'2023年'!AR29</f>
        <v>0</v>
      </c>
      <c r="L26" s="7">
        <f>'2023年'!AS29</f>
        <v>0</v>
      </c>
      <c r="M26" s="7">
        <f>'2023年'!AT29</f>
        <v>0</v>
      </c>
      <c r="N26" s="7">
        <f>'2023年'!AU29</f>
        <v>0</v>
      </c>
      <c r="O26" s="7">
        <f>'2023年'!AV29</f>
        <v>0</v>
      </c>
      <c r="P26" s="7">
        <f>'2023年'!AW29</f>
        <v>0</v>
      </c>
    </row>
    <row r="27" ht="17.15" customHeight="1" spans="1:16">
      <c r="A27" s="4"/>
      <c r="B27" s="5">
        <f>'2023年'!C30</f>
        <v>0</v>
      </c>
      <c r="C27" s="5" t="str">
        <f>'2023年'!D30</f>
        <v>西安光华荣昌汽车部件有限公司</v>
      </c>
      <c r="D27" s="6">
        <f t="shared" si="0"/>
        <v>169200</v>
      </c>
      <c r="E27" s="7">
        <f>'2023年'!AL30</f>
        <v>0</v>
      </c>
      <c r="F27" s="7">
        <f>'2023年'!AM30</f>
        <v>160000</v>
      </c>
      <c r="G27" s="7">
        <f>'2023年'!AN30</f>
        <v>9200</v>
      </c>
      <c r="H27" s="7">
        <f>'2023年'!AO30</f>
        <v>0</v>
      </c>
      <c r="I27" s="7">
        <f>'2023年'!AP30</f>
        <v>0</v>
      </c>
      <c r="J27" s="7">
        <f>'2023年'!AQ30</f>
        <v>0</v>
      </c>
      <c r="K27" s="7">
        <f>'2023年'!AR30</f>
        <v>0</v>
      </c>
      <c r="L27" s="7">
        <f>'2023年'!AS30</f>
        <v>0</v>
      </c>
      <c r="M27" s="7">
        <f>'2023年'!AT30</f>
        <v>0</v>
      </c>
      <c r="N27" s="7">
        <f>'2023年'!AU30</f>
        <v>0</v>
      </c>
      <c r="O27" s="7">
        <f>'2023年'!AV30</f>
        <v>0</v>
      </c>
      <c r="P27" s="7">
        <f>'2023年'!AW30</f>
        <v>0</v>
      </c>
    </row>
    <row r="28" ht="17.15" customHeight="1" spans="1:16">
      <c r="A28" s="4"/>
      <c r="B28" s="5">
        <f>'2023年'!C31</f>
        <v>0</v>
      </c>
      <c r="C28" s="5" t="str">
        <f>'2023年'!D31</f>
        <v>西安海容塑料制品有限责任公司</v>
      </c>
      <c r="D28" s="6">
        <f t="shared" si="0"/>
        <v>0</v>
      </c>
      <c r="E28" s="7">
        <f>'2023年'!AL31</f>
        <v>0</v>
      </c>
      <c r="F28" s="7">
        <f>'2023年'!AM31</f>
        <v>0</v>
      </c>
      <c r="G28" s="7">
        <f>'2023年'!AN31</f>
        <v>0</v>
      </c>
      <c r="H28" s="7">
        <f>'2023年'!AO31</f>
        <v>0</v>
      </c>
      <c r="I28" s="7">
        <f>'2023年'!AP31</f>
        <v>0</v>
      </c>
      <c r="J28" s="7">
        <f>'2023年'!AQ31</f>
        <v>0</v>
      </c>
      <c r="K28" s="7">
        <f>'2023年'!AR31</f>
        <v>0</v>
      </c>
      <c r="L28" s="7">
        <f>'2023年'!AS31</f>
        <v>0</v>
      </c>
      <c r="M28" s="7">
        <f>'2023年'!AT31</f>
        <v>0</v>
      </c>
      <c r="N28" s="7">
        <f>'2023年'!AU31</f>
        <v>0</v>
      </c>
      <c r="O28" s="7">
        <f>'2023年'!AV31</f>
        <v>0</v>
      </c>
      <c r="P28" s="7">
        <f>'2023年'!AW31</f>
        <v>0</v>
      </c>
    </row>
    <row r="29" ht="17.15" customHeight="1" spans="1:16">
      <c r="A29" s="4"/>
      <c r="B29" s="5" t="str">
        <f>'2023年'!C32</f>
        <v>1932034</v>
      </c>
      <c r="C29" s="5" t="str">
        <f>'2023年'!D32</f>
        <v>江苏福美汽车镜有限公司</v>
      </c>
      <c r="D29" s="6">
        <f t="shared" si="0"/>
        <v>0</v>
      </c>
      <c r="E29" s="7">
        <f>'2023年'!AL32</f>
        <v>0</v>
      </c>
      <c r="F29" s="7">
        <f>'2023年'!AM32</f>
        <v>0</v>
      </c>
      <c r="G29" s="7">
        <f>'2023年'!AN32</f>
        <v>0</v>
      </c>
      <c r="H29" s="7">
        <f>'2023年'!AO32</f>
        <v>0</v>
      </c>
      <c r="I29" s="7">
        <f>'2023年'!AP32</f>
        <v>0</v>
      </c>
      <c r="J29" s="7">
        <f>'2023年'!AQ32</f>
        <v>0</v>
      </c>
      <c r="K29" s="7">
        <f>'2023年'!AR32</f>
        <v>0</v>
      </c>
      <c r="L29" s="7">
        <f>'2023年'!AS32</f>
        <v>0</v>
      </c>
      <c r="M29" s="7">
        <f>'2023年'!AT32</f>
        <v>0</v>
      </c>
      <c r="N29" s="7">
        <f>'2023年'!AU32</f>
        <v>0</v>
      </c>
      <c r="O29" s="7">
        <f>'2023年'!AV32</f>
        <v>0</v>
      </c>
      <c r="P29" s="7">
        <f>'2023年'!AW32</f>
        <v>0</v>
      </c>
    </row>
    <row r="30" ht="17.15" customHeight="1" spans="1:16">
      <c r="A30" s="4" t="s">
        <v>81</v>
      </c>
      <c r="B30" s="5" t="str">
        <f>'2023年'!C33</f>
        <v>1913037</v>
      </c>
      <c r="C30" s="5" t="str">
        <f>'2023年'!D33</f>
        <v>河北光华荣昌汽车部件有限公司</v>
      </c>
      <c r="D30" s="6">
        <f t="shared" si="0"/>
        <v>426130.01</v>
      </c>
      <c r="E30" s="7">
        <f>'2023年'!AL33</f>
        <v>-755026.79</v>
      </c>
      <c r="F30" s="7">
        <f>'2023年'!AM33</f>
        <v>311000</v>
      </c>
      <c r="G30" s="7">
        <f>'2023年'!AN33</f>
        <v>-375000</v>
      </c>
      <c r="H30" s="7">
        <f>'2023年'!AO33</f>
        <v>180000</v>
      </c>
      <c r="I30" s="7">
        <f>'2023年'!AP33</f>
        <v>1053150.68</v>
      </c>
      <c r="J30" s="7">
        <f>'2023年'!AQ33</f>
        <v>12006.12</v>
      </c>
      <c r="K30" s="7">
        <f>'2023年'!AR33</f>
        <v>0</v>
      </c>
      <c r="L30" s="7">
        <f>'2023年'!AS33</f>
        <v>0</v>
      </c>
      <c r="M30" s="7">
        <f>'2023年'!AT33</f>
        <v>0</v>
      </c>
      <c r="N30" s="7">
        <f>'2023年'!AU33</f>
        <v>0</v>
      </c>
      <c r="O30" s="7">
        <f>'2023年'!AV33</f>
        <v>0</v>
      </c>
      <c r="P30" s="7">
        <f>'2023年'!AW33</f>
        <v>0</v>
      </c>
    </row>
    <row r="31" ht="15" spans="2:16">
      <c r="B31" s="5"/>
      <c r="C31" s="5"/>
      <c r="E31" s="7">
        <f>'2023年'!AL51</f>
        <v>0</v>
      </c>
      <c r="F31" s="7">
        <f>'2023年'!AM51</f>
        <v>0</v>
      </c>
      <c r="G31" s="7">
        <f>'2023年'!AN51</f>
        <v>0</v>
      </c>
      <c r="H31" s="7">
        <f>'2023年'!AO51</f>
        <v>0</v>
      </c>
      <c r="I31" s="7">
        <f>'2023年'!AP51</f>
        <v>0</v>
      </c>
      <c r="J31" s="7">
        <f>'2023年'!AQ51</f>
        <v>0</v>
      </c>
      <c r="K31" s="7">
        <f>'2023年'!AR51</f>
        <v>0</v>
      </c>
      <c r="L31" s="7">
        <f>'2023年'!AS51</f>
        <v>0</v>
      </c>
      <c r="M31" s="7">
        <f>'2023年'!AT51</f>
        <v>0</v>
      </c>
      <c r="N31" s="7">
        <f>'2023年'!AU51</f>
        <v>0</v>
      </c>
      <c r="O31" s="7">
        <f>'2023年'!AV51</f>
        <v>0</v>
      </c>
      <c r="P31" s="7">
        <f>'2023年'!AW51</f>
        <v>0</v>
      </c>
    </row>
    <row r="32" ht="15" spans="2:3">
      <c r="B32" s="5"/>
      <c r="C32" s="5"/>
    </row>
  </sheetData>
  <conditionalFormatting sqref="C1:D1">
    <cfRule type="duplicateValues" dxfId="0" priority="12"/>
    <cfRule type="duplicateValues" dxfId="0" priority="13"/>
  </conditionalFormatting>
  <conditionalFormatting sqref="B2:C32">
    <cfRule type="duplicateValues" dxfId="0" priority="5"/>
    <cfRule type="duplicateValues" dxfId="0" priority="11"/>
  </conditionalFormatting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Y103"/>
  <sheetViews>
    <sheetView zoomScale="89" zoomScaleNormal="89" workbookViewId="0">
      <pane xSplit="46" ySplit="4" topLeftCell="CH5" activePane="bottomRight" state="frozen"/>
      <selection/>
      <selection pane="topRight"/>
      <selection pane="bottomLeft"/>
      <selection pane="bottomRight" activeCell="CV28" sqref="CV28"/>
    </sheetView>
  </sheetViews>
  <sheetFormatPr defaultColWidth="8" defaultRowHeight="15"/>
  <cols>
    <col min="1" max="1" width="1.4537037037037" style="22" customWidth="1"/>
    <col min="2" max="2" width="7.09259259259259" style="23" customWidth="1"/>
    <col min="3" max="3" width="10.6296296296296" style="22" customWidth="1"/>
    <col min="4" max="4" width="27.3611111111111" style="24" customWidth="1"/>
    <col min="5" max="8" width="13.7222222222222" style="22" hidden="1" customWidth="1"/>
    <col min="9" max="17" width="15" style="22" hidden="1" customWidth="1"/>
    <col min="18" max="22" width="13.7222222222222" style="22" hidden="1" customWidth="1"/>
    <col min="23" max="26" width="12.9074074074074" style="22" hidden="1" customWidth="1"/>
    <col min="27" max="27" width="13.7222222222222" style="22" hidden="1" customWidth="1"/>
    <col min="28" max="28" width="11.2685185185185" style="22" hidden="1" customWidth="1"/>
    <col min="29" max="34" width="12" style="22" hidden="1" customWidth="1"/>
    <col min="35" max="37" width="13" style="111" hidden="1" customWidth="1"/>
    <col min="38" max="38" width="13.3611111111111" style="111" hidden="1" customWidth="1"/>
    <col min="39" max="39" width="13.0925925925926" style="111" hidden="1" customWidth="1"/>
    <col min="40" max="41" width="13" style="111" hidden="1" customWidth="1"/>
    <col min="42" max="46" width="13.2685185185185" style="111" hidden="1" customWidth="1"/>
    <col min="47" max="47" width="13.2685185185185" style="111" customWidth="1"/>
    <col min="48" max="48" width="13.2685185185185" style="210" hidden="1" customWidth="1"/>
    <col min="49" max="55" width="13.2685185185185" style="111" hidden="1" customWidth="1"/>
    <col min="56" max="56" width="12.9074074074074" style="111" hidden="1" customWidth="1"/>
    <col min="57" max="58" width="14.2685185185185" style="111" hidden="1" customWidth="1"/>
    <col min="59" max="59" width="13.6296296296296" style="111" hidden="1" customWidth="1"/>
    <col min="60" max="77" width="14.2685185185185" style="111" customWidth="1"/>
    <col min="78" max="78" width="14.4537037037037" style="111" customWidth="1"/>
    <col min="79" max="79" width="1.62962962962963" style="111" hidden="1" customWidth="1"/>
    <col min="80" max="80" width="2" style="111" hidden="1" customWidth="1"/>
    <col min="81" max="81" width="3.72222222222222" style="22" hidden="1" customWidth="1"/>
    <col min="82" max="82" width="0.907407407407407" style="22" hidden="1" customWidth="1"/>
    <col min="83" max="83" width="5.26851851851852" style="22" customWidth="1"/>
    <col min="84" max="84" width="4.4537037037037" style="22" customWidth="1"/>
    <col min="85" max="85" width="4.90740740740741" style="22" customWidth="1"/>
    <col min="86" max="86" width="15" style="112" customWidth="1"/>
    <col min="87" max="87" width="9.4537037037037" style="112" hidden="1" customWidth="1"/>
    <col min="88" max="88" width="16.3611111111111" style="112" customWidth="1"/>
    <col min="89" max="99" width="13" style="112" customWidth="1"/>
    <col min="100" max="101" width="15.7222222222222" style="22" customWidth="1"/>
    <col min="102" max="102" width="8" style="22"/>
    <col min="103" max="103" width="15.2685185185185" style="22" customWidth="1"/>
    <col min="104" max="16384" width="8" style="22"/>
  </cols>
  <sheetData>
    <row r="1" ht="21" customHeight="1" spans="2:101">
      <c r="B1" s="113" t="s">
        <v>157</v>
      </c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244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  <c r="BU1" s="115"/>
      <c r="BV1" s="115"/>
      <c r="BW1" s="115"/>
      <c r="BX1" s="115"/>
      <c r="BY1" s="115"/>
      <c r="BZ1" s="115"/>
      <c r="CA1" s="115"/>
      <c r="CB1" s="115"/>
      <c r="CC1" s="114"/>
      <c r="CD1" s="114"/>
      <c r="CE1" s="114"/>
      <c r="CF1" s="114"/>
      <c r="CG1" s="114"/>
      <c r="CH1" s="115"/>
      <c r="CI1" s="115"/>
      <c r="CJ1" s="115"/>
      <c r="CK1" s="115"/>
      <c r="CL1" s="115"/>
      <c r="CM1" s="115"/>
      <c r="CN1" s="115"/>
      <c r="CO1" s="115"/>
      <c r="CP1" s="115"/>
      <c r="CQ1" s="115"/>
      <c r="CR1" s="115"/>
      <c r="CS1" s="115"/>
      <c r="CT1" s="115"/>
      <c r="CU1" s="115"/>
      <c r="CV1" s="114"/>
      <c r="CW1" s="114"/>
    </row>
    <row r="2" ht="18" customHeight="1" spans="2:101">
      <c r="B2" s="211" t="s">
        <v>1</v>
      </c>
      <c r="C2" s="212" t="s">
        <v>2</v>
      </c>
      <c r="D2" s="212" t="s">
        <v>3</v>
      </c>
      <c r="E2" s="213" t="s">
        <v>4</v>
      </c>
      <c r="F2" s="213" t="s">
        <v>5</v>
      </c>
      <c r="G2" s="213" t="s">
        <v>6</v>
      </c>
      <c r="H2" s="213" t="s">
        <v>7</v>
      </c>
      <c r="I2" s="213" t="s">
        <v>8</v>
      </c>
      <c r="J2" s="213" t="s">
        <v>9</v>
      </c>
      <c r="K2" s="213" t="s">
        <v>10</v>
      </c>
      <c r="L2" s="213" t="s">
        <v>11</v>
      </c>
      <c r="M2" s="213" t="s">
        <v>12</v>
      </c>
      <c r="N2" s="213" t="s">
        <v>13</v>
      </c>
      <c r="O2" s="213" t="s">
        <v>14</v>
      </c>
      <c r="P2" s="213" t="s">
        <v>15</v>
      </c>
      <c r="Q2" s="213" t="s">
        <v>16</v>
      </c>
      <c r="R2" s="213" t="s">
        <v>17</v>
      </c>
      <c r="S2" s="213" t="s">
        <v>18</v>
      </c>
      <c r="T2" s="213" t="s">
        <v>19</v>
      </c>
      <c r="U2" s="213" t="s">
        <v>20</v>
      </c>
      <c r="V2" s="213" t="s">
        <v>21</v>
      </c>
      <c r="W2" s="213" t="s">
        <v>22</v>
      </c>
      <c r="X2" s="213" t="s">
        <v>23</v>
      </c>
      <c r="Y2" s="213" t="s">
        <v>24</v>
      </c>
      <c r="Z2" s="213" t="s">
        <v>25</v>
      </c>
      <c r="AA2" s="213" t="s">
        <v>26</v>
      </c>
      <c r="AB2" s="238" t="s">
        <v>27</v>
      </c>
      <c r="AC2" s="238" t="s">
        <v>28</v>
      </c>
      <c r="AD2" s="238" t="s">
        <v>29</v>
      </c>
      <c r="AE2" s="238" t="s">
        <v>30</v>
      </c>
      <c r="AF2" s="238" t="s">
        <v>31</v>
      </c>
      <c r="AG2" s="238" t="s">
        <v>32</v>
      </c>
      <c r="AH2" s="242" t="s">
        <v>33</v>
      </c>
      <c r="AI2" s="152"/>
      <c r="AJ2" s="152"/>
      <c r="AK2" s="152"/>
      <c r="AL2" s="152"/>
      <c r="AM2" s="152"/>
      <c r="AN2" s="152"/>
      <c r="AO2" s="152"/>
      <c r="AP2" s="152"/>
      <c r="AQ2" s="152"/>
      <c r="AR2" s="152"/>
      <c r="AS2" s="152"/>
      <c r="AT2" s="152"/>
      <c r="AU2" s="152"/>
      <c r="AV2" s="245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247"/>
      <c r="BH2" s="247"/>
      <c r="BI2" s="247"/>
      <c r="BJ2" s="247"/>
      <c r="BK2" s="247"/>
      <c r="BL2" s="247"/>
      <c r="BM2" s="247"/>
      <c r="BN2" s="247"/>
      <c r="BO2" s="247"/>
      <c r="BP2" s="247"/>
      <c r="BQ2" s="247"/>
      <c r="BR2" s="247"/>
      <c r="BS2" s="247"/>
      <c r="BT2" s="247"/>
      <c r="BU2" s="247"/>
      <c r="BV2" s="247"/>
      <c r="BW2" s="247"/>
      <c r="BX2" s="247"/>
      <c r="BY2" s="247"/>
      <c r="BZ2" s="152"/>
      <c r="CA2" s="247" t="s">
        <v>34</v>
      </c>
      <c r="CB2" s="247"/>
      <c r="CC2" s="212" t="s">
        <v>35</v>
      </c>
      <c r="CD2" s="212" t="s">
        <v>36</v>
      </c>
      <c r="CE2" s="64" t="s">
        <v>37</v>
      </c>
      <c r="CF2" s="64"/>
      <c r="CG2" s="64"/>
      <c r="CH2" s="247"/>
      <c r="CI2" s="247"/>
      <c r="CJ2" s="152" t="s">
        <v>38</v>
      </c>
      <c r="CK2" s="152" t="s">
        <v>158</v>
      </c>
      <c r="CL2" s="152" t="s">
        <v>159</v>
      </c>
      <c r="CM2" s="152" t="s">
        <v>160</v>
      </c>
      <c r="CN2" s="152" t="s">
        <v>161</v>
      </c>
      <c r="CO2" s="152" t="s">
        <v>162</v>
      </c>
      <c r="CP2" s="152" t="s">
        <v>163</v>
      </c>
      <c r="CQ2" s="152" t="s">
        <v>164</v>
      </c>
      <c r="CR2" s="152" t="s">
        <v>165</v>
      </c>
      <c r="CS2" s="152" t="s">
        <v>166</v>
      </c>
      <c r="CT2" s="152" t="s">
        <v>167</v>
      </c>
      <c r="CU2" s="152" t="s">
        <v>39</v>
      </c>
      <c r="CV2" s="284" t="s">
        <v>168</v>
      </c>
      <c r="CW2" s="285" t="s">
        <v>41</v>
      </c>
    </row>
    <row r="3" ht="31.5" customHeight="1" spans="2:101">
      <c r="B3" s="214"/>
      <c r="C3" s="215"/>
      <c r="D3" s="215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39"/>
      <c r="AC3" s="239"/>
      <c r="AD3" s="239"/>
      <c r="AE3" s="240"/>
      <c r="AF3" s="240"/>
      <c r="AG3" s="240"/>
      <c r="AH3" s="240"/>
      <c r="AI3" s="217" t="s">
        <v>42</v>
      </c>
      <c r="AJ3" s="217" t="s">
        <v>43</v>
      </c>
      <c r="AK3" s="217" t="s">
        <v>44</v>
      </c>
      <c r="AL3" s="217" t="s">
        <v>45</v>
      </c>
      <c r="AM3" s="217" t="s">
        <v>46</v>
      </c>
      <c r="AN3" s="217" t="s">
        <v>47</v>
      </c>
      <c r="AO3" s="217" t="s">
        <v>48</v>
      </c>
      <c r="AP3" s="217" t="s">
        <v>49</v>
      </c>
      <c r="AQ3" s="217" t="s">
        <v>50</v>
      </c>
      <c r="AR3" s="217" t="s">
        <v>51</v>
      </c>
      <c r="AS3" s="217" t="s">
        <v>52</v>
      </c>
      <c r="AT3" s="217" t="s">
        <v>53</v>
      </c>
      <c r="AU3" s="217" t="s">
        <v>54</v>
      </c>
      <c r="AV3" s="217" t="s">
        <v>55</v>
      </c>
      <c r="AW3" s="217" t="s">
        <v>56</v>
      </c>
      <c r="AX3" s="217" t="s">
        <v>57</v>
      </c>
      <c r="AY3" s="217" t="s">
        <v>58</v>
      </c>
      <c r="AZ3" s="217" t="s">
        <v>59</v>
      </c>
      <c r="BA3" s="217" t="s">
        <v>60</v>
      </c>
      <c r="BB3" s="217" t="s">
        <v>61</v>
      </c>
      <c r="BC3" s="217" t="s">
        <v>62</v>
      </c>
      <c r="BD3" s="217" t="s">
        <v>63</v>
      </c>
      <c r="BE3" s="217" t="s">
        <v>64</v>
      </c>
      <c r="BF3" s="217" t="s">
        <v>65</v>
      </c>
      <c r="BG3" s="217" t="s">
        <v>66</v>
      </c>
      <c r="BH3" s="217" t="s">
        <v>67</v>
      </c>
      <c r="BI3" s="217" t="s">
        <v>68</v>
      </c>
      <c r="BJ3" s="217" t="s">
        <v>69</v>
      </c>
      <c r="BK3" s="217" t="s">
        <v>70</v>
      </c>
      <c r="BL3" s="217" t="s">
        <v>71</v>
      </c>
      <c r="BM3" s="119" t="s">
        <v>72</v>
      </c>
      <c r="BN3" s="119" t="s">
        <v>73</v>
      </c>
      <c r="BO3" s="119" t="s">
        <v>74</v>
      </c>
      <c r="BP3" s="119" t="s">
        <v>169</v>
      </c>
      <c r="BQ3" s="119" t="s">
        <v>170</v>
      </c>
      <c r="BR3" s="119" t="s">
        <v>171</v>
      </c>
      <c r="BS3" s="119" t="s">
        <v>172</v>
      </c>
      <c r="BT3" s="119" t="s">
        <v>173</v>
      </c>
      <c r="BU3" s="119" t="s">
        <v>174</v>
      </c>
      <c r="BV3" s="119" t="s">
        <v>175</v>
      </c>
      <c r="BW3" s="119" t="s">
        <v>70</v>
      </c>
      <c r="BX3" s="119" t="s">
        <v>71</v>
      </c>
      <c r="BY3" s="119" t="s">
        <v>72</v>
      </c>
      <c r="BZ3" s="217" t="s">
        <v>75</v>
      </c>
      <c r="CA3" s="217" t="s">
        <v>70</v>
      </c>
      <c r="CB3" s="217" t="s">
        <v>71</v>
      </c>
      <c r="CC3" s="215"/>
      <c r="CD3" s="215"/>
      <c r="CE3" s="154" t="s">
        <v>76</v>
      </c>
      <c r="CF3" s="154" t="s">
        <v>77</v>
      </c>
      <c r="CG3" s="154" t="s">
        <v>78</v>
      </c>
      <c r="CH3" s="217" t="s">
        <v>79</v>
      </c>
      <c r="CI3" s="271"/>
      <c r="CJ3" s="155"/>
      <c r="CK3" s="155"/>
      <c r="CL3" s="155"/>
      <c r="CM3" s="155"/>
      <c r="CN3" s="155"/>
      <c r="CO3" s="155"/>
      <c r="CP3" s="155"/>
      <c r="CQ3" s="155"/>
      <c r="CR3" s="155"/>
      <c r="CS3" s="155"/>
      <c r="CT3" s="155"/>
      <c r="CU3" s="155"/>
      <c r="CV3" s="286"/>
      <c r="CW3" s="287"/>
    </row>
    <row r="4" ht="18" customHeight="1" spans="2:101">
      <c r="B4" s="214"/>
      <c r="C4" s="215"/>
      <c r="D4" s="215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 t="s">
        <v>80</v>
      </c>
      <c r="S4" s="217"/>
      <c r="T4" s="217"/>
      <c r="U4" s="217"/>
      <c r="V4" s="217"/>
      <c r="W4" s="217"/>
      <c r="X4" s="217"/>
      <c r="Y4" s="217"/>
      <c r="Z4" s="217"/>
      <c r="AA4" s="217"/>
      <c r="AB4" s="241"/>
      <c r="AC4" s="241"/>
      <c r="AD4" s="241"/>
      <c r="AE4" s="240"/>
      <c r="AF4" s="240"/>
      <c r="AG4" s="240"/>
      <c r="AH4" s="240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217"/>
      <c r="AT4" s="217"/>
      <c r="AU4" s="217"/>
      <c r="AV4" s="217"/>
      <c r="AW4" s="217"/>
      <c r="AX4" s="217"/>
      <c r="AY4" s="217"/>
      <c r="AZ4" s="217"/>
      <c r="BA4" s="217"/>
      <c r="BB4" s="217"/>
      <c r="BC4" s="217"/>
      <c r="BD4" s="217"/>
      <c r="BE4" s="217"/>
      <c r="BF4" s="217"/>
      <c r="BG4" s="217"/>
      <c r="BH4" s="217"/>
      <c r="BI4" s="217"/>
      <c r="BJ4" s="217"/>
      <c r="BK4" s="217"/>
      <c r="BL4" s="217"/>
      <c r="BM4" s="121"/>
      <c r="BN4" s="121"/>
      <c r="BO4" s="121"/>
      <c r="BP4" s="121"/>
      <c r="BQ4" s="121"/>
      <c r="BR4" s="121"/>
      <c r="BS4" s="121"/>
      <c r="BT4" s="121"/>
      <c r="BU4" s="121"/>
      <c r="BV4" s="121"/>
      <c r="BW4" s="121"/>
      <c r="BX4" s="121"/>
      <c r="BY4" s="121"/>
      <c r="BZ4" s="217"/>
      <c r="CA4" s="217"/>
      <c r="CB4" s="217"/>
      <c r="CC4" s="215"/>
      <c r="CD4" s="215"/>
      <c r="CE4" s="154"/>
      <c r="CF4" s="154"/>
      <c r="CG4" s="154"/>
      <c r="CH4" s="272"/>
      <c r="CI4" s="272"/>
      <c r="CJ4" s="155"/>
      <c r="CK4" s="155"/>
      <c r="CL4" s="155"/>
      <c r="CM4" s="155"/>
      <c r="CN4" s="155"/>
      <c r="CO4" s="155"/>
      <c r="CP4" s="155"/>
      <c r="CQ4" s="155"/>
      <c r="CR4" s="155"/>
      <c r="CS4" s="155"/>
      <c r="CT4" s="155"/>
      <c r="CU4" s="155"/>
      <c r="CV4" s="288"/>
      <c r="CW4" s="287"/>
    </row>
    <row r="5" s="20" customFormat="1" ht="24" customHeight="1" spans="2:103">
      <c r="B5" s="4" t="s">
        <v>81</v>
      </c>
      <c r="C5" s="218" t="s">
        <v>82</v>
      </c>
      <c r="D5" s="5" t="s">
        <v>83</v>
      </c>
      <c r="E5" s="219">
        <v>5392098.39</v>
      </c>
      <c r="F5" s="219">
        <v>5856735.21</v>
      </c>
      <c r="G5" s="219">
        <v>6096339.17</v>
      </c>
      <c r="H5" s="219">
        <v>5864306.57</v>
      </c>
      <c r="I5" s="219">
        <v>5864306.57</v>
      </c>
      <c r="J5" s="219">
        <v>6227067.54</v>
      </c>
      <c r="K5" s="219">
        <v>6167255.15</v>
      </c>
      <c r="L5" s="219">
        <v>6077546</v>
      </c>
      <c r="M5" s="219">
        <v>6647576.21</v>
      </c>
      <c r="N5" s="219">
        <v>6480354.13</v>
      </c>
      <c r="O5" s="219">
        <v>6659039.58</v>
      </c>
      <c r="P5" s="219">
        <v>7510390.09</v>
      </c>
      <c r="Q5" s="219">
        <v>7495456.12</v>
      </c>
      <c r="R5" s="233">
        <v>500000</v>
      </c>
      <c r="S5" s="233">
        <v>500000</v>
      </c>
      <c r="T5" s="233">
        <v>1000000</v>
      </c>
      <c r="U5" s="234">
        <v>0</v>
      </c>
      <c r="V5" s="234">
        <v>1000000</v>
      </c>
      <c r="W5" s="234">
        <v>1000000</v>
      </c>
      <c r="X5" s="234">
        <v>1030000</v>
      </c>
      <c r="Y5" s="234">
        <v>0</v>
      </c>
      <c r="Z5" s="234">
        <v>500000</v>
      </c>
      <c r="AA5" s="234">
        <v>1000000</v>
      </c>
      <c r="AB5" s="234">
        <v>0</v>
      </c>
      <c r="AC5" s="234">
        <v>650000</v>
      </c>
      <c r="AD5" s="234">
        <v>1000000</v>
      </c>
      <c r="AE5" s="234">
        <v>500000</v>
      </c>
      <c r="AF5" s="234">
        <v>950000</v>
      </c>
      <c r="AG5" s="234"/>
      <c r="AH5" s="234">
        <v>992500</v>
      </c>
      <c r="AI5" s="241">
        <f>E5-R5-S5-T5-U5-V5-W5-X5-Y5</f>
        <v>362098.39</v>
      </c>
      <c r="AJ5" s="241">
        <f>F5-S5-T5-U5-V5-W5-X5-Y5</f>
        <v>1326735.21</v>
      </c>
      <c r="AK5" s="241">
        <f>G5-T5-U5-V5-W5-X5-Y5</f>
        <v>2066339.17</v>
      </c>
      <c r="AL5" s="241">
        <f>H5-U5-V5-W5-X5-Y5-Z5-AA5</f>
        <v>1334306.57</v>
      </c>
      <c r="AM5" s="241">
        <f>I5-V5-W5-X5-Y5-Z5-AA5-AB5-AC5</f>
        <v>684306.57</v>
      </c>
      <c r="AN5" s="241">
        <f>J5-W5-X5-Y5-Z5-AA5-AB5-AC5</f>
        <v>2047067.54</v>
      </c>
      <c r="AO5" s="241">
        <f>K5-X5-Y5-Z5-AA5-AB5-AC5-AD5-AE5</f>
        <v>1487255.15</v>
      </c>
      <c r="AP5" s="241">
        <f>L5-Y5-Z5-AA5-AB5-AC5-AD5-AE5</f>
        <v>2427546</v>
      </c>
      <c r="AQ5" s="241"/>
      <c r="AR5" s="241"/>
      <c r="AS5" s="241"/>
      <c r="AT5" s="241">
        <f t="shared" ref="AT5:AT13" si="0">P5-AC5-AD5-AE5-AF5-AG5</f>
        <v>4410390.09</v>
      </c>
      <c r="AU5" s="241"/>
      <c r="AV5" s="241">
        <v>964636.82</v>
      </c>
      <c r="AW5" s="241">
        <v>739603.96</v>
      </c>
      <c r="AX5" s="241">
        <v>767967.4</v>
      </c>
      <c r="AY5" s="241">
        <v>453286.73</v>
      </c>
      <c r="AZ5" s="241">
        <v>909474.24</v>
      </c>
      <c r="BA5" s="241">
        <v>940187.61</v>
      </c>
      <c r="BB5" s="241">
        <v>940290.85</v>
      </c>
      <c r="BC5" s="241">
        <v>570030.21</v>
      </c>
      <c r="BD5" s="241">
        <v>332777.92</v>
      </c>
      <c r="BE5" s="241">
        <v>1178685.45</v>
      </c>
      <c r="BF5" s="241">
        <v>851350.51</v>
      </c>
      <c r="BG5" s="241">
        <v>635066.03</v>
      </c>
      <c r="BH5" s="241">
        <v>0</v>
      </c>
      <c r="BI5" s="241">
        <v>0</v>
      </c>
      <c r="BJ5" s="241">
        <v>397337.38</v>
      </c>
      <c r="BK5" s="241">
        <v>246283.5</v>
      </c>
      <c r="BL5" s="241">
        <v>0</v>
      </c>
      <c r="BM5" s="241">
        <v>0</v>
      </c>
      <c r="BN5" s="241">
        <v>134634.98</v>
      </c>
      <c r="BO5" s="241"/>
      <c r="BP5" s="241"/>
      <c r="BQ5" s="241"/>
      <c r="BR5" s="241"/>
      <c r="BS5" s="241"/>
      <c r="BT5" s="241">
        <v>329395</v>
      </c>
      <c r="BU5" s="241"/>
      <c r="BV5" s="241"/>
      <c r="BW5" s="241"/>
      <c r="BX5" s="241"/>
      <c r="BY5" s="241"/>
      <c r="BZ5" s="241">
        <f>AU5+BH5+BI5+BJ5+BK5+BL5+BM5+BN5+BO5+BP5+BQ5+BR5+BS5+BT5+BU5+BV5+BW5+BX5+BY5</f>
        <v>1107650.86</v>
      </c>
      <c r="CA5" s="241"/>
      <c r="CB5" s="241"/>
      <c r="CC5" s="162"/>
      <c r="CD5" s="162"/>
      <c r="CE5" s="162"/>
      <c r="CF5" s="79"/>
      <c r="CG5" s="79" t="s">
        <v>84</v>
      </c>
      <c r="CH5" s="273">
        <f>BZ5</f>
        <v>1107650.86</v>
      </c>
      <c r="CI5" s="273">
        <f t="shared" ref="CI5:CI13" si="1">CH5/BZ5</f>
        <v>1</v>
      </c>
      <c r="CJ5" s="273">
        <v>492567</v>
      </c>
      <c r="CK5" s="273">
        <v>151053.88</v>
      </c>
      <c r="CL5" s="273"/>
      <c r="CM5" s="273"/>
      <c r="CN5" s="273"/>
      <c r="CO5" s="273">
        <v>134634.98</v>
      </c>
      <c r="CP5" s="273"/>
      <c r="CQ5" s="273">
        <v>150000</v>
      </c>
      <c r="CR5" s="273">
        <v>179395</v>
      </c>
      <c r="CS5" s="273"/>
      <c r="CT5" s="273"/>
      <c r="CU5" s="273">
        <f>CH5-CJ5-CK5-CL5-CM5-CN5-CO5-CP5-CQ5-CR5-CS5-CT5</f>
        <v>-1.16415321826935e-10</v>
      </c>
      <c r="CV5" s="234">
        <f>IF(CU5-BY5-BX5&lt;0,0,CU5-BY5-BX5)</f>
        <v>0</v>
      </c>
      <c r="CW5" s="234" t="s">
        <v>85</v>
      </c>
      <c r="CY5" s="180"/>
    </row>
    <row r="6" s="20" customFormat="1" ht="24" customHeight="1" spans="1:103">
      <c r="A6" s="132"/>
      <c r="B6" s="4" t="s">
        <v>81</v>
      </c>
      <c r="C6" s="218" t="s">
        <v>86</v>
      </c>
      <c r="D6" s="5" t="s">
        <v>87</v>
      </c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35">
        <v>0</v>
      </c>
      <c r="R6" s="236"/>
      <c r="S6" s="236"/>
      <c r="T6" s="236"/>
      <c r="U6" s="236"/>
      <c r="V6" s="236"/>
      <c r="W6" s="236"/>
      <c r="X6" s="236"/>
      <c r="Y6" s="236"/>
      <c r="Z6" s="236"/>
      <c r="AA6" s="236"/>
      <c r="AB6" s="236"/>
      <c r="AC6" s="236"/>
      <c r="AD6" s="236"/>
      <c r="AE6" s="236"/>
      <c r="AF6" s="236"/>
      <c r="AG6" s="236">
        <v>0</v>
      </c>
      <c r="AH6" s="236">
        <v>0</v>
      </c>
      <c r="AI6" s="241"/>
      <c r="AJ6" s="241"/>
      <c r="AK6" s="241"/>
      <c r="AL6" s="241"/>
      <c r="AM6" s="241"/>
      <c r="AN6" s="241"/>
      <c r="AO6" s="241"/>
      <c r="AP6" s="241"/>
      <c r="AQ6" s="241"/>
      <c r="AR6" s="241"/>
      <c r="AS6" s="241"/>
      <c r="AT6" s="241">
        <f t="shared" si="0"/>
        <v>0</v>
      </c>
      <c r="AU6" s="241"/>
      <c r="AV6" s="241"/>
      <c r="AW6" s="241"/>
      <c r="AX6" s="241"/>
      <c r="AY6" s="241"/>
      <c r="AZ6" s="241"/>
      <c r="BA6" s="241"/>
      <c r="BB6" s="241"/>
      <c r="BC6" s="241"/>
      <c r="BD6" s="241"/>
      <c r="BE6" s="241"/>
      <c r="BF6" s="241"/>
      <c r="BG6" s="248"/>
      <c r="BH6" s="241">
        <v>0</v>
      </c>
      <c r="BI6" s="241">
        <v>447763.07</v>
      </c>
      <c r="BJ6" s="241">
        <v>681909.81</v>
      </c>
      <c r="BK6" s="241">
        <v>549134.83</v>
      </c>
      <c r="BL6" s="241">
        <v>0</v>
      </c>
      <c r="BM6" s="241">
        <v>0</v>
      </c>
      <c r="BN6" s="241"/>
      <c r="BO6" s="241"/>
      <c r="BP6" s="241">
        <v>132775</v>
      </c>
      <c r="BQ6" s="241"/>
      <c r="BR6" s="241"/>
      <c r="BS6" s="241"/>
      <c r="BT6" s="241">
        <v>295980.9</v>
      </c>
      <c r="BU6" s="241">
        <v>298636.4</v>
      </c>
      <c r="BV6" s="241">
        <v>26555</v>
      </c>
      <c r="BW6" s="241">
        <v>561530.9</v>
      </c>
      <c r="BX6" s="241"/>
      <c r="BY6" s="241"/>
      <c r="BZ6" s="241">
        <f t="shared" ref="BZ6:BZ36" si="2">AU6+BH6+BI6+BJ6+BK6+BL6+BM6+BN6+BO6+BP6+BQ6+BR6+BS6+BT6+BU6+BV6+BW6+BX6+BY6</f>
        <v>2994285.91</v>
      </c>
      <c r="CA6" s="262">
        <v>1918501</v>
      </c>
      <c r="CB6" s="248"/>
      <c r="CC6" s="162"/>
      <c r="CD6" s="162"/>
      <c r="CE6" s="79"/>
      <c r="CF6" s="79"/>
      <c r="CG6" s="79" t="s">
        <v>84</v>
      </c>
      <c r="CH6" s="273">
        <f>BZ6</f>
        <v>2994285.91</v>
      </c>
      <c r="CI6" s="273">
        <f t="shared" si="1"/>
        <v>1</v>
      </c>
      <c r="CJ6" s="273">
        <f>182213.07+549134.83</f>
        <v>731347.9</v>
      </c>
      <c r="CK6" s="273">
        <v>547459.81</v>
      </c>
      <c r="CL6" s="273"/>
      <c r="CM6" s="273">
        <v>532775</v>
      </c>
      <c r="CN6" s="273"/>
      <c r="CO6" s="273"/>
      <c r="CP6" s="273"/>
      <c r="CQ6" s="273">
        <v>295980.9</v>
      </c>
      <c r="CR6" s="273"/>
      <c r="CS6" s="273">
        <f>250000+75191.4</f>
        <v>325191.4</v>
      </c>
      <c r="CT6" s="273">
        <v>561530.9</v>
      </c>
      <c r="CU6" s="273">
        <f t="shared" ref="CU6:CU36" si="3">CH6-CJ6-CK6-CL6-CM6-CN6-CO6-CP6-CQ6-CR6-CS6-CT6</f>
        <v>0</v>
      </c>
      <c r="CV6" s="234">
        <f t="shared" ref="CV6:CV29" si="4">IF(CU6-BY6-BX6&lt;0,0,CU6-BY6-BX6)</f>
        <v>0</v>
      </c>
      <c r="CW6" s="234" t="s">
        <v>85</v>
      </c>
      <c r="CY6" s="180"/>
    </row>
    <row r="7" s="20" customFormat="1" ht="24" customHeight="1" spans="2:103">
      <c r="B7" s="4" t="s">
        <v>81</v>
      </c>
      <c r="C7" s="218" t="s">
        <v>88</v>
      </c>
      <c r="D7" s="5" t="s">
        <v>89</v>
      </c>
      <c r="E7" s="220">
        <v>4304521.28</v>
      </c>
      <c r="F7" s="220">
        <v>4892961.58</v>
      </c>
      <c r="G7" s="219">
        <v>5103831.3</v>
      </c>
      <c r="H7" s="219">
        <v>5080738.42</v>
      </c>
      <c r="I7" s="219">
        <v>5340551.96</v>
      </c>
      <c r="J7" s="219">
        <v>4679989.68</v>
      </c>
      <c r="K7" s="219">
        <v>4452410.29</v>
      </c>
      <c r="L7" s="219">
        <v>4531515.63</v>
      </c>
      <c r="M7" s="219">
        <v>4813282.31</v>
      </c>
      <c r="N7" s="219">
        <v>5213661.06</v>
      </c>
      <c r="O7" s="219">
        <v>5122119.61</v>
      </c>
      <c r="P7" s="219">
        <v>5541782.14</v>
      </c>
      <c r="Q7" s="219">
        <v>4351997.25</v>
      </c>
      <c r="R7" s="220">
        <v>855</v>
      </c>
      <c r="S7" s="220">
        <v>0</v>
      </c>
      <c r="T7" s="220">
        <v>1000000</v>
      </c>
      <c r="U7" s="234">
        <v>0</v>
      </c>
      <c r="V7" s="234">
        <v>1000000</v>
      </c>
      <c r="W7" s="234">
        <v>501300</v>
      </c>
      <c r="X7" s="234">
        <v>700000</v>
      </c>
      <c r="Y7" s="234">
        <v>1330</v>
      </c>
      <c r="Z7" s="234">
        <v>0</v>
      </c>
      <c r="AA7" s="234">
        <v>603000</v>
      </c>
      <c r="AB7" s="234">
        <v>0</v>
      </c>
      <c r="AC7" s="234">
        <v>1400000</v>
      </c>
      <c r="AD7" s="234">
        <v>201301.3</v>
      </c>
      <c r="AE7" s="234">
        <v>30900</v>
      </c>
      <c r="AF7" s="234">
        <v>707600</v>
      </c>
      <c r="AG7" s="234">
        <v>200000</v>
      </c>
      <c r="AH7" s="234">
        <v>600000</v>
      </c>
      <c r="AI7" s="241">
        <f t="shared" ref="AI7:AI13" si="5">E7-R7-S7-T7-U7-V7-W7-X7-Y7</f>
        <v>1101036.28</v>
      </c>
      <c r="AJ7" s="241">
        <f t="shared" ref="AJ7:AJ13" si="6">F7-S7-T7-U7-V7-W7-X7-Y7</f>
        <v>1690331.58</v>
      </c>
      <c r="AK7" s="241">
        <f t="shared" ref="AK7:AK13" si="7">G7-T7-U7-V7-W7-X7-Y7</f>
        <v>1901201.3</v>
      </c>
      <c r="AL7" s="241">
        <f t="shared" ref="AL7:AL13" si="8">H7-U7-V7-W7-X7-Y7-Z7-AA7</f>
        <v>2275108.42</v>
      </c>
      <c r="AM7" s="241">
        <f t="shared" ref="AM7:AM13" si="9">I7-V7-W7-X7-Y7-Z7-AA7-AB7-AC7</f>
        <v>1134921.96</v>
      </c>
      <c r="AN7" s="241">
        <f t="shared" ref="AN7:AN13" si="10">J7-W7-X7-Y7-Z7-AA7-AB7-AC7</f>
        <v>1474359.68</v>
      </c>
      <c r="AO7" s="241">
        <f t="shared" ref="AO7:AO13" si="11">K7-X7-Y7-Z7-AA7-AB7-AC7-AD7-AE7</f>
        <v>1515878.99</v>
      </c>
      <c r="AP7" s="241">
        <f t="shared" ref="AP7:AP13" si="12">L7-Y7-Z7-AA7-AB7-AC7-AD7-AE7</f>
        <v>2294984.33</v>
      </c>
      <c r="AQ7" s="241"/>
      <c r="AR7" s="241"/>
      <c r="AS7" s="241"/>
      <c r="AT7" s="241">
        <f t="shared" si="0"/>
        <v>3001980.84</v>
      </c>
      <c r="AU7" s="241"/>
      <c r="AV7" s="241">
        <v>589295.3</v>
      </c>
      <c r="AW7" s="241">
        <v>210869.72</v>
      </c>
      <c r="AX7" s="241">
        <v>976907.12</v>
      </c>
      <c r="AY7" s="241">
        <v>259813.54</v>
      </c>
      <c r="AZ7" s="241">
        <v>339437.72</v>
      </c>
      <c r="BA7" s="241">
        <v>273720.61</v>
      </c>
      <c r="BB7" s="241">
        <v>779105.34</v>
      </c>
      <c r="BC7" s="241">
        <v>283096.68</v>
      </c>
      <c r="BD7" s="241">
        <v>400378.75</v>
      </c>
      <c r="BE7" s="241">
        <v>511458.55</v>
      </c>
      <c r="BF7" s="241">
        <v>419662.53</v>
      </c>
      <c r="BG7" s="241">
        <v>210215.11</v>
      </c>
      <c r="BH7" s="241">
        <v>0</v>
      </c>
      <c r="BI7" s="241">
        <v>19634.08</v>
      </c>
      <c r="BJ7" s="241">
        <v>41685.7</v>
      </c>
      <c r="BK7" s="241">
        <v>51674.9</v>
      </c>
      <c r="BL7" s="241">
        <v>20554.7</v>
      </c>
      <c r="BM7" s="241">
        <v>88477.42</v>
      </c>
      <c r="BN7" s="241">
        <v>75687.4</v>
      </c>
      <c r="BO7" s="241"/>
      <c r="BP7" s="241"/>
      <c r="BQ7" s="241"/>
      <c r="BR7" s="241"/>
      <c r="BS7" s="241"/>
      <c r="BT7" s="241">
        <v>30351.8</v>
      </c>
      <c r="BU7" s="241"/>
      <c r="BV7" s="241"/>
      <c r="BW7" s="241"/>
      <c r="BX7" s="241"/>
      <c r="BY7" s="241"/>
      <c r="BZ7" s="241">
        <f t="shared" si="2"/>
        <v>328066</v>
      </c>
      <c r="CA7" s="241">
        <v>351407.22</v>
      </c>
      <c r="CB7" s="241"/>
      <c r="CC7" s="162"/>
      <c r="CD7" s="162"/>
      <c r="CE7" s="79"/>
      <c r="CF7" s="79"/>
      <c r="CG7" s="79" t="s">
        <v>84</v>
      </c>
      <c r="CH7" s="273">
        <f>BZ7</f>
        <v>328066</v>
      </c>
      <c r="CI7" s="273">
        <f t="shared" si="1"/>
        <v>1</v>
      </c>
      <c r="CJ7" s="273">
        <f>19593.2+41685.7+51674.9+40.88</f>
        <v>112994.68</v>
      </c>
      <c r="CK7" s="273"/>
      <c r="CL7" s="273">
        <v>88477.42</v>
      </c>
      <c r="CM7" s="273"/>
      <c r="CN7" s="273"/>
      <c r="CO7" s="273">
        <f>30000+50000</f>
        <v>80000</v>
      </c>
      <c r="CP7" s="273"/>
      <c r="CQ7" s="273"/>
      <c r="CR7" s="273">
        <v>25000</v>
      </c>
      <c r="CS7" s="273">
        <v>10000</v>
      </c>
      <c r="CT7" s="273">
        <v>11593.9</v>
      </c>
      <c r="CU7" s="273">
        <f t="shared" si="3"/>
        <v>-4.91127138957381e-11</v>
      </c>
      <c r="CV7" s="234">
        <f t="shared" si="4"/>
        <v>0</v>
      </c>
      <c r="CW7" s="234" t="s">
        <v>85</v>
      </c>
      <c r="CY7" s="180"/>
    </row>
    <row r="8" s="20" customFormat="1" ht="24" customHeight="1" spans="2:103">
      <c r="B8" s="4" t="s">
        <v>81</v>
      </c>
      <c r="C8" s="218" t="s">
        <v>90</v>
      </c>
      <c r="D8" s="5" t="s">
        <v>91</v>
      </c>
      <c r="E8" s="220">
        <v>2905780.04</v>
      </c>
      <c r="F8" s="220">
        <v>2346161.22</v>
      </c>
      <c r="G8" s="219">
        <v>3012275.11</v>
      </c>
      <c r="H8" s="219">
        <v>3064774.7</v>
      </c>
      <c r="I8" s="219">
        <v>2974070.08</v>
      </c>
      <c r="J8" s="219">
        <v>3477472.33</v>
      </c>
      <c r="K8" s="219">
        <v>3380421.07</v>
      </c>
      <c r="L8" s="219">
        <v>3386744.71</v>
      </c>
      <c r="M8" s="219">
        <v>3561228.68</v>
      </c>
      <c r="N8" s="219">
        <v>3981880.75</v>
      </c>
      <c r="O8" s="219">
        <v>4081138.55</v>
      </c>
      <c r="P8" s="219">
        <v>4393093.27</v>
      </c>
      <c r="Q8" s="219">
        <v>4171066.37</v>
      </c>
      <c r="R8" s="220">
        <v>1030000</v>
      </c>
      <c r="S8" s="220">
        <v>0</v>
      </c>
      <c r="T8" s="220">
        <v>400000</v>
      </c>
      <c r="U8" s="234">
        <v>500000</v>
      </c>
      <c r="V8" s="234">
        <v>0</v>
      </c>
      <c r="W8" s="234">
        <v>400000</v>
      </c>
      <c r="X8" s="234">
        <v>500000</v>
      </c>
      <c r="Y8" s="234">
        <v>100000</v>
      </c>
      <c r="Z8" s="234">
        <v>0</v>
      </c>
      <c r="AA8" s="234">
        <v>400000</v>
      </c>
      <c r="AB8" s="234">
        <v>200000</v>
      </c>
      <c r="AC8" s="234">
        <v>700000</v>
      </c>
      <c r="AD8" s="234">
        <v>500000</v>
      </c>
      <c r="AE8" s="234">
        <v>17897.2</v>
      </c>
      <c r="AF8" s="234">
        <v>829384.4</v>
      </c>
      <c r="AG8" s="234">
        <v>-162297.8</v>
      </c>
      <c r="AH8" s="234">
        <v>400000</v>
      </c>
      <c r="AI8" s="241">
        <f t="shared" si="5"/>
        <v>-24219.96</v>
      </c>
      <c r="AJ8" s="241">
        <f t="shared" si="6"/>
        <v>446161.22</v>
      </c>
      <c r="AK8" s="241">
        <f t="shared" si="7"/>
        <v>1112275.11</v>
      </c>
      <c r="AL8" s="241">
        <f t="shared" si="8"/>
        <v>1164774.7</v>
      </c>
      <c r="AM8" s="241">
        <f t="shared" si="9"/>
        <v>674070.08</v>
      </c>
      <c r="AN8" s="241">
        <f t="shared" si="10"/>
        <v>1177472.33</v>
      </c>
      <c r="AO8" s="241">
        <f t="shared" si="11"/>
        <v>962523.87</v>
      </c>
      <c r="AP8" s="241">
        <f t="shared" si="12"/>
        <v>1468847.51</v>
      </c>
      <c r="AQ8" s="241"/>
      <c r="AR8" s="241"/>
      <c r="AS8" s="241"/>
      <c r="AT8" s="241">
        <f t="shared" si="0"/>
        <v>2508109.47</v>
      </c>
      <c r="AU8" s="241"/>
      <c r="AV8" s="241">
        <v>470381.18</v>
      </c>
      <c r="AW8" s="241">
        <v>666113.89</v>
      </c>
      <c r="AX8" s="241">
        <v>452499.59</v>
      </c>
      <c r="AY8" s="241">
        <v>409295.38</v>
      </c>
      <c r="AZ8" s="241">
        <v>503402.25</v>
      </c>
      <c r="BA8" s="241">
        <v>302948.74</v>
      </c>
      <c r="BB8" s="241">
        <v>506323.64</v>
      </c>
      <c r="BC8" s="241">
        <v>274483.97</v>
      </c>
      <c r="BD8" s="241">
        <v>420652.07</v>
      </c>
      <c r="BE8" s="241">
        <v>499257.8</v>
      </c>
      <c r="BF8" s="241">
        <v>511954.72</v>
      </c>
      <c r="BG8" s="241">
        <v>477973.1</v>
      </c>
      <c r="BH8" s="241"/>
      <c r="BI8" s="241"/>
      <c r="BJ8" s="241"/>
      <c r="BK8" s="241"/>
      <c r="BL8" s="241">
        <v>188506.6</v>
      </c>
      <c r="BM8" s="241">
        <v>0</v>
      </c>
      <c r="BN8" s="241">
        <v>0</v>
      </c>
      <c r="BO8" s="241"/>
      <c r="BP8" s="241"/>
      <c r="BQ8" s="241"/>
      <c r="BR8" s="241"/>
      <c r="BS8" s="241"/>
      <c r="BT8" s="241">
        <f>67009+62941+20566</f>
        <v>150516</v>
      </c>
      <c r="BU8" s="241"/>
      <c r="BV8" s="241"/>
      <c r="BW8" s="241"/>
      <c r="BX8" s="241"/>
      <c r="BY8" s="241"/>
      <c r="BZ8" s="241">
        <f t="shared" si="2"/>
        <v>339022.6</v>
      </c>
      <c r="CA8" s="241">
        <v>803257.6</v>
      </c>
      <c r="CB8" s="241"/>
      <c r="CC8" s="162"/>
      <c r="CD8" s="162"/>
      <c r="CE8" s="79"/>
      <c r="CF8" s="79"/>
      <c r="CG8" s="79" t="s">
        <v>84</v>
      </c>
      <c r="CH8" s="273">
        <f t="shared" ref="CH8:CH36" si="13">BZ8</f>
        <v>339022.6</v>
      </c>
      <c r="CI8" s="273">
        <f t="shared" si="1"/>
        <v>1</v>
      </c>
      <c r="CJ8" s="273">
        <v>0</v>
      </c>
      <c r="CK8" s="273"/>
      <c r="CL8" s="273">
        <v>50000</v>
      </c>
      <c r="CM8" s="273">
        <v>50000</v>
      </c>
      <c r="CN8" s="273"/>
      <c r="CO8" s="273">
        <f>30000+50000</f>
        <v>80000</v>
      </c>
      <c r="CP8" s="273"/>
      <c r="CQ8" s="273">
        <v>8000</v>
      </c>
      <c r="CR8" s="273">
        <v>50000</v>
      </c>
      <c r="CS8" s="273">
        <v>50000</v>
      </c>
      <c r="CT8" s="273"/>
      <c r="CU8" s="273">
        <f t="shared" si="3"/>
        <v>51022.6</v>
      </c>
      <c r="CV8" s="234">
        <f t="shared" si="4"/>
        <v>51022.6</v>
      </c>
      <c r="CW8" s="234" t="s">
        <v>85</v>
      </c>
      <c r="CY8" s="180"/>
    </row>
    <row r="9" s="20" customFormat="1" ht="24" customHeight="1" spans="2:103">
      <c r="B9" s="4" t="s">
        <v>81</v>
      </c>
      <c r="C9" s="218" t="s">
        <v>92</v>
      </c>
      <c r="D9" s="5" t="s">
        <v>93</v>
      </c>
      <c r="E9" s="220">
        <v>2520333.98</v>
      </c>
      <c r="F9" s="220">
        <v>2547367.38</v>
      </c>
      <c r="G9" s="219">
        <v>2873716.8</v>
      </c>
      <c r="H9" s="219">
        <v>2034618.82</v>
      </c>
      <c r="I9" s="219">
        <v>1651001.42</v>
      </c>
      <c r="J9" s="219">
        <v>1850675.01</v>
      </c>
      <c r="K9" s="219">
        <v>1991190.21</v>
      </c>
      <c r="L9" s="219">
        <v>1898873.65</v>
      </c>
      <c r="M9" s="219">
        <v>2740149.02</v>
      </c>
      <c r="N9" s="219">
        <v>3322573.02</v>
      </c>
      <c r="O9" s="219">
        <v>3923994.15</v>
      </c>
      <c r="P9" s="219">
        <v>5393137.21</v>
      </c>
      <c r="Q9" s="219">
        <v>4713273.94</v>
      </c>
      <c r="R9" s="220">
        <v>721000</v>
      </c>
      <c r="S9" s="220">
        <v>0</v>
      </c>
      <c r="T9" s="220">
        <v>1000000</v>
      </c>
      <c r="U9" s="234">
        <v>500000</v>
      </c>
      <c r="V9" s="234">
        <v>0</v>
      </c>
      <c r="W9" s="234">
        <v>0</v>
      </c>
      <c r="X9" s="234">
        <v>500000</v>
      </c>
      <c r="Y9" s="234">
        <v>0</v>
      </c>
      <c r="Z9" s="234">
        <v>0</v>
      </c>
      <c r="AA9" s="234">
        <v>600000</v>
      </c>
      <c r="AB9" s="234">
        <v>200000</v>
      </c>
      <c r="AC9" s="234">
        <v>2000000</v>
      </c>
      <c r="AD9" s="234">
        <v>200000</v>
      </c>
      <c r="AE9" s="234">
        <v>392000</v>
      </c>
      <c r="AF9" s="234">
        <v>1130000</v>
      </c>
      <c r="AG9" s="234">
        <v>0</v>
      </c>
      <c r="AH9" s="234">
        <v>1050000</v>
      </c>
      <c r="AI9" s="241">
        <f t="shared" si="5"/>
        <v>-200666.02</v>
      </c>
      <c r="AJ9" s="241">
        <f t="shared" si="6"/>
        <v>547367.38</v>
      </c>
      <c r="AK9" s="241">
        <f t="shared" si="7"/>
        <v>873716.8</v>
      </c>
      <c r="AL9" s="241">
        <f t="shared" si="8"/>
        <v>434618.82</v>
      </c>
      <c r="AM9" s="241">
        <f t="shared" si="9"/>
        <v>-1648998.58</v>
      </c>
      <c r="AN9" s="241">
        <f t="shared" si="10"/>
        <v>-1449324.99</v>
      </c>
      <c r="AO9" s="241">
        <f t="shared" si="11"/>
        <v>-1900809.79</v>
      </c>
      <c r="AP9" s="241">
        <f t="shared" si="12"/>
        <v>-1493126.35</v>
      </c>
      <c r="AQ9" s="241"/>
      <c r="AR9" s="241"/>
      <c r="AS9" s="241"/>
      <c r="AT9" s="241">
        <f t="shared" si="0"/>
        <v>1671137.21</v>
      </c>
      <c r="AU9" s="241">
        <v>411.32</v>
      </c>
      <c r="AV9" s="241">
        <v>748033.4</v>
      </c>
      <c r="AW9" s="241">
        <v>326349.42</v>
      </c>
      <c r="AX9" s="241">
        <v>160902.02</v>
      </c>
      <c r="AY9" s="241">
        <v>116382.6</v>
      </c>
      <c r="AZ9" s="241">
        <v>199673.59</v>
      </c>
      <c r="BA9" s="241">
        <v>140515.2</v>
      </c>
      <c r="BB9" s="241">
        <v>407683.44</v>
      </c>
      <c r="BC9" s="241">
        <v>841275.37</v>
      </c>
      <c r="BD9" s="241">
        <v>582424</v>
      </c>
      <c r="BE9" s="241">
        <v>1201421.13</v>
      </c>
      <c r="BF9" s="241">
        <v>1669143.06</v>
      </c>
      <c r="BG9" s="241">
        <v>1320136.73</v>
      </c>
      <c r="BH9" s="241"/>
      <c r="BI9" s="241"/>
      <c r="BJ9" s="241"/>
      <c r="BK9" s="241"/>
      <c r="BL9" s="241"/>
      <c r="BM9" s="241"/>
      <c r="BN9" s="241"/>
      <c r="BO9" s="241"/>
      <c r="BP9" s="241"/>
      <c r="BQ9" s="241"/>
      <c r="BR9" s="241"/>
      <c r="BS9" s="241"/>
      <c r="BT9" s="241"/>
      <c r="BU9" s="241"/>
      <c r="BV9" s="241"/>
      <c r="BW9" s="241"/>
      <c r="BX9" s="241"/>
      <c r="BY9" s="241"/>
      <c r="BZ9" s="241">
        <f t="shared" si="2"/>
        <v>411.32</v>
      </c>
      <c r="CA9" s="241">
        <v>980251.74</v>
      </c>
      <c r="CB9" s="241"/>
      <c r="CC9" s="162"/>
      <c r="CD9" s="162"/>
      <c r="CE9" s="79"/>
      <c r="CF9" s="79"/>
      <c r="CG9" s="79" t="s">
        <v>84</v>
      </c>
      <c r="CH9" s="273">
        <f t="shared" si="13"/>
        <v>411.32</v>
      </c>
      <c r="CI9" s="273">
        <f t="shared" si="1"/>
        <v>1</v>
      </c>
      <c r="CJ9" s="273">
        <v>411.32</v>
      </c>
      <c r="CK9" s="273"/>
      <c r="CL9" s="273"/>
      <c r="CM9" s="273"/>
      <c r="CN9" s="273"/>
      <c r="CO9" s="273"/>
      <c r="CP9" s="273"/>
      <c r="CQ9" s="273"/>
      <c r="CR9" s="273"/>
      <c r="CS9" s="273"/>
      <c r="CT9" s="273"/>
      <c r="CU9" s="273">
        <f t="shared" si="3"/>
        <v>0</v>
      </c>
      <c r="CV9" s="234">
        <f t="shared" si="4"/>
        <v>0</v>
      </c>
      <c r="CW9" s="234" t="s">
        <v>85</v>
      </c>
      <c r="CY9" s="180"/>
    </row>
    <row r="10" s="20" customFormat="1" ht="24" customHeight="1" spans="2:103">
      <c r="B10" s="4" t="s">
        <v>81</v>
      </c>
      <c r="C10" s="218" t="s">
        <v>94</v>
      </c>
      <c r="D10" s="5" t="s">
        <v>95</v>
      </c>
      <c r="E10" s="220">
        <v>1617237.13</v>
      </c>
      <c r="F10" s="220">
        <v>1587881.47</v>
      </c>
      <c r="G10" s="219">
        <v>1801075.59</v>
      </c>
      <c r="H10" s="219">
        <v>1501075.59</v>
      </c>
      <c r="I10" s="219">
        <v>1990948.53</v>
      </c>
      <c r="J10" s="219">
        <v>1916209.63</v>
      </c>
      <c r="K10" s="219">
        <v>1872584.46</v>
      </c>
      <c r="L10" s="219">
        <v>2149683.38</v>
      </c>
      <c r="M10" s="219">
        <v>2031935</v>
      </c>
      <c r="N10" s="219">
        <v>2358624.27</v>
      </c>
      <c r="O10" s="219">
        <v>2442588.21</v>
      </c>
      <c r="P10" s="219">
        <v>2626768.37</v>
      </c>
      <c r="Q10" s="219">
        <v>2344089.4</v>
      </c>
      <c r="R10" s="220">
        <v>412000</v>
      </c>
      <c r="S10" s="220">
        <v>0</v>
      </c>
      <c r="T10" s="220">
        <v>300000</v>
      </c>
      <c r="U10" s="234">
        <v>0</v>
      </c>
      <c r="V10" s="234">
        <v>300000</v>
      </c>
      <c r="W10" s="234">
        <v>350000</v>
      </c>
      <c r="X10" s="234"/>
      <c r="Y10" s="234">
        <v>350000</v>
      </c>
      <c r="Z10" s="234">
        <v>0</v>
      </c>
      <c r="AA10" s="234">
        <v>280000</v>
      </c>
      <c r="AB10" s="234">
        <v>0</v>
      </c>
      <c r="AC10" s="234">
        <v>550000</v>
      </c>
      <c r="AD10" s="234"/>
      <c r="AE10" s="234"/>
      <c r="AF10" s="234">
        <v>400000</v>
      </c>
      <c r="AG10" s="234">
        <v>170000</v>
      </c>
      <c r="AH10" s="234">
        <v>100000</v>
      </c>
      <c r="AI10" s="241">
        <f t="shared" si="5"/>
        <v>-94762.8700000001</v>
      </c>
      <c r="AJ10" s="241">
        <f t="shared" si="6"/>
        <v>287881.47</v>
      </c>
      <c r="AK10" s="241">
        <f t="shared" si="7"/>
        <v>501075.59</v>
      </c>
      <c r="AL10" s="241">
        <f t="shared" si="8"/>
        <v>221075.59</v>
      </c>
      <c r="AM10" s="241">
        <f t="shared" si="9"/>
        <v>160948.53</v>
      </c>
      <c r="AN10" s="241">
        <f t="shared" si="10"/>
        <v>386209.63</v>
      </c>
      <c r="AO10" s="241">
        <f t="shared" si="11"/>
        <v>692584.46</v>
      </c>
      <c r="AP10" s="241">
        <f t="shared" si="12"/>
        <v>969683.38</v>
      </c>
      <c r="AQ10" s="241"/>
      <c r="AR10" s="241"/>
      <c r="AS10" s="241"/>
      <c r="AT10" s="241">
        <f t="shared" si="0"/>
        <v>1506768.37</v>
      </c>
      <c r="AU10" s="241">
        <v>0</v>
      </c>
      <c r="AV10" s="241">
        <v>382644.34</v>
      </c>
      <c r="AW10" s="241">
        <v>213194.12</v>
      </c>
      <c r="AX10" s="241"/>
      <c r="AY10" s="241">
        <v>489872.94</v>
      </c>
      <c r="AZ10" s="241">
        <v>225261.1</v>
      </c>
      <c r="BA10" s="241">
        <v>306374.83</v>
      </c>
      <c r="BB10" s="241">
        <v>277098.92</v>
      </c>
      <c r="BC10" s="241">
        <v>232251.62</v>
      </c>
      <c r="BD10" s="241">
        <v>326689.27</v>
      </c>
      <c r="BE10" s="241">
        <v>363963.94</v>
      </c>
      <c r="BF10" s="241">
        <v>184180.16</v>
      </c>
      <c r="BG10" s="241">
        <v>267321.03</v>
      </c>
      <c r="BH10" s="241"/>
      <c r="BI10" s="241"/>
      <c r="BJ10" s="241"/>
      <c r="BK10" s="241"/>
      <c r="BL10" s="241"/>
      <c r="BM10" s="241">
        <v>10735</v>
      </c>
      <c r="BN10" s="241"/>
      <c r="BO10" s="241"/>
      <c r="BP10" s="241"/>
      <c r="BQ10" s="241"/>
      <c r="BR10" s="241"/>
      <c r="BS10" s="241"/>
      <c r="BT10" s="241"/>
      <c r="BU10" s="241"/>
      <c r="BV10" s="241"/>
      <c r="BW10" s="241"/>
      <c r="BX10" s="241"/>
      <c r="BY10" s="241"/>
      <c r="BZ10" s="241">
        <f t="shared" si="2"/>
        <v>10735</v>
      </c>
      <c r="CA10" s="241">
        <v>212014.83</v>
      </c>
      <c r="CB10" s="241"/>
      <c r="CC10" s="162"/>
      <c r="CD10" s="162"/>
      <c r="CE10" s="79"/>
      <c r="CF10" s="79"/>
      <c r="CG10" s="79" t="s">
        <v>84</v>
      </c>
      <c r="CH10" s="273">
        <f t="shared" si="13"/>
        <v>10735</v>
      </c>
      <c r="CI10" s="273">
        <f t="shared" si="1"/>
        <v>1</v>
      </c>
      <c r="CJ10" s="273">
        <v>10735</v>
      </c>
      <c r="CK10" s="273"/>
      <c r="CL10" s="273"/>
      <c r="CM10" s="273"/>
      <c r="CN10" s="273"/>
      <c r="CO10" s="273"/>
      <c r="CP10" s="273"/>
      <c r="CQ10" s="273"/>
      <c r="CR10" s="273"/>
      <c r="CS10" s="273"/>
      <c r="CT10" s="273"/>
      <c r="CU10" s="273">
        <f t="shared" si="3"/>
        <v>0</v>
      </c>
      <c r="CV10" s="234">
        <f>CU10-BW10-BX10</f>
        <v>0</v>
      </c>
      <c r="CW10" s="234" t="s">
        <v>96</v>
      </c>
      <c r="CY10" s="180"/>
    </row>
    <row r="11" s="20" customFormat="1" ht="24" customHeight="1" spans="2:103">
      <c r="B11" s="4" t="s">
        <v>81</v>
      </c>
      <c r="C11" s="218" t="s">
        <v>97</v>
      </c>
      <c r="D11" s="5" t="s">
        <v>98</v>
      </c>
      <c r="E11" s="220">
        <v>1309036.87</v>
      </c>
      <c r="F11" s="220">
        <v>1600881.53</v>
      </c>
      <c r="G11" s="219">
        <v>1566714.49</v>
      </c>
      <c r="H11" s="219">
        <v>1359630.87</v>
      </c>
      <c r="I11" s="219">
        <v>1586478.1</v>
      </c>
      <c r="J11" s="219">
        <v>1599877.12</v>
      </c>
      <c r="K11" s="219">
        <v>1434908.17</v>
      </c>
      <c r="L11" s="219">
        <v>2118266.36</v>
      </c>
      <c r="M11" s="219">
        <v>2152748.86</v>
      </c>
      <c r="N11" s="219">
        <v>2341616.98</v>
      </c>
      <c r="O11" s="219">
        <v>2527439.32</v>
      </c>
      <c r="P11" s="219">
        <v>2837549.93</v>
      </c>
      <c r="Q11" s="219">
        <v>2827844.14</v>
      </c>
      <c r="R11" s="220">
        <v>0</v>
      </c>
      <c r="S11" s="220">
        <v>200000</v>
      </c>
      <c r="T11" s="220">
        <v>400000</v>
      </c>
      <c r="U11" s="234"/>
      <c r="V11" s="234">
        <v>200000</v>
      </c>
      <c r="W11" s="234">
        <v>485000</v>
      </c>
      <c r="X11" s="234"/>
      <c r="Y11" s="234">
        <v>200000</v>
      </c>
      <c r="Z11" s="234">
        <v>95000</v>
      </c>
      <c r="AA11" s="234">
        <v>300000</v>
      </c>
      <c r="AB11" s="234">
        <v>100000</v>
      </c>
      <c r="AC11" s="234">
        <v>450000</v>
      </c>
      <c r="AD11" s="234">
        <v>100000</v>
      </c>
      <c r="AE11" s="234">
        <v>100000</v>
      </c>
      <c r="AF11" s="234">
        <v>272035</v>
      </c>
      <c r="AG11" s="234">
        <v>180312.5</v>
      </c>
      <c r="AH11" s="234">
        <v>400000</v>
      </c>
      <c r="AI11" s="241">
        <f t="shared" si="5"/>
        <v>-175963.13</v>
      </c>
      <c r="AJ11" s="241">
        <f t="shared" si="6"/>
        <v>115881.53</v>
      </c>
      <c r="AK11" s="241">
        <f t="shared" si="7"/>
        <v>281714.49</v>
      </c>
      <c r="AL11" s="241">
        <f t="shared" si="8"/>
        <v>79630.8700000001</v>
      </c>
      <c r="AM11" s="241">
        <f t="shared" si="9"/>
        <v>-243521.9</v>
      </c>
      <c r="AN11" s="241">
        <f t="shared" si="10"/>
        <v>-30122.8799999999</v>
      </c>
      <c r="AO11" s="241">
        <f t="shared" si="11"/>
        <v>89908.1699999999</v>
      </c>
      <c r="AP11" s="241">
        <f t="shared" si="12"/>
        <v>773266.36</v>
      </c>
      <c r="AQ11" s="241"/>
      <c r="AR11" s="241"/>
      <c r="AS11" s="241"/>
      <c r="AT11" s="241">
        <f t="shared" si="0"/>
        <v>1735202.43</v>
      </c>
      <c r="AU11" s="241"/>
      <c r="AV11" s="241">
        <v>291844.66</v>
      </c>
      <c r="AW11" s="241">
        <v>165832.96</v>
      </c>
      <c r="AX11" s="241">
        <v>192916.38</v>
      </c>
      <c r="AY11" s="241">
        <v>226847.23</v>
      </c>
      <c r="AZ11" s="241">
        <v>213399.02</v>
      </c>
      <c r="BA11" s="241">
        <v>335031.05</v>
      </c>
      <c r="BB11" s="241">
        <v>683358.19</v>
      </c>
      <c r="BC11" s="241">
        <v>234482.5</v>
      </c>
      <c r="BD11" s="241">
        <v>283868.12</v>
      </c>
      <c r="BE11" s="241">
        <v>485822.34</v>
      </c>
      <c r="BF11" s="241">
        <v>410110.61</v>
      </c>
      <c r="BG11" s="241">
        <v>440294.21</v>
      </c>
      <c r="BH11" s="241">
        <v>2169.6</v>
      </c>
      <c r="BI11" s="241">
        <v>7458</v>
      </c>
      <c r="BJ11" s="241">
        <v>29312.2</v>
      </c>
      <c r="BK11" s="241">
        <v>0</v>
      </c>
      <c r="BL11" s="241">
        <v>41086.8</v>
      </c>
      <c r="BM11" s="241">
        <v>16882.2</v>
      </c>
      <c r="BN11" s="241">
        <v>10170</v>
      </c>
      <c r="BO11" s="241">
        <v>20340</v>
      </c>
      <c r="BP11" s="241"/>
      <c r="BQ11" s="241"/>
      <c r="BR11" s="241"/>
      <c r="BS11" s="241"/>
      <c r="BT11" s="241"/>
      <c r="BU11" s="241"/>
      <c r="BV11" s="241"/>
      <c r="BW11" s="241"/>
      <c r="BX11" s="241"/>
      <c r="BY11" s="241"/>
      <c r="BZ11" s="241">
        <f t="shared" si="2"/>
        <v>127418.8</v>
      </c>
      <c r="CA11" s="241">
        <v>217405.24</v>
      </c>
      <c r="CB11" s="241"/>
      <c r="CC11" s="162"/>
      <c r="CD11" s="162"/>
      <c r="CE11" s="79"/>
      <c r="CF11" s="79"/>
      <c r="CG11" s="79" t="s">
        <v>84</v>
      </c>
      <c r="CH11" s="273">
        <f t="shared" si="13"/>
        <v>127418.8</v>
      </c>
      <c r="CI11" s="273">
        <f t="shared" si="1"/>
        <v>1</v>
      </c>
      <c r="CJ11" s="273">
        <v>9627.6</v>
      </c>
      <c r="CK11" s="273"/>
      <c r="CL11" s="273">
        <v>40000</v>
      </c>
      <c r="CM11" s="273">
        <v>30000</v>
      </c>
      <c r="CN11" s="273"/>
      <c r="CO11" s="273">
        <v>30000</v>
      </c>
      <c r="CP11" s="273"/>
      <c r="CQ11" s="273">
        <v>17791.2</v>
      </c>
      <c r="CR11" s="273"/>
      <c r="CS11" s="273"/>
      <c r="CT11" s="273"/>
      <c r="CU11" s="273">
        <f t="shared" si="3"/>
        <v>-3.63797880709171e-12</v>
      </c>
      <c r="CV11" s="234">
        <f t="shared" si="4"/>
        <v>0</v>
      </c>
      <c r="CW11" s="234" t="s">
        <v>85</v>
      </c>
      <c r="CY11" s="180"/>
    </row>
    <row r="12" s="20" customFormat="1" ht="24" customHeight="1" spans="2:103">
      <c r="B12" s="4" t="s">
        <v>81</v>
      </c>
      <c r="C12" s="218" t="s">
        <v>99</v>
      </c>
      <c r="D12" s="5" t="s">
        <v>100</v>
      </c>
      <c r="E12" s="220">
        <v>836579.35</v>
      </c>
      <c r="F12" s="220">
        <v>836579.35</v>
      </c>
      <c r="G12" s="219">
        <v>1590596.91</v>
      </c>
      <c r="H12" s="219">
        <v>1860409.89</v>
      </c>
      <c r="I12" s="219">
        <v>1360409.89</v>
      </c>
      <c r="J12" s="219">
        <v>1661907.57</v>
      </c>
      <c r="K12" s="219">
        <v>1927609.19</v>
      </c>
      <c r="L12" s="219">
        <v>927609.19</v>
      </c>
      <c r="M12" s="219">
        <v>927609.19</v>
      </c>
      <c r="N12" s="219">
        <v>627609.19</v>
      </c>
      <c r="O12" s="219">
        <v>327609.19</v>
      </c>
      <c r="P12" s="219">
        <v>1413158.32</v>
      </c>
      <c r="Q12" s="219">
        <v>970967.72</v>
      </c>
      <c r="R12" s="220"/>
      <c r="S12" s="220">
        <v>150000</v>
      </c>
      <c r="T12" s="220">
        <v>300000</v>
      </c>
      <c r="U12" s="234">
        <v>500000</v>
      </c>
      <c r="V12" s="234">
        <v>500000</v>
      </c>
      <c r="W12" s="234"/>
      <c r="X12" s="234">
        <v>1000000</v>
      </c>
      <c r="Y12" s="234"/>
      <c r="Z12" s="234">
        <v>300000</v>
      </c>
      <c r="AA12" s="234">
        <v>300000</v>
      </c>
      <c r="AB12" s="234"/>
      <c r="AC12" s="234">
        <v>750000</v>
      </c>
      <c r="AD12" s="234">
        <v>300000</v>
      </c>
      <c r="AE12" s="234"/>
      <c r="AF12" s="234">
        <v>200000</v>
      </c>
      <c r="AG12" s="234">
        <v>300000</v>
      </c>
      <c r="AH12" s="234">
        <v>200000</v>
      </c>
      <c r="AI12" s="241">
        <f t="shared" si="5"/>
        <v>-1613420.65</v>
      </c>
      <c r="AJ12" s="241">
        <f t="shared" si="6"/>
        <v>-1613420.65</v>
      </c>
      <c r="AK12" s="241">
        <f t="shared" si="7"/>
        <v>-709403.09</v>
      </c>
      <c r="AL12" s="241">
        <f t="shared" si="8"/>
        <v>-739590.11</v>
      </c>
      <c r="AM12" s="241">
        <f t="shared" si="9"/>
        <v>-1489590.11</v>
      </c>
      <c r="AN12" s="241">
        <f t="shared" si="10"/>
        <v>-688092.43</v>
      </c>
      <c r="AO12" s="241">
        <f t="shared" si="11"/>
        <v>-722390.81</v>
      </c>
      <c r="AP12" s="241">
        <f t="shared" si="12"/>
        <v>-722390.81</v>
      </c>
      <c r="AQ12" s="241"/>
      <c r="AR12" s="241"/>
      <c r="AS12" s="241"/>
      <c r="AT12" s="241">
        <f t="shared" si="0"/>
        <v>-136841.68</v>
      </c>
      <c r="AU12" s="241"/>
      <c r="AV12" s="241"/>
      <c r="AW12" s="241">
        <v>904017.56</v>
      </c>
      <c r="AX12" s="241">
        <v>569812.98</v>
      </c>
      <c r="AY12" s="241"/>
      <c r="AZ12" s="241">
        <v>801497.68</v>
      </c>
      <c r="BA12" s="241">
        <v>265701.62</v>
      </c>
      <c r="BB12" s="241"/>
      <c r="BC12" s="241"/>
      <c r="BD12" s="241"/>
      <c r="BE12" s="241"/>
      <c r="BF12" s="241">
        <v>1085549.13</v>
      </c>
      <c r="BG12" s="241">
        <v>307809.4</v>
      </c>
      <c r="BH12" s="241">
        <v>25764</v>
      </c>
      <c r="BI12" s="241">
        <v>25764</v>
      </c>
      <c r="BJ12" s="241">
        <v>137803.5</v>
      </c>
      <c r="BK12" s="241"/>
      <c r="BL12" s="241"/>
      <c r="BM12" s="241"/>
      <c r="BN12" s="241">
        <v>432507.5</v>
      </c>
      <c r="BO12" s="241">
        <v>128255</v>
      </c>
      <c r="BP12" s="241">
        <v>275607</v>
      </c>
      <c r="BQ12" s="241"/>
      <c r="BR12" s="241">
        <v>171195</v>
      </c>
      <c r="BS12" s="241"/>
      <c r="BT12" s="241">
        <v>76275</v>
      </c>
      <c r="BU12" s="241"/>
      <c r="BV12" s="241">
        <v>25425</v>
      </c>
      <c r="BW12" s="241">
        <v>9322.5</v>
      </c>
      <c r="BX12" s="241"/>
      <c r="BY12" s="241"/>
      <c r="BZ12" s="241">
        <f t="shared" si="2"/>
        <v>1307918.5</v>
      </c>
      <c r="CA12" s="241">
        <v>0</v>
      </c>
      <c r="CB12" s="241"/>
      <c r="CC12" s="162"/>
      <c r="CD12" s="162"/>
      <c r="CE12" s="79"/>
      <c r="CF12" s="79"/>
      <c r="CG12" s="79" t="s">
        <v>84</v>
      </c>
      <c r="CH12" s="273">
        <f t="shared" si="13"/>
        <v>1307918.5</v>
      </c>
      <c r="CI12" s="273">
        <f t="shared" si="1"/>
        <v>1</v>
      </c>
      <c r="CJ12" s="273">
        <f>189331.5</f>
        <v>189331.5</v>
      </c>
      <c r="CK12" s="273">
        <v>150000</v>
      </c>
      <c r="CL12" s="273">
        <v>82507.5</v>
      </c>
      <c r="CM12" s="273">
        <v>328255</v>
      </c>
      <c r="CN12" s="273"/>
      <c r="CO12" s="273">
        <f>100000+180000</f>
        <v>280000</v>
      </c>
      <c r="CP12" s="273"/>
      <c r="CQ12" s="273">
        <f>50000+116802</f>
        <v>166802</v>
      </c>
      <c r="CR12" s="273"/>
      <c r="CS12" s="273">
        <v>50000</v>
      </c>
      <c r="CT12" s="273">
        <f>51700+9322.5</f>
        <v>61022.5</v>
      </c>
      <c r="CU12" s="273">
        <f t="shared" si="3"/>
        <v>0</v>
      </c>
      <c r="CV12" s="234">
        <f>CU12-BX12</f>
        <v>0</v>
      </c>
      <c r="CW12" s="234" t="s">
        <v>101</v>
      </c>
      <c r="CY12" s="180"/>
    </row>
    <row r="13" s="20" customFormat="1" ht="24" customHeight="1" spans="2:103">
      <c r="B13" s="4" t="s">
        <v>81</v>
      </c>
      <c r="C13" s="218" t="s">
        <v>105</v>
      </c>
      <c r="D13" s="5" t="s">
        <v>106</v>
      </c>
      <c r="E13" s="220">
        <v>1498539.37</v>
      </c>
      <c r="F13" s="220">
        <v>1833556.83</v>
      </c>
      <c r="G13" s="219">
        <v>1783994.71</v>
      </c>
      <c r="H13" s="219">
        <v>1731445.82</v>
      </c>
      <c r="I13" s="219">
        <v>1496251.57</v>
      </c>
      <c r="J13" s="219">
        <v>1879297.55</v>
      </c>
      <c r="K13" s="219">
        <v>1647417.69</v>
      </c>
      <c r="L13" s="219">
        <v>1620500.94</v>
      </c>
      <c r="M13" s="219">
        <v>1837806.72</v>
      </c>
      <c r="N13" s="219">
        <v>2145443.28</v>
      </c>
      <c r="O13" s="219">
        <v>1264344.7</v>
      </c>
      <c r="P13" s="219">
        <v>1632954.85</v>
      </c>
      <c r="Q13" s="219">
        <v>1560168.6</v>
      </c>
      <c r="R13" s="220">
        <v>0</v>
      </c>
      <c r="S13" s="220">
        <v>313641</v>
      </c>
      <c r="T13" s="220">
        <v>322673.16</v>
      </c>
      <c r="U13" s="234">
        <v>525507.01</v>
      </c>
      <c r="V13" s="234"/>
      <c r="W13" s="234">
        <v>613364.31</v>
      </c>
      <c r="X13" s="234">
        <v>400000</v>
      </c>
      <c r="Y13" s="234">
        <v>60604.21</v>
      </c>
      <c r="Z13" s="234">
        <v>53693.69</v>
      </c>
      <c r="AA13" s="234">
        <v>1250000</v>
      </c>
      <c r="AB13" s="234">
        <v>0</v>
      </c>
      <c r="AC13" s="234">
        <v>450000</v>
      </c>
      <c r="AD13" s="234">
        <v>351189.16</v>
      </c>
      <c r="AE13" s="234"/>
      <c r="AF13" s="234">
        <v>268116.33</v>
      </c>
      <c r="AG13" s="234">
        <v>50000</v>
      </c>
      <c r="AH13" s="234">
        <v>200000</v>
      </c>
      <c r="AI13" s="241">
        <f t="shared" si="5"/>
        <v>-737250.32</v>
      </c>
      <c r="AJ13" s="241">
        <f t="shared" si="6"/>
        <v>-402232.86</v>
      </c>
      <c r="AK13" s="241">
        <f t="shared" si="7"/>
        <v>-138153.98</v>
      </c>
      <c r="AL13" s="241">
        <f t="shared" si="8"/>
        <v>-1171723.4</v>
      </c>
      <c r="AM13" s="241">
        <f t="shared" si="9"/>
        <v>-1331410.64</v>
      </c>
      <c r="AN13" s="241">
        <f t="shared" si="10"/>
        <v>-948364.66</v>
      </c>
      <c r="AO13" s="241">
        <f t="shared" si="11"/>
        <v>-918069.37</v>
      </c>
      <c r="AP13" s="241">
        <f t="shared" si="12"/>
        <v>-544986.12</v>
      </c>
      <c r="AQ13" s="241"/>
      <c r="AR13" s="241"/>
      <c r="AS13" s="241"/>
      <c r="AT13" s="241">
        <f t="shared" si="0"/>
        <v>513649.36</v>
      </c>
      <c r="AU13" s="241"/>
      <c r="AV13" s="241">
        <v>335017.46</v>
      </c>
      <c r="AW13" s="241">
        <v>264078.88</v>
      </c>
      <c r="AX13" s="241">
        <v>270124.27</v>
      </c>
      <c r="AY13" s="241">
        <v>290312.76</v>
      </c>
      <c r="AZ13" s="241">
        <v>383045.98</v>
      </c>
      <c r="BA13" s="241">
        <v>381484.45</v>
      </c>
      <c r="BB13" s="241">
        <v>373083.25</v>
      </c>
      <c r="BC13" s="241">
        <v>277909.99</v>
      </c>
      <c r="BD13" s="241">
        <v>361330.25</v>
      </c>
      <c r="BE13" s="241">
        <v>368901.42</v>
      </c>
      <c r="BF13" s="241">
        <v>368610.15</v>
      </c>
      <c r="BG13" s="241">
        <v>377213.75</v>
      </c>
      <c r="BH13" s="241">
        <v>17290.13</v>
      </c>
      <c r="BI13" s="241">
        <v>66518.11</v>
      </c>
      <c r="BJ13" s="241">
        <v>191765.52</v>
      </c>
      <c r="BK13" s="241">
        <v>180562.61</v>
      </c>
      <c r="BL13" s="241">
        <v>224393.49</v>
      </c>
      <c r="BM13" s="241"/>
      <c r="BN13" s="241">
        <v>222983.92</v>
      </c>
      <c r="BO13" s="241">
        <v>143494.68</v>
      </c>
      <c r="BP13" s="241"/>
      <c r="BQ13" s="241">
        <v>110359.91</v>
      </c>
      <c r="BR13" s="241">
        <v>59522.97</v>
      </c>
      <c r="BS13" s="241">
        <v>29092.89</v>
      </c>
      <c r="BT13" s="241">
        <v>77544.75</v>
      </c>
      <c r="BU13" s="241"/>
      <c r="BV13" s="241">
        <v>115246.48</v>
      </c>
      <c r="BW13" s="241">
        <v>127463.01</v>
      </c>
      <c r="BX13" s="241"/>
      <c r="BY13" s="241"/>
      <c r="BZ13" s="241">
        <f t="shared" si="2"/>
        <v>1566238.47</v>
      </c>
      <c r="CA13" s="241">
        <v>454636.08</v>
      </c>
      <c r="CB13" s="241"/>
      <c r="CC13" s="162"/>
      <c r="CD13" s="162"/>
      <c r="CE13" s="79"/>
      <c r="CF13" s="79"/>
      <c r="CG13" s="79" t="s">
        <v>84</v>
      </c>
      <c r="CH13" s="273">
        <f t="shared" si="13"/>
        <v>1566238.47</v>
      </c>
      <c r="CI13" s="273">
        <f t="shared" si="1"/>
        <v>1</v>
      </c>
      <c r="CJ13" s="273">
        <f>23453.9+438846.54-6164.07</f>
        <v>456136.37</v>
      </c>
      <c r="CK13" s="273">
        <v>120000</v>
      </c>
      <c r="CL13" s="273">
        <f>104393.49+157704.65</f>
        <v>262098.14</v>
      </c>
      <c r="CM13" s="273">
        <v>60000</v>
      </c>
      <c r="CN13" s="273"/>
      <c r="CO13" s="273">
        <f>90000+100000</f>
        <v>190000</v>
      </c>
      <c r="CP13" s="273"/>
      <c r="CQ13" s="273">
        <v>75000</v>
      </c>
      <c r="CR13" s="273">
        <v>60000</v>
      </c>
      <c r="CS13" s="273">
        <v>80000</v>
      </c>
      <c r="CT13" s="273">
        <f>80000+100000</f>
        <v>180000</v>
      </c>
      <c r="CU13" s="273">
        <f t="shared" si="3"/>
        <v>83003.9599999996</v>
      </c>
      <c r="CV13" s="234">
        <f t="shared" si="4"/>
        <v>83003.9599999996</v>
      </c>
      <c r="CW13" s="234" t="s">
        <v>85</v>
      </c>
      <c r="CY13" s="180"/>
    </row>
    <row r="14" s="20" customFormat="1" ht="24" customHeight="1" spans="2:103">
      <c r="B14" s="4" t="s">
        <v>81</v>
      </c>
      <c r="C14" s="218" t="s">
        <v>107</v>
      </c>
      <c r="D14" s="5" t="s">
        <v>108</v>
      </c>
      <c r="E14" s="220"/>
      <c r="F14" s="220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20"/>
      <c r="S14" s="220"/>
      <c r="T14" s="220"/>
      <c r="U14" s="234"/>
      <c r="V14" s="234"/>
      <c r="W14" s="234"/>
      <c r="X14" s="234"/>
      <c r="Y14" s="234"/>
      <c r="Z14" s="234"/>
      <c r="AA14" s="234"/>
      <c r="AB14" s="234"/>
      <c r="AC14" s="234"/>
      <c r="AD14" s="234"/>
      <c r="AE14" s="234"/>
      <c r="AF14" s="234"/>
      <c r="AG14" s="234"/>
      <c r="AH14" s="234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  <c r="AS14" s="241"/>
      <c r="AT14" s="241"/>
      <c r="AU14" s="241">
        <v>9153</v>
      </c>
      <c r="AV14" s="241"/>
      <c r="AW14" s="241"/>
      <c r="AX14" s="241"/>
      <c r="AY14" s="241"/>
      <c r="AZ14" s="241"/>
      <c r="BA14" s="241"/>
      <c r="BB14" s="241"/>
      <c r="BC14" s="241"/>
      <c r="BD14" s="241"/>
      <c r="BE14" s="241"/>
      <c r="BF14" s="241"/>
      <c r="BG14" s="241"/>
      <c r="BH14" s="241">
        <v>146662.52</v>
      </c>
      <c r="BI14" s="241">
        <v>330679.58</v>
      </c>
      <c r="BJ14" s="241">
        <v>551132.64</v>
      </c>
      <c r="BK14" s="241">
        <v>440714.75</v>
      </c>
      <c r="BL14" s="241">
        <v>595223.25</v>
      </c>
      <c r="BM14" s="241"/>
      <c r="BN14" s="241">
        <v>317309.51</v>
      </c>
      <c r="BO14" s="241">
        <v>101959.54</v>
      </c>
      <c r="BP14" s="241"/>
      <c r="BQ14" s="241">
        <f>540572.52+206674.74</f>
        <v>747247.26</v>
      </c>
      <c r="BR14" s="241"/>
      <c r="BS14" s="241">
        <v>92069.42</v>
      </c>
      <c r="BT14" s="241">
        <v>574377.78</v>
      </c>
      <c r="BU14" s="241">
        <v>219867.26</v>
      </c>
      <c r="BV14" s="241">
        <v>439734.53</v>
      </c>
      <c r="BW14" s="241">
        <v>274834.08</v>
      </c>
      <c r="BX14" s="241"/>
      <c r="BY14" s="241"/>
      <c r="BZ14" s="241">
        <f t="shared" si="2"/>
        <v>4840965.12</v>
      </c>
      <c r="CA14" s="241"/>
      <c r="CB14" s="241"/>
      <c r="CC14" s="162"/>
      <c r="CD14" s="162"/>
      <c r="CE14" s="79"/>
      <c r="CF14" s="79"/>
      <c r="CG14" s="79" t="s">
        <v>84</v>
      </c>
      <c r="CH14" s="273">
        <f t="shared" si="13"/>
        <v>4840965.12</v>
      </c>
      <c r="CI14" s="273"/>
      <c r="CJ14" s="273">
        <f>155815.52+551132.64</f>
        <v>706948.16</v>
      </c>
      <c r="CK14" s="273">
        <v>950000</v>
      </c>
      <c r="CL14" s="273">
        <f>200000+300000</f>
        <v>500000</v>
      </c>
      <c r="CM14" s="273">
        <v>20000</v>
      </c>
      <c r="CN14" s="273">
        <v>300000</v>
      </c>
      <c r="CO14" s="273">
        <v>500000</v>
      </c>
      <c r="CP14" s="273">
        <v>300000</v>
      </c>
      <c r="CQ14" s="273">
        <v>500000</v>
      </c>
      <c r="CR14" s="273"/>
      <c r="CS14" s="273">
        <v>349448.35</v>
      </c>
      <c r="CT14" s="273">
        <f>439734.53+274834.08</f>
        <v>714568.61</v>
      </c>
      <c r="CU14" s="273">
        <f t="shared" si="3"/>
        <v>0</v>
      </c>
      <c r="CV14" s="234">
        <f t="shared" si="4"/>
        <v>0</v>
      </c>
      <c r="CW14" s="234" t="s">
        <v>85</v>
      </c>
      <c r="CY14" s="180"/>
    </row>
    <row r="15" s="20" customFormat="1" ht="24" customHeight="1" spans="2:103">
      <c r="B15" s="4" t="s">
        <v>81</v>
      </c>
      <c r="C15" s="218" t="s">
        <v>109</v>
      </c>
      <c r="D15" s="5" t="s">
        <v>110</v>
      </c>
      <c r="E15" s="220"/>
      <c r="F15" s="220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20"/>
      <c r="S15" s="220"/>
      <c r="T15" s="220"/>
      <c r="U15" s="234"/>
      <c r="V15" s="234"/>
      <c r="W15" s="234"/>
      <c r="X15" s="234"/>
      <c r="Y15" s="234"/>
      <c r="Z15" s="234"/>
      <c r="AA15" s="234"/>
      <c r="AB15" s="234"/>
      <c r="AC15" s="234"/>
      <c r="AD15" s="234"/>
      <c r="AE15" s="234"/>
      <c r="AF15" s="234"/>
      <c r="AG15" s="234"/>
      <c r="AH15" s="234"/>
      <c r="AI15" s="241"/>
      <c r="AJ15" s="241"/>
      <c r="AK15" s="241"/>
      <c r="AL15" s="241"/>
      <c r="AM15" s="241"/>
      <c r="AN15" s="241"/>
      <c r="AO15" s="241"/>
      <c r="AP15" s="241"/>
      <c r="AQ15" s="241"/>
      <c r="AR15" s="241"/>
      <c r="AS15" s="241"/>
      <c r="AT15" s="241"/>
      <c r="AU15" s="241"/>
      <c r="AV15" s="241"/>
      <c r="AW15" s="241"/>
      <c r="AX15" s="241"/>
      <c r="AY15" s="241"/>
      <c r="AZ15" s="241"/>
      <c r="BA15" s="241"/>
      <c r="BB15" s="241"/>
      <c r="BC15" s="241"/>
      <c r="BD15" s="241"/>
      <c r="BE15" s="241"/>
      <c r="BF15" s="241"/>
      <c r="BG15" s="241"/>
      <c r="BH15" s="241">
        <v>0</v>
      </c>
      <c r="BI15" s="241">
        <v>32437.78</v>
      </c>
      <c r="BJ15" s="241">
        <v>50978.93</v>
      </c>
      <c r="BK15" s="241">
        <v>45880.7</v>
      </c>
      <c r="BL15" s="241">
        <v>27783.75</v>
      </c>
      <c r="BM15" s="241">
        <v>30894.83</v>
      </c>
      <c r="BN15" s="241"/>
      <c r="BO15" s="241"/>
      <c r="BP15" s="241">
        <v>21225.34</v>
      </c>
      <c r="BQ15" s="241">
        <v>23171.12</v>
      </c>
      <c r="BR15" s="241">
        <v>14736.51</v>
      </c>
      <c r="BS15" s="241">
        <v>7094.59</v>
      </c>
      <c r="BT15" s="241"/>
      <c r="BU15" s="241"/>
      <c r="BV15" s="241">
        <f>3842.9+15371.62</f>
        <v>19214.52</v>
      </c>
      <c r="BW15" s="241">
        <f>28378.37+18588.97</f>
        <v>46967.34</v>
      </c>
      <c r="BX15" s="241">
        <v>15405.75</v>
      </c>
      <c r="BY15" s="241">
        <v>10937.5</v>
      </c>
      <c r="BZ15" s="241">
        <f t="shared" si="2"/>
        <v>346728.66</v>
      </c>
      <c r="CA15" s="241"/>
      <c r="CB15" s="241"/>
      <c r="CC15" s="162"/>
      <c r="CD15" s="162"/>
      <c r="CE15" s="79"/>
      <c r="CF15" s="79"/>
      <c r="CG15" s="79" t="s">
        <v>84</v>
      </c>
      <c r="CH15" s="273">
        <f t="shared" si="13"/>
        <v>346728.66</v>
      </c>
      <c r="CI15" s="273"/>
      <c r="CJ15" s="273">
        <v>187975.99</v>
      </c>
      <c r="CK15" s="273"/>
      <c r="CL15" s="273"/>
      <c r="CM15" s="273">
        <v>30000</v>
      </c>
      <c r="CN15" s="273"/>
      <c r="CO15" s="273">
        <f>29113.17+7094.59</f>
        <v>36207.76</v>
      </c>
      <c r="CP15" s="273"/>
      <c r="CQ15" s="273"/>
      <c r="CR15" s="273">
        <v>19209.59</v>
      </c>
      <c r="CS15" s="273">
        <v>46967.34</v>
      </c>
      <c r="CT15" s="273">
        <f>15405.75+10937.5</f>
        <v>26343.25</v>
      </c>
      <c r="CU15" s="273">
        <f t="shared" si="3"/>
        <v>24.7300000000541</v>
      </c>
      <c r="CV15" s="234">
        <f>CU15</f>
        <v>24.7300000000541</v>
      </c>
      <c r="CW15" s="234" t="s">
        <v>111</v>
      </c>
      <c r="CY15" s="180"/>
    </row>
    <row r="16" s="20" customFormat="1" ht="24" customHeight="1" spans="2:103">
      <c r="B16" s="4" t="s">
        <v>81</v>
      </c>
      <c r="C16" s="218" t="s">
        <v>112</v>
      </c>
      <c r="D16" s="5" t="s">
        <v>113</v>
      </c>
      <c r="E16" s="220"/>
      <c r="F16" s="220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20"/>
      <c r="S16" s="220"/>
      <c r="T16" s="220"/>
      <c r="U16" s="234"/>
      <c r="V16" s="234"/>
      <c r="W16" s="234"/>
      <c r="X16" s="234"/>
      <c r="Y16" s="234"/>
      <c r="Z16" s="234"/>
      <c r="AA16" s="234"/>
      <c r="AB16" s="234"/>
      <c r="AC16" s="234"/>
      <c r="AD16" s="234"/>
      <c r="AE16" s="234"/>
      <c r="AF16" s="234"/>
      <c r="AG16" s="234"/>
      <c r="AH16" s="234"/>
      <c r="AI16" s="241"/>
      <c r="AJ16" s="241"/>
      <c r="AK16" s="241"/>
      <c r="AL16" s="241"/>
      <c r="AM16" s="241"/>
      <c r="AN16" s="241"/>
      <c r="AO16" s="241"/>
      <c r="AP16" s="241"/>
      <c r="AQ16" s="241"/>
      <c r="AR16" s="241"/>
      <c r="AS16" s="241"/>
      <c r="AT16" s="241"/>
      <c r="AU16" s="241"/>
      <c r="AV16" s="241"/>
      <c r="AW16" s="241"/>
      <c r="AX16" s="241"/>
      <c r="AY16" s="241"/>
      <c r="AZ16" s="241"/>
      <c r="BA16" s="241"/>
      <c r="BB16" s="241"/>
      <c r="BC16" s="241"/>
      <c r="BD16" s="241"/>
      <c r="BE16" s="241"/>
      <c r="BF16" s="241"/>
      <c r="BG16" s="241"/>
      <c r="BH16" s="249">
        <v>24799.21</v>
      </c>
      <c r="BI16" s="249">
        <v>113930.39</v>
      </c>
      <c r="BJ16" s="241">
        <v>253114.35</v>
      </c>
      <c r="BK16" s="249">
        <v>179138.9</v>
      </c>
      <c r="BL16" s="241">
        <v>280997.44</v>
      </c>
      <c r="BM16" s="241"/>
      <c r="BN16" s="241">
        <v>265871.49</v>
      </c>
      <c r="BO16" s="241"/>
      <c r="BP16" s="241">
        <v>192405.66</v>
      </c>
      <c r="BQ16" s="241">
        <v>170747.76</v>
      </c>
      <c r="BR16" s="241">
        <v>144402.7</v>
      </c>
      <c r="BS16" s="241">
        <v>46263.33</v>
      </c>
      <c r="BT16" s="241">
        <v>141292.54</v>
      </c>
      <c r="BU16" s="241">
        <v>126884.98</v>
      </c>
      <c r="BV16" s="241">
        <v>74379.76</v>
      </c>
      <c r="BW16" s="241">
        <v>173327.19</v>
      </c>
      <c r="BX16" s="241"/>
      <c r="BY16" s="241"/>
      <c r="BZ16" s="241">
        <f t="shared" si="2"/>
        <v>2187555.7</v>
      </c>
      <c r="CA16" s="241"/>
      <c r="CB16" s="241"/>
      <c r="CC16" s="162"/>
      <c r="CD16" s="162"/>
      <c r="CE16" s="79"/>
      <c r="CF16" s="79"/>
      <c r="CG16" s="79" t="s">
        <v>84</v>
      </c>
      <c r="CH16" s="273">
        <f t="shared" si="13"/>
        <v>2187555.7</v>
      </c>
      <c r="CI16" s="273"/>
      <c r="CJ16" s="273">
        <f>138729.6+179138.9</f>
        <v>317868.5</v>
      </c>
      <c r="CK16" s="273">
        <v>100000</v>
      </c>
      <c r="CL16" s="273">
        <f>200000+100000</f>
        <v>300000</v>
      </c>
      <c r="CM16" s="273">
        <v>200000</v>
      </c>
      <c r="CN16" s="273"/>
      <c r="CO16" s="273">
        <f>130000+200000</f>
        <v>330000</v>
      </c>
      <c r="CP16" s="273"/>
      <c r="CQ16" s="273">
        <f>110000+150000</f>
        <v>260000</v>
      </c>
      <c r="CR16" s="273"/>
      <c r="CS16" s="273">
        <v>150000</v>
      </c>
      <c r="CT16" s="273">
        <v>150000</v>
      </c>
      <c r="CU16" s="273">
        <f t="shared" si="3"/>
        <v>379687.2</v>
      </c>
      <c r="CV16" s="234">
        <f t="shared" si="4"/>
        <v>379687.2</v>
      </c>
      <c r="CW16" s="234" t="s">
        <v>85</v>
      </c>
      <c r="CY16" s="180"/>
    </row>
    <row r="17" s="20" customFormat="1" ht="24" customHeight="1" spans="2:103">
      <c r="B17" s="4" t="s">
        <v>81</v>
      </c>
      <c r="C17" s="218" t="s">
        <v>114</v>
      </c>
      <c r="D17" s="5" t="s">
        <v>115</v>
      </c>
      <c r="E17" s="220"/>
      <c r="F17" s="220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20"/>
      <c r="S17" s="220"/>
      <c r="T17" s="220"/>
      <c r="U17" s="23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41"/>
      <c r="AJ17" s="241"/>
      <c r="AK17" s="241"/>
      <c r="AL17" s="241"/>
      <c r="AM17" s="241"/>
      <c r="AN17" s="241"/>
      <c r="AO17" s="241"/>
      <c r="AP17" s="241"/>
      <c r="AQ17" s="241"/>
      <c r="AR17" s="241"/>
      <c r="AS17" s="241"/>
      <c r="AT17" s="241"/>
      <c r="AU17" s="241">
        <v>3868.47</v>
      </c>
      <c r="AV17" s="241"/>
      <c r="AW17" s="241"/>
      <c r="AX17" s="241"/>
      <c r="AY17" s="241"/>
      <c r="AZ17" s="241"/>
      <c r="BA17" s="241"/>
      <c r="BB17" s="241"/>
      <c r="BC17" s="241"/>
      <c r="BD17" s="241"/>
      <c r="BE17" s="241"/>
      <c r="BF17" s="241"/>
      <c r="BG17" s="241"/>
      <c r="BH17" s="241">
        <v>2834.04</v>
      </c>
      <c r="BI17" s="241">
        <v>26767.51</v>
      </c>
      <c r="BJ17" s="241">
        <v>114778.62</v>
      </c>
      <c r="BK17" s="241">
        <v>0</v>
      </c>
      <c r="BL17" s="241">
        <v>213360.7</v>
      </c>
      <c r="BM17" s="241"/>
      <c r="BN17" s="241">
        <v>0</v>
      </c>
      <c r="BO17" s="241"/>
      <c r="BP17" s="241"/>
      <c r="BQ17" s="241"/>
      <c r="BR17" s="241"/>
      <c r="BS17" s="241">
        <f>94468+42439.74</f>
        <v>136907.74</v>
      </c>
      <c r="BT17" s="241"/>
      <c r="BU17" s="241"/>
      <c r="BV17" s="241"/>
      <c r="BW17" s="241"/>
      <c r="BX17" s="241"/>
      <c r="BY17" s="241"/>
      <c r="BZ17" s="241">
        <f t="shared" si="2"/>
        <v>498517.08</v>
      </c>
      <c r="CA17" s="241"/>
      <c r="CB17" s="241"/>
      <c r="CC17" s="162"/>
      <c r="CD17" s="162"/>
      <c r="CE17" s="79"/>
      <c r="CF17" s="79"/>
      <c r="CG17" s="79" t="s">
        <v>84</v>
      </c>
      <c r="CH17" s="273">
        <f t="shared" si="13"/>
        <v>498517.08</v>
      </c>
      <c r="CI17" s="273"/>
      <c r="CJ17" s="273">
        <f>33470.02+114778.62</f>
        <v>148248.64</v>
      </c>
      <c r="CK17" s="273"/>
      <c r="CL17" s="273">
        <v>100000</v>
      </c>
      <c r="CM17" s="273"/>
      <c r="CN17" s="273"/>
      <c r="CO17" s="273">
        <f>80000+30000</f>
        <v>110000</v>
      </c>
      <c r="CP17" s="273"/>
      <c r="CQ17" s="273">
        <f>50000+30000</f>
        <v>80000</v>
      </c>
      <c r="CR17" s="273"/>
      <c r="CS17" s="273">
        <v>30000</v>
      </c>
      <c r="CT17" s="273">
        <v>30000</v>
      </c>
      <c r="CU17" s="273">
        <f t="shared" si="3"/>
        <v>268.439999999944</v>
      </c>
      <c r="CV17" s="234">
        <f t="shared" si="4"/>
        <v>268.439999999944</v>
      </c>
      <c r="CW17" s="234" t="s">
        <v>85</v>
      </c>
      <c r="CY17" s="180"/>
    </row>
    <row r="18" s="20" customFormat="1" ht="24" customHeight="1" spans="2:103">
      <c r="B18" s="4" t="s">
        <v>81</v>
      </c>
      <c r="C18" s="218" t="s">
        <v>116</v>
      </c>
      <c r="D18" s="5" t="s">
        <v>176</v>
      </c>
      <c r="E18" s="220"/>
      <c r="F18" s="220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20"/>
      <c r="S18" s="220"/>
      <c r="T18" s="220"/>
      <c r="U18" s="234"/>
      <c r="V18" s="234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41"/>
      <c r="AJ18" s="241"/>
      <c r="AK18" s="241"/>
      <c r="AL18" s="241"/>
      <c r="AM18" s="241"/>
      <c r="AN18" s="241"/>
      <c r="AO18" s="241"/>
      <c r="AP18" s="241"/>
      <c r="AQ18" s="241"/>
      <c r="AR18" s="241"/>
      <c r="AS18" s="241"/>
      <c r="AT18" s="241"/>
      <c r="AU18" s="241"/>
      <c r="AV18" s="241"/>
      <c r="AW18" s="241"/>
      <c r="AX18" s="241"/>
      <c r="AY18" s="241"/>
      <c r="AZ18" s="241"/>
      <c r="BA18" s="241"/>
      <c r="BB18" s="241"/>
      <c r="BC18" s="241"/>
      <c r="BD18" s="241"/>
      <c r="BE18" s="241"/>
      <c r="BF18" s="241"/>
      <c r="BG18" s="241"/>
      <c r="BH18" s="241">
        <v>0</v>
      </c>
      <c r="BI18" s="241">
        <v>9824.22</v>
      </c>
      <c r="BJ18" s="241">
        <v>23910.8</v>
      </c>
      <c r="BK18" s="241">
        <v>47301.8</v>
      </c>
      <c r="BL18" s="241">
        <v>30408.3</v>
      </c>
      <c r="BM18" s="241"/>
      <c r="BN18" s="241">
        <v>53799.3</v>
      </c>
      <c r="BO18" s="241"/>
      <c r="BP18" s="241">
        <v>15594</v>
      </c>
      <c r="BQ18" s="241"/>
      <c r="BR18" s="241">
        <v>20385.2</v>
      </c>
      <c r="BS18" s="241">
        <v>4088.5</v>
      </c>
      <c r="BT18" s="241">
        <v>18563.64</v>
      </c>
      <c r="BU18" s="241">
        <v>17831.4</v>
      </c>
      <c r="BV18" s="241">
        <v>11675.16</v>
      </c>
      <c r="BW18" s="241"/>
      <c r="BX18" s="241">
        <v>28601.2</v>
      </c>
      <c r="BY18" s="241"/>
      <c r="BZ18" s="241">
        <f t="shared" si="2"/>
        <v>281983.52</v>
      </c>
      <c r="CA18" s="241"/>
      <c r="CB18" s="241"/>
      <c r="CC18" s="162"/>
      <c r="CD18" s="162"/>
      <c r="CE18" s="79"/>
      <c r="CF18" s="79"/>
      <c r="CG18" s="79" t="s">
        <v>84</v>
      </c>
      <c r="CH18" s="273">
        <f t="shared" si="13"/>
        <v>281983.52</v>
      </c>
      <c r="CI18" s="273"/>
      <c r="CJ18" s="273">
        <f>9824.22+71212.6</f>
        <v>81036.82</v>
      </c>
      <c r="CK18" s="273"/>
      <c r="CL18" s="273">
        <v>50000</v>
      </c>
      <c r="CM18" s="273"/>
      <c r="CN18" s="273"/>
      <c r="CO18" s="273">
        <f>40000+9000</f>
        <v>49000</v>
      </c>
      <c r="CP18" s="273"/>
      <c r="CQ18" s="273">
        <v>25275.3</v>
      </c>
      <c r="CR18" s="273"/>
      <c r="CS18" s="273">
        <v>20000</v>
      </c>
      <c r="CT18" s="273">
        <v>20000</v>
      </c>
      <c r="CU18" s="273">
        <f t="shared" si="3"/>
        <v>36671.4</v>
      </c>
      <c r="CV18" s="234">
        <f t="shared" si="4"/>
        <v>8070.20000000001</v>
      </c>
      <c r="CW18" s="234" t="s">
        <v>85</v>
      </c>
      <c r="CY18" s="180"/>
    </row>
    <row r="19" s="20" customFormat="1" ht="24" customHeight="1" spans="2:103">
      <c r="B19" s="4" t="s">
        <v>81</v>
      </c>
      <c r="C19" s="218" t="s">
        <v>118</v>
      </c>
      <c r="D19" s="5" t="s">
        <v>119</v>
      </c>
      <c r="E19" s="220"/>
      <c r="F19" s="220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20"/>
      <c r="S19" s="220"/>
      <c r="T19" s="220"/>
      <c r="U19" s="234"/>
      <c r="V19" s="234"/>
      <c r="W19" s="234"/>
      <c r="X19" s="234"/>
      <c r="Y19" s="234"/>
      <c r="Z19" s="234"/>
      <c r="AA19" s="234"/>
      <c r="AB19" s="234"/>
      <c r="AC19" s="234"/>
      <c r="AD19" s="234"/>
      <c r="AE19" s="234"/>
      <c r="AF19" s="234"/>
      <c r="AG19" s="234"/>
      <c r="AH19" s="234"/>
      <c r="AI19" s="241"/>
      <c r="AJ19" s="241"/>
      <c r="AK19" s="241"/>
      <c r="AL19" s="241"/>
      <c r="AM19" s="241"/>
      <c r="AN19" s="241"/>
      <c r="AO19" s="241"/>
      <c r="AP19" s="241"/>
      <c r="AQ19" s="241"/>
      <c r="AR19" s="241"/>
      <c r="AS19" s="241"/>
      <c r="AT19" s="241"/>
      <c r="AU19" s="241"/>
      <c r="AV19" s="241"/>
      <c r="AW19" s="241"/>
      <c r="AX19" s="241"/>
      <c r="AY19" s="241"/>
      <c r="AZ19" s="241"/>
      <c r="BA19" s="241"/>
      <c r="BB19" s="241"/>
      <c r="BC19" s="241"/>
      <c r="BD19" s="241"/>
      <c r="BE19" s="241"/>
      <c r="BF19" s="241"/>
      <c r="BG19" s="241"/>
      <c r="BH19" s="241">
        <v>34049.73</v>
      </c>
      <c r="BI19" s="241">
        <v>452429.4</v>
      </c>
      <c r="BJ19" s="241">
        <v>51302</v>
      </c>
      <c r="BK19" s="241">
        <v>413410.5</v>
      </c>
      <c r="BL19" s="241">
        <v>205208</v>
      </c>
      <c r="BM19" s="241"/>
      <c r="BN19" s="241">
        <v>0</v>
      </c>
      <c r="BO19" s="241"/>
      <c r="BP19" s="241"/>
      <c r="BQ19" s="241"/>
      <c r="BR19" s="241"/>
      <c r="BS19" s="241"/>
      <c r="BT19" s="241"/>
      <c r="BU19" s="241"/>
      <c r="BV19" s="241"/>
      <c r="BW19" s="241"/>
      <c r="BX19" s="241"/>
      <c r="BY19" s="241"/>
      <c r="BZ19" s="241">
        <f t="shared" si="2"/>
        <v>1156399.63</v>
      </c>
      <c r="CA19" s="241"/>
      <c r="CB19" s="241"/>
      <c r="CC19" s="162"/>
      <c r="CD19" s="162"/>
      <c r="CE19" s="79"/>
      <c r="CF19" s="79"/>
      <c r="CG19" s="79" t="s">
        <v>84</v>
      </c>
      <c r="CH19" s="273">
        <f t="shared" si="13"/>
        <v>1156399.63</v>
      </c>
      <c r="CI19" s="273"/>
      <c r="CJ19" s="273">
        <v>73068.63</v>
      </c>
      <c r="CK19" s="273"/>
      <c r="CL19" s="273"/>
      <c r="CM19" s="273">
        <f>30000+170000</f>
        <v>200000</v>
      </c>
      <c r="CN19" s="273"/>
      <c r="CO19" s="273">
        <f>100000+100000</f>
        <v>200000</v>
      </c>
      <c r="CP19" s="273"/>
      <c r="CQ19" s="273">
        <v>100000</v>
      </c>
      <c r="CR19" s="273">
        <v>100000</v>
      </c>
      <c r="CS19" s="273">
        <v>100000</v>
      </c>
      <c r="CT19" s="273">
        <v>100000</v>
      </c>
      <c r="CU19" s="273">
        <f t="shared" si="3"/>
        <v>283331</v>
      </c>
      <c r="CV19" s="234">
        <f t="shared" si="4"/>
        <v>283331</v>
      </c>
      <c r="CW19" s="234" t="s">
        <v>85</v>
      </c>
      <c r="CY19" s="180"/>
    </row>
    <row r="20" s="20" customFormat="1" ht="24" customHeight="1" spans="2:103">
      <c r="B20" s="221" t="s">
        <v>81</v>
      </c>
      <c r="C20" s="218" t="s">
        <v>120</v>
      </c>
      <c r="D20" s="5" t="s">
        <v>121</v>
      </c>
      <c r="E20" s="220"/>
      <c r="F20" s="220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20"/>
      <c r="S20" s="220"/>
      <c r="T20" s="220"/>
      <c r="U20" s="234"/>
      <c r="V20" s="234"/>
      <c r="W20" s="234"/>
      <c r="X20" s="234"/>
      <c r="Y20" s="234"/>
      <c r="Z20" s="234"/>
      <c r="AA20" s="234"/>
      <c r="AB20" s="234"/>
      <c r="AC20" s="234"/>
      <c r="AD20" s="234"/>
      <c r="AE20" s="234"/>
      <c r="AF20" s="234"/>
      <c r="AG20" s="234"/>
      <c r="AH20" s="234"/>
      <c r="AI20" s="241"/>
      <c r="AJ20" s="241"/>
      <c r="AK20" s="241"/>
      <c r="AL20" s="241"/>
      <c r="AM20" s="241"/>
      <c r="AN20" s="241"/>
      <c r="AO20" s="241"/>
      <c r="AP20" s="241"/>
      <c r="AQ20" s="241"/>
      <c r="AR20" s="241"/>
      <c r="AS20" s="241"/>
      <c r="AT20" s="241"/>
      <c r="AU20" s="241"/>
      <c r="AV20" s="241"/>
      <c r="AW20" s="241"/>
      <c r="AX20" s="241"/>
      <c r="AY20" s="241"/>
      <c r="AZ20" s="241"/>
      <c r="BA20" s="241"/>
      <c r="BB20" s="241"/>
      <c r="BC20" s="241"/>
      <c r="BD20" s="241"/>
      <c r="BE20" s="241"/>
      <c r="BF20" s="241"/>
      <c r="BG20" s="241"/>
      <c r="BH20" s="241">
        <v>1899.53</v>
      </c>
      <c r="BI20" s="241">
        <v>0</v>
      </c>
      <c r="BJ20" s="241">
        <v>64394.07</v>
      </c>
      <c r="BK20" s="241">
        <v>0</v>
      </c>
      <c r="BL20" s="241">
        <v>0</v>
      </c>
      <c r="BM20" s="241"/>
      <c r="BN20" s="241"/>
      <c r="BO20" s="241"/>
      <c r="BP20" s="241"/>
      <c r="BQ20" s="241"/>
      <c r="BR20" s="241"/>
      <c r="BS20" s="241"/>
      <c r="BT20" s="241"/>
      <c r="BU20" s="241"/>
      <c r="BV20" s="241"/>
      <c r="BW20" s="241"/>
      <c r="BX20" s="241"/>
      <c r="BY20" s="241"/>
      <c r="BZ20" s="241">
        <f t="shared" si="2"/>
        <v>66293.6</v>
      </c>
      <c r="CA20" s="241"/>
      <c r="CB20" s="241"/>
      <c r="CC20" s="162"/>
      <c r="CD20" s="162"/>
      <c r="CE20" s="79"/>
      <c r="CF20" s="79"/>
      <c r="CG20" s="79" t="s">
        <v>84</v>
      </c>
      <c r="CH20" s="273">
        <f t="shared" si="13"/>
        <v>66293.6</v>
      </c>
      <c r="CI20" s="273"/>
      <c r="CJ20" s="273">
        <f>66293.6</f>
        <v>66293.6</v>
      </c>
      <c r="CK20" s="273"/>
      <c r="CL20" s="273"/>
      <c r="CM20" s="273"/>
      <c r="CN20" s="273"/>
      <c r="CO20" s="273"/>
      <c r="CP20" s="273"/>
      <c r="CQ20" s="273"/>
      <c r="CR20" s="273"/>
      <c r="CS20" s="273"/>
      <c r="CT20" s="273"/>
      <c r="CU20" s="273">
        <f t="shared" si="3"/>
        <v>0</v>
      </c>
      <c r="CV20" s="234">
        <f t="shared" si="4"/>
        <v>0</v>
      </c>
      <c r="CW20" s="289" t="s">
        <v>85</v>
      </c>
      <c r="CY20" s="180"/>
    </row>
    <row r="21" s="20" customFormat="1" ht="24" customHeight="1" spans="2:103">
      <c r="B21" s="221" t="s">
        <v>81</v>
      </c>
      <c r="C21" s="218" t="s">
        <v>122</v>
      </c>
      <c r="D21" s="5" t="s">
        <v>123</v>
      </c>
      <c r="E21" s="220"/>
      <c r="F21" s="220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20"/>
      <c r="S21" s="220"/>
      <c r="T21" s="220"/>
      <c r="U21" s="234"/>
      <c r="V21" s="234"/>
      <c r="W21" s="234"/>
      <c r="X21" s="234"/>
      <c r="Y21" s="234"/>
      <c r="Z21" s="234"/>
      <c r="AA21" s="234"/>
      <c r="AB21" s="234"/>
      <c r="AC21" s="234"/>
      <c r="AD21" s="234"/>
      <c r="AE21" s="234"/>
      <c r="AF21" s="234"/>
      <c r="AG21" s="234"/>
      <c r="AH21" s="234"/>
      <c r="AI21" s="241"/>
      <c r="AJ21" s="241"/>
      <c r="AK21" s="241"/>
      <c r="AL21" s="241"/>
      <c r="AM21" s="241"/>
      <c r="AN21" s="241"/>
      <c r="AO21" s="241"/>
      <c r="AP21" s="241"/>
      <c r="AQ21" s="241"/>
      <c r="AR21" s="241"/>
      <c r="AS21" s="241"/>
      <c r="AT21" s="241"/>
      <c r="AU21" s="241"/>
      <c r="AV21" s="241"/>
      <c r="AW21" s="241"/>
      <c r="AX21" s="241"/>
      <c r="AY21" s="241"/>
      <c r="AZ21" s="241"/>
      <c r="BA21" s="241"/>
      <c r="BB21" s="241"/>
      <c r="BC21" s="241"/>
      <c r="BD21" s="241"/>
      <c r="BE21" s="241"/>
      <c r="BF21" s="241"/>
      <c r="BG21" s="241"/>
      <c r="BH21" s="241"/>
      <c r="BI21" s="241"/>
      <c r="BJ21" s="241">
        <v>713170.02</v>
      </c>
      <c r="BK21" s="241">
        <v>650672.08</v>
      </c>
      <c r="BL21" s="241">
        <v>553653.11</v>
      </c>
      <c r="BM21" s="241"/>
      <c r="BN21" s="241">
        <v>639616.73</v>
      </c>
      <c r="BO21" s="241">
        <v>478638.62</v>
      </c>
      <c r="BP21" s="241">
        <v>170899.74</v>
      </c>
      <c r="BQ21" s="241">
        <v>384064.97</v>
      </c>
      <c r="BR21" s="241">
        <f>100603.34*3+85129.68+97544.43*2+85129.68+72548.26+111847.4+91620.4+85902.6</f>
        <v>1029076.9</v>
      </c>
      <c r="BS21" s="241">
        <v>329974.13</v>
      </c>
      <c r="BT21" s="241">
        <v>497798.28</v>
      </c>
      <c r="BU21" s="241">
        <v>453880.23</v>
      </c>
      <c r="BV21" s="241">
        <v>443881.09</v>
      </c>
      <c r="BW21" s="241">
        <v>568253.28</v>
      </c>
      <c r="BX21" s="241"/>
      <c r="BY21" s="241"/>
      <c r="BZ21" s="241">
        <f t="shared" si="2"/>
        <v>6913579.18</v>
      </c>
      <c r="CA21" s="241"/>
      <c r="CB21" s="241"/>
      <c r="CC21" s="162"/>
      <c r="CD21" s="162"/>
      <c r="CE21" s="79"/>
      <c r="CF21" s="79"/>
      <c r="CG21" s="79" t="s">
        <v>84</v>
      </c>
      <c r="CH21" s="273">
        <f t="shared" si="13"/>
        <v>6913579.18</v>
      </c>
      <c r="CI21" s="273"/>
      <c r="CJ21" s="273">
        <f>713170.02+1000000</f>
        <v>1713170.02</v>
      </c>
      <c r="CK21" s="273"/>
      <c r="CL21" s="273">
        <f>200000+300000</f>
        <v>500000</v>
      </c>
      <c r="CM21" s="273">
        <v>250000</v>
      </c>
      <c r="CN21" s="273">
        <v>500000</v>
      </c>
      <c r="CO21" s="273">
        <v>500000</v>
      </c>
      <c r="CP21" s="273">
        <v>1000000</v>
      </c>
      <c r="CQ21" s="273">
        <v>400000</v>
      </c>
      <c r="CR21" s="273"/>
      <c r="CS21" s="273">
        <v>584394.56</v>
      </c>
      <c r="CT21" s="273">
        <f>453880.23+443881.09</f>
        <v>897761.32</v>
      </c>
      <c r="CU21" s="273">
        <f t="shared" si="3"/>
        <v>568253.28</v>
      </c>
      <c r="CV21" s="234">
        <f t="shared" si="4"/>
        <v>568253.28</v>
      </c>
      <c r="CW21" s="289" t="s">
        <v>85</v>
      </c>
      <c r="CY21" s="180"/>
    </row>
    <row r="22" s="20" customFormat="1" ht="24" customHeight="1" spans="2:103">
      <c r="B22" s="221" t="s">
        <v>81</v>
      </c>
      <c r="C22" s="218" t="s">
        <v>124</v>
      </c>
      <c r="D22" s="5" t="s">
        <v>125</v>
      </c>
      <c r="E22" s="220"/>
      <c r="F22" s="220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20"/>
      <c r="S22" s="220"/>
      <c r="T22" s="220"/>
      <c r="U22" s="234"/>
      <c r="V22" s="234"/>
      <c r="W22" s="234"/>
      <c r="X22" s="234"/>
      <c r="Y22" s="234"/>
      <c r="Z22" s="234"/>
      <c r="AA22" s="234"/>
      <c r="AB22" s="234"/>
      <c r="AC22" s="234"/>
      <c r="AD22" s="234"/>
      <c r="AE22" s="234"/>
      <c r="AF22" s="234"/>
      <c r="AG22" s="234"/>
      <c r="AH22" s="234"/>
      <c r="AI22" s="241"/>
      <c r="AJ22" s="241"/>
      <c r="AK22" s="241"/>
      <c r="AL22" s="241"/>
      <c r="AM22" s="241"/>
      <c r="AN22" s="241"/>
      <c r="AO22" s="241"/>
      <c r="AP22" s="241"/>
      <c r="AQ22" s="241"/>
      <c r="AR22" s="241"/>
      <c r="AS22" s="241"/>
      <c r="AT22" s="241"/>
      <c r="AU22" s="241"/>
      <c r="AV22" s="241"/>
      <c r="AW22" s="241"/>
      <c r="AX22" s="241"/>
      <c r="AY22" s="241"/>
      <c r="AZ22" s="241"/>
      <c r="BA22" s="241"/>
      <c r="BB22" s="241"/>
      <c r="BC22" s="241"/>
      <c r="BD22" s="241"/>
      <c r="BE22" s="241"/>
      <c r="BF22" s="241"/>
      <c r="BG22" s="241"/>
      <c r="BH22" s="241">
        <v>0</v>
      </c>
      <c r="BI22" s="241">
        <v>0</v>
      </c>
      <c r="BJ22" s="241">
        <v>0</v>
      </c>
      <c r="BK22" s="241">
        <v>114622.68</v>
      </c>
      <c r="BL22" s="241">
        <v>23843</v>
      </c>
      <c r="BM22" s="241">
        <v>0</v>
      </c>
      <c r="BN22" s="241">
        <v>68071.2</v>
      </c>
      <c r="BO22" s="241"/>
      <c r="BP22" s="241">
        <v>63167</v>
      </c>
      <c r="BQ22" s="241"/>
      <c r="BR22" s="241">
        <v>71717.82</v>
      </c>
      <c r="BS22" s="241">
        <v>105795.57</v>
      </c>
      <c r="BT22" s="241">
        <v>21439.72</v>
      </c>
      <c r="BU22" s="241">
        <v>25248.72</v>
      </c>
      <c r="BV22" s="241"/>
      <c r="BW22" s="241">
        <v>38917.2</v>
      </c>
      <c r="BX22" s="241"/>
      <c r="BY22" s="241"/>
      <c r="BZ22" s="241">
        <f t="shared" si="2"/>
        <v>532822.91</v>
      </c>
      <c r="CA22" s="241"/>
      <c r="CB22" s="241"/>
      <c r="CC22" s="162"/>
      <c r="CD22" s="162"/>
      <c r="CE22" s="79"/>
      <c r="CF22" s="79"/>
      <c r="CG22" s="79" t="s">
        <v>84</v>
      </c>
      <c r="CH22" s="273">
        <f t="shared" si="13"/>
        <v>532822.91</v>
      </c>
      <c r="CI22" s="273"/>
      <c r="CJ22" s="273">
        <v>138465.68</v>
      </c>
      <c r="CK22" s="273"/>
      <c r="CL22" s="273">
        <v>30000</v>
      </c>
      <c r="CM22" s="273">
        <v>40000</v>
      </c>
      <c r="CN22" s="273"/>
      <c r="CO22" s="273">
        <f>50000+100000</f>
        <v>150000</v>
      </c>
      <c r="CP22" s="273"/>
      <c r="CQ22" s="273">
        <f>65821.18+22930.41</f>
        <v>88751.59</v>
      </c>
      <c r="CR22" s="273"/>
      <c r="CS22" s="273">
        <v>21439.72</v>
      </c>
      <c r="CT22" s="273">
        <f>21439.72+35000</f>
        <v>56439.72</v>
      </c>
      <c r="CU22" s="273">
        <f t="shared" si="3"/>
        <v>7726.19999999992</v>
      </c>
      <c r="CV22" s="234">
        <f t="shared" si="4"/>
        <v>7726.19999999992</v>
      </c>
      <c r="CW22" s="289" t="s">
        <v>85</v>
      </c>
      <c r="CY22" s="180"/>
    </row>
    <row r="23" s="20" customFormat="1" ht="24" customHeight="1" spans="2:103">
      <c r="B23" s="221" t="s">
        <v>81</v>
      </c>
      <c r="C23" s="218" t="s">
        <v>126</v>
      </c>
      <c r="D23" s="5" t="s">
        <v>127</v>
      </c>
      <c r="E23" s="220"/>
      <c r="F23" s="220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20"/>
      <c r="S23" s="220"/>
      <c r="T23" s="220"/>
      <c r="U23" s="234"/>
      <c r="V23" s="234"/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  <c r="AU23" s="241"/>
      <c r="AV23" s="241"/>
      <c r="AW23" s="241"/>
      <c r="AX23" s="241"/>
      <c r="AY23" s="241"/>
      <c r="AZ23" s="241"/>
      <c r="BA23" s="241"/>
      <c r="BB23" s="241"/>
      <c r="BC23" s="241"/>
      <c r="BD23" s="241"/>
      <c r="BE23" s="241"/>
      <c r="BF23" s="241"/>
      <c r="BG23" s="241"/>
      <c r="BH23" s="241">
        <v>2727.82</v>
      </c>
      <c r="BI23" s="241">
        <v>0</v>
      </c>
      <c r="BJ23" s="241">
        <v>5455.64</v>
      </c>
      <c r="BK23" s="241">
        <v>0</v>
      </c>
      <c r="BL23" s="241">
        <v>0</v>
      </c>
      <c r="BM23" s="241">
        <v>0</v>
      </c>
      <c r="BN23" s="241"/>
      <c r="BO23" s="241"/>
      <c r="BP23" s="241"/>
      <c r="BQ23" s="241"/>
      <c r="BR23" s="241"/>
      <c r="BS23" s="241">
        <v>4828</v>
      </c>
      <c r="BT23" s="241"/>
      <c r="BU23" s="241"/>
      <c r="BV23" s="241"/>
      <c r="BW23" s="241">
        <v>5455.64</v>
      </c>
      <c r="BX23" s="241"/>
      <c r="BY23" s="241"/>
      <c r="BZ23" s="241">
        <f t="shared" si="2"/>
        <v>18467.1</v>
      </c>
      <c r="CA23" s="241"/>
      <c r="CB23" s="241"/>
      <c r="CC23" s="162"/>
      <c r="CD23" s="162"/>
      <c r="CE23" s="79"/>
      <c r="CF23" s="79"/>
      <c r="CG23" s="79" t="s">
        <v>84</v>
      </c>
      <c r="CH23" s="273">
        <f t="shared" si="13"/>
        <v>18467.1</v>
      </c>
      <c r="CI23" s="273"/>
      <c r="CJ23" s="273">
        <v>8183.46</v>
      </c>
      <c r="CK23" s="273"/>
      <c r="CL23" s="273"/>
      <c r="CM23" s="273"/>
      <c r="CN23" s="273">
        <v>4828</v>
      </c>
      <c r="CO23" s="273"/>
      <c r="CP23" s="273"/>
      <c r="CQ23" s="273"/>
      <c r="CR23" s="273">
        <v>5455.64</v>
      </c>
      <c r="CS23" s="273"/>
      <c r="CT23" s="273"/>
      <c r="CU23" s="273">
        <f t="shared" si="3"/>
        <v>2.72848410531878e-12</v>
      </c>
      <c r="CV23" s="234">
        <f>IF(CU23-BW23-BX23&lt;0,0,CU23-BW23-BX23)</f>
        <v>0</v>
      </c>
      <c r="CW23" s="289" t="s">
        <v>96</v>
      </c>
      <c r="CY23" s="180"/>
    </row>
    <row r="24" s="20" customFormat="1" ht="24" customHeight="1" spans="2:103">
      <c r="B24" s="221" t="s">
        <v>81</v>
      </c>
      <c r="C24" s="218" t="s">
        <v>128</v>
      </c>
      <c r="D24" s="5" t="s">
        <v>129</v>
      </c>
      <c r="E24" s="220"/>
      <c r="F24" s="220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20"/>
      <c r="S24" s="220"/>
      <c r="T24" s="220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>
        <v>4079.3</v>
      </c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>
        <v>59459.33</v>
      </c>
      <c r="BI24" s="241">
        <v>0</v>
      </c>
      <c r="BJ24" s="241">
        <v>72778.73</v>
      </c>
      <c r="BK24" s="241">
        <v>63602.05</v>
      </c>
      <c r="BL24" s="241">
        <v>8678.4</v>
      </c>
      <c r="BM24" s="241">
        <v>261193.39</v>
      </c>
      <c r="BN24" s="241">
        <v>0</v>
      </c>
      <c r="BO24" s="241">
        <v>32061.81</v>
      </c>
      <c r="BP24" s="241"/>
      <c r="BQ24" s="241"/>
      <c r="BR24" s="241"/>
      <c r="BS24" s="241"/>
      <c r="BT24" s="241">
        <v>13735.15</v>
      </c>
      <c r="BU24" s="241">
        <v>51766.43</v>
      </c>
      <c r="BV24" s="241">
        <v>22464.4</v>
      </c>
      <c r="BW24" s="241">
        <v>72360.68</v>
      </c>
      <c r="BX24" s="241"/>
      <c r="BY24" s="241"/>
      <c r="BZ24" s="241">
        <f t="shared" si="2"/>
        <v>662179.67</v>
      </c>
      <c r="CA24" s="241"/>
      <c r="CB24" s="241"/>
      <c r="CC24" s="162"/>
      <c r="CD24" s="162"/>
      <c r="CE24" s="79"/>
      <c r="CF24" s="79"/>
      <c r="CG24" s="79" t="s">
        <v>84</v>
      </c>
      <c r="CH24" s="273">
        <f t="shared" si="13"/>
        <v>662179.67</v>
      </c>
      <c r="CI24" s="273"/>
      <c r="CJ24" s="273">
        <v>6520.1</v>
      </c>
      <c r="CK24" s="273"/>
      <c r="CL24" s="273">
        <f>92654.22+80000</f>
        <v>172654.22</v>
      </c>
      <c r="CM24" s="273">
        <v>50000</v>
      </c>
      <c r="CN24" s="273"/>
      <c r="CO24" s="273">
        <f>50000+80000</f>
        <v>130000</v>
      </c>
      <c r="CP24" s="273"/>
      <c r="CQ24" s="273">
        <v>60000</v>
      </c>
      <c r="CR24" s="273">
        <v>60000</v>
      </c>
      <c r="CS24" s="273">
        <v>60000</v>
      </c>
      <c r="CT24" s="273">
        <v>48101.05</v>
      </c>
      <c r="CU24" s="273">
        <f t="shared" si="3"/>
        <v>74904.3</v>
      </c>
      <c r="CV24" s="234">
        <f t="shared" si="4"/>
        <v>74904.3</v>
      </c>
      <c r="CW24" s="289" t="s">
        <v>85</v>
      </c>
      <c r="CY24" s="180"/>
    </row>
    <row r="25" s="20" customFormat="1" ht="24" customHeight="1" spans="2:103">
      <c r="B25" s="221" t="s">
        <v>81</v>
      </c>
      <c r="C25" s="218" t="s">
        <v>130</v>
      </c>
      <c r="D25" s="5" t="s">
        <v>131</v>
      </c>
      <c r="E25" s="220"/>
      <c r="F25" s="220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20"/>
      <c r="S25" s="220"/>
      <c r="T25" s="220"/>
      <c r="U25" s="234"/>
      <c r="V25" s="234"/>
      <c r="W25" s="234"/>
      <c r="X25" s="234"/>
      <c r="Y25" s="234"/>
      <c r="Z25" s="234"/>
      <c r="AA25" s="234"/>
      <c r="AB25" s="234"/>
      <c r="AC25" s="234"/>
      <c r="AD25" s="234"/>
      <c r="AE25" s="234"/>
      <c r="AF25" s="234"/>
      <c r="AG25" s="234"/>
      <c r="AH25" s="234"/>
      <c r="AI25" s="241"/>
      <c r="AJ25" s="241"/>
      <c r="AK25" s="241"/>
      <c r="AL25" s="241"/>
      <c r="AM25" s="241"/>
      <c r="AN25" s="241"/>
      <c r="AO25" s="241"/>
      <c r="AP25" s="241"/>
      <c r="AQ25" s="241"/>
      <c r="AR25" s="241"/>
      <c r="AS25" s="241"/>
      <c r="AT25" s="241"/>
      <c r="AU25" s="241"/>
      <c r="AV25" s="241"/>
      <c r="AW25" s="241"/>
      <c r="AX25" s="241"/>
      <c r="AY25" s="241"/>
      <c r="AZ25" s="241"/>
      <c r="BA25" s="241"/>
      <c r="BB25" s="241"/>
      <c r="BC25" s="241"/>
      <c r="BD25" s="241"/>
      <c r="BE25" s="241"/>
      <c r="BF25" s="241"/>
      <c r="BG25" s="241"/>
      <c r="BH25" s="241">
        <v>0</v>
      </c>
      <c r="BI25" s="241">
        <v>0</v>
      </c>
      <c r="BJ25" s="241">
        <v>0</v>
      </c>
      <c r="BK25" s="241">
        <v>0</v>
      </c>
      <c r="BL25" s="241">
        <v>15576.8</v>
      </c>
      <c r="BM25" s="241">
        <v>0</v>
      </c>
      <c r="BN25" s="241">
        <v>0</v>
      </c>
      <c r="BO25" s="241"/>
      <c r="BP25" s="241"/>
      <c r="BQ25" s="241"/>
      <c r="BR25" s="241"/>
      <c r="BS25" s="241"/>
      <c r="BT25" s="241"/>
      <c r="BU25" s="241"/>
      <c r="BV25" s="241"/>
      <c r="BW25" s="241"/>
      <c r="BX25" s="241"/>
      <c r="BY25" s="241"/>
      <c r="BZ25" s="241">
        <f t="shared" si="2"/>
        <v>15576.8</v>
      </c>
      <c r="CA25" s="241"/>
      <c r="CB25" s="241"/>
      <c r="CC25" s="162"/>
      <c r="CD25" s="162"/>
      <c r="CE25" s="79"/>
      <c r="CF25" s="79"/>
      <c r="CG25" s="79" t="s">
        <v>84</v>
      </c>
      <c r="CH25" s="273">
        <f t="shared" si="13"/>
        <v>15576.8</v>
      </c>
      <c r="CI25" s="273"/>
      <c r="CJ25" s="273"/>
      <c r="CK25" s="273"/>
      <c r="CL25" s="273"/>
      <c r="CM25" s="273"/>
      <c r="CN25" s="273"/>
      <c r="CO25" s="273"/>
      <c r="CP25" s="273"/>
      <c r="CQ25" s="273">
        <f>15576.8+15576.8</f>
        <v>31153.6</v>
      </c>
      <c r="CR25" s="273"/>
      <c r="CS25" s="273"/>
      <c r="CT25" s="273"/>
      <c r="CU25" s="273">
        <f t="shared" si="3"/>
        <v>-15576.8</v>
      </c>
      <c r="CV25" s="234">
        <f t="shared" si="4"/>
        <v>0</v>
      </c>
      <c r="CW25" s="289" t="s">
        <v>85</v>
      </c>
      <c r="CY25" s="180"/>
    </row>
    <row r="26" s="20" customFormat="1" ht="24" customHeight="1" spans="2:103">
      <c r="B26" s="4" t="s">
        <v>81</v>
      </c>
      <c r="C26" s="218" t="s">
        <v>102</v>
      </c>
      <c r="D26" s="222" t="s">
        <v>103</v>
      </c>
      <c r="E26" s="220">
        <v>2298406.19</v>
      </c>
      <c r="F26" s="220">
        <v>3231324.59</v>
      </c>
      <c r="G26" s="219">
        <v>1807612.59</v>
      </c>
      <c r="H26" s="219">
        <v>1807612.59</v>
      </c>
      <c r="I26" s="219">
        <v>2248380.11</v>
      </c>
      <c r="J26" s="219">
        <v>1248380.11</v>
      </c>
      <c r="K26" s="219">
        <v>1741922.99</v>
      </c>
      <c r="L26" s="219">
        <v>1741922.99</v>
      </c>
      <c r="M26" s="219">
        <v>2371602.54</v>
      </c>
      <c r="N26" s="219">
        <v>1210715.74</v>
      </c>
      <c r="O26" s="219">
        <v>1731729.26</v>
      </c>
      <c r="P26" s="219">
        <v>1221376.41</v>
      </c>
      <c r="Q26" s="219">
        <v>2281849.77</v>
      </c>
      <c r="R26" s="220"/>
      <c r="S26" s="220">
        <v>2000000</v>
      </c>
      <c r="T26" s="220"/>
      <c r="U26" s="234"/>
      <c r="V26" s="234">
        <v>1000000</v>
      </c>
      <c r="W26" s="234"/>
      <c r="X26" s="234"/>
      <c r="Y26" s="234"/>
      <c r="Z26" s="234">
        <v>1655074.64</v>
      </c>
      <c r="AA26" s="234">
        <v>450000</v>
      </c>
      <c r="AB26" s="234">
        <v>743433.2</v>
      </c>
      <c r="AC26" s="234"/>
      <c r="AD26" s="234"/>
      <c r="AE26" s="234">
        <v>1000000</v>
      </c>
      <c r="AF26" s="234"/>
      <c r="AG26" s="234">
        <v>1100000</v>
      </c>
      <c r="AH26" s="234">
        <v>400000</v>
      </c>
      <c r="AI26" s="241">
        <f>E26-R26-S26-T26-U26-V26-W26-X26-Y26</f>
        <v>-701593.81</v>
      </c>
      <c r="AJ26" s="241">
        <f>F26-S26-T26-U26-V26-W26-X26-Y26</f>
        <v>231324.59</v>
      </c>
      <c r="AK26" s="241">
        <f>G26-T26-U26-V26-W26-X26-Y26</f>
        <v>807612.59</v>
      </c>
      <c r="AL26" s="241">
        <f>H26-U26-V26-W26-X26-Y26-Z26-AA26</f>
        <v>-1297462.05</v>
      </c>
      <c r="AM26" s="241">
        <f>I26-V26-W26-X26-Y26-Z26-AA26-AB26-AC26</f>
        <v>-1600127.73</v>
      </c>
      <c r="AN26" s="241">
        <f>J26-W26-X26-Y26-Z26-AA26-AB26-AC26</f>
        <v>-1600127.73</v>
      </c>
      <c r="AO26" s="241">
        <f>K26-X26-Y26-Z26-AA26-AB26-AC26-AD26-AE26</f>
        <v>-2106584.85</v>
      </c>
      <c r="AP26" s="241">
        <f>L26-Y26-Z26-AA26-AB26-AC26-AD26-AE26</f>
        <v>-2106584.85</v>
      </c>
      <c r="AQ26" s="241"/>
      <c r="AR26" s="241"/>
      <c r="AS26" s="241"/>
      <c r="AT26" s="241">
        <f>P26-AC26-AD26-AE26-AF26-AG26</f>
        <v>-878623.59</v>
      </c>
      <c r="AU26" s="241"/>
      <c r="AV26" s="241"/>
      <c r="AW26" s="241"/>
      <c r="AX26" s="241"/>
      <c r="AY26" s="241"/>
      <c r="AZ26" s="241"/>
      <c r="BA26" s="241"/>
      <c r="BB26" s="241"/>
      <c r="BC26" s="241"/>
      <c r="BD26" s="241"/>
      <c r="BE26" s="241"/>
      <c r="BF26" s="241"/>
      <c r="BG26" s="241"/>
      <c r="BH26" s="241">
        <v>0</v>
      </c>
      <c r="BI26" s="241">
        <v>0</v>
      </c>
      <c r="BJ26" s="241">
        <v>0</v>
      </c>
      <c r="BK26" s="241">
        <v>233106.08</v>
      </c>
      <c r="BL26" s="241">
        <v>392053.48</v>
      </c>
      <c r="BM26" s="241">
        <v>416448.24</v>
      </c>
      <c r="BN26" s="241">
        <v>385932</v>
      </c>
      <c r="BO26" s="241"/>
      <c r="BP26" s="241">
        <f>373250.6+140713.33</f>
        <v>513963.93</v>
      </c>
      <c r="BQ26" s="241">
        <v>493111.99</v>
      </c>
      <c r="BR26" s="241">
        <f>397737.46</f>
        <v>397737.46</v>
      </c>
      <c r="BS26" s="241">
        <v>332276.46</v>
      </c>
      <c r="BT26" s="241">
        <v>350664.92</v>
      </c>
      <c r="BU26" s="241">
        <v>304848.94</v>
      </c>
      <c r="BV26" s="241">
        <v>264742.4</v>
      </c>
      <c r="BW26" s="241"/>
      <c r="BX26" s="241"/>
      <c r="BY26" s="241"/>
      <c r="BZ26" s="241">
        <f t="shared" si="2"/>
        <v>4084885.9</v>
      </c>
      <c r="CA26" s="241"/>
      <c r="CB26" s="241"/>
      <c r="CC26" s="162"/>
      <c r="CD26" s="162"/>
      <c r="CE26" s="79"/>
      <c r="CF26" s="79"/>
      <c r="CG26" s="79" t="s">
        <v>84</v>
      </c>
      <c r="CH26" s="273">
        <f t="shared" si="13"/>
        <v>4084885.9</v>
      </c>
      <c r="CI26" s="273">
        <f>CH26/BZ26</f>
        <v>1</v>
      </c>
      <c r="CJ26" s="273">
        <f>392053.48+233106.08</f>
        <v>625159.56</v>
      </c>
      <c r="CK26" s="273"/>
      <c r="CL26" s="273">
        <f>330334.5276+845296.31</f>
        <v>1175630.8376</v>
      </c>
      <c r="CM26" s="273">
        <v>493111.99</v>
      </c>
      <c r="CN26" s="273">
        <f>140713.33+397737.45</f>
        <v>538450.78</v>
      </c>
      <c r="CO26" s="273">
        <v>332276.45</v>
      </c>
      <c r="CP26" s="273">
        <v>350664.92</v>
      </c>
      <c r="CQ26" s="273">
        <v>304848.91</v>
      </c>
      <c r="CR26" s="273">
        <v>264742.39</v>
      </c>
      <c r="CS26" s="273">
        <v>327734.07</v>
      </c>
      <c r="CT26" s="273">
        <v>216787.2</v>
      </c>
      <c r="CU26" s="273">
        <f t="shared" si="3"/>
        <v>-544521.2076</v>
      </c>
      <c r="CV26" s="234">
        <f>IF(CU26-BW26-BX26&lt;0,0,CU26-BW26-BX26)</f>
        <v>0</v>
      </c>
      <c r="CW26" s="234" t="s">
        <v>104</v>
      </c>
      <c r="CY26" s="180"/>
    </row>
    <row r="27" s="20" customFormat="1" ht="24" customHeight="1" spans="2:103">
      <c r="B27" s="221" t="s">
        <v>81</v>
      </c>
      <c r="C27" s="218" t="s">
        <v>132</v>
      </c>
      <c r="D27" s="222" t="s">
        <v>133</v>
      </c>
      <c r="E27" s="220"/>
      <c r="F27" s="220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20"/>
      <c r="S27" s="220"/>
      <c r="T27" s="220"/>
      <c r="U27" s="234"/>
      <c r="V27" s="234"/>
      <c r="W27" s="234"/>
      <c r="X27" s="234"/>
      <c r="Y27" s="234"/>
      <c r="Z27" s="234"/>
      <c r="AA27" s="234"/>
      <c r="AB27" s="234"/>
      <c r="AC27" s="234"/>
      <c r="AD27" s="234"/>
      <c r="AE27" s="234"/>
      <c r="AF27" s="234"/>
      <c r="AG27" s="234"/>
      <c r="AH27" s="234"/>
      <c r="AI27" s="241"/>
      <c r="AJ27" s="241"/>
      <c r="AK27" s="241"/>
      <c r="AL27" s="241"/>
      <c r="AM27" s="241"/>
      <c r="AN27" s="241"/>
      <c r="AO27" s="241"/>
      <c r="AP27" s="241"/>
      <c r="AQ27" s="241"/>
      <c r="AR27" s="241"/>
      <c r="AS27" s="241"/>
      <c r="AT27" s="241"/>
      <c r="AU27" s="241"/>
      <c r="AV27" s="241"/>
      <c r="AW27" s="241"/>
      <c r="AX27" s="241"/>
      <c r="AY27" s="241"/>
      <c r="AZ27" s="241"/>
      <c r="BA27" s="241"/>
      <c r="BB27" s="241"/>
      <c r="BC27" s="241"/>
      <c r="BD27" s="241"/>
      <c r="BE27" s="241"/>
      <c r="BF27" s="241"/>
      <c r="BG27" s="241"/>
      <c r="BH27" s="241"/>
      <c r="BI27" s="241"/>
      <c r="BJ27" s="241"/>
      <c r="BK27" s="241">
        <v>224865.48</v>
      </c>
      <c r="BL27" s="241">
        <v>192741.84</v>
      </c>
      <c r="BM27" s="241"/>
      <c r="BN27" s="241">
        <v>1060080.12</v>
      </c>
      <c r="BO27" s="241"/>
      <c r="BP27" s="241"/>
      <c r="BQ27" s="241"/>
      <c r="BR27" s="241">
        <v>578225.52</v>
      </c>
      <c r="BS27" s="241">
        <v>1027956.48</v>
      </c>
      <c r="BT27" s="241">
        <v>578225.52</v>
      </c>
      <c r="BU27" s="241"/>
      <c r="BV27" s="241">
        <v>610349.16</v>
      </c>
      <c r="BW27" s="241">
        <v>160618.2</v>
      </c>
      <c r="BX27" s="241"/>
      <c r="BY27" s="241"/>
      <c r="BZ27" s="241">
        <f t="shared" si="2"/>
        <v>4433062.32</v>
      </c>
      <c r="CA27" s="241"/>
      <c r="CB27" s="241"/>
      <c r="CC27" s="162"/>
      <c r="CD27" s="162"/>
      <c r="CE27" s="79"/>
      <c r="CF27" s="79"/>
      <c r="CG27" s="79" t="s">
        <v>84</v>
      </c>
      <c r="CH27" s="273">
        <f t="shared" si="13"/>
        <v>4433062.32</v>
      </c>
      <c r="CI27" s="273"/>
      <c r="CJ27" s="273">
        <v>224865.48</v>
      </c>
      <c r="CK27" s="273"/>
      <c r="CL27" s="273">
        <f>125557+300000</f>
        <v>425557</v>
      </c>
      <c r="CM27" s="273">
        <v>253493.16</v>
      </c>
      <c r="CN27" s="273">
        <v>638189.65</v>
      </c>
      <c r="CO27" s="273">
        <v>905886.65</v>
      </c>
      <c r="CP27" s="273">
        <v>623734.01</v>
      </c>
      <c r="CQ27" s="273">
        <v>519332.18</v>
      </c>
      <c r="CR27" s="273">
        <v>504608.85</v>
      </c>
      <c r="CS27" s="273">
        <v>299285.25</v>
      </c>
      <c r="CT27" s="273">
        <v>13384.85</v>
      </c>
      <c r="CU27" s="273">
        <f t="shared" si="3"/>
        <v>24725.24</v>
      </c>
      <c r="CV27" s="234">
        <f>IF(CU27-BY27-BX27&lt;0,0,CU27-BY27-BX27)</f>
        <v>24725.24</v>
      </c>
      <c r="CW27" s="289" t="s">
        <v>85</v>
      </c>
      <c r="CY27" s="180"/>
    </row>
    <row r="28" s="20" customFormat="1" ht="24" customHeight="1" spans="2:103">
      <c r="B28" s="221" t="s">
        <v>134</v>
      </c>
      <c r="C28" s="218">
        <v>1951024</v>
      </c>
      <c r="D28" s="5" t="s">
        <v>135</v>
      </c>
      <c r="E28" s="220"/>
      <c r="F28" s="220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20"/>
      <c r="S28" s="220"/>
      <c r="T28" s="220"/>
      <c r="U28" s="234"/>
      <c r="V28" s="23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41"/>
      <c r="AJ28" s="241"/>
      <c r="AK28" s="241"/>
      <c r="AL28" s="241"/>
      <c r="AM28" s="241"/>
      <c r="AN28" s="241"/>
      <c r="AO28" s="241"/>
      <c r="AP28" s="241"/>
      <c r="AQ28" s="241"/>
      <c r="AR28" s="241"/>
      <c r="AS28" s="241"/>
      <c r="AT28" s="241"/>
      <c r="AU28" s="241"/>
      <c r="AV28" s="241"/>
      <c r="AW28" s="241"/>
      <c r="AX28" s="241"/>
      <c r="AY28" s="241"/>
      <c r="AZ28" s="241"/>
      <c r="BA28" s="241"/>
      <c r="BB28" s="241"/>
      <c r="BC28" s="241"/>
      <c r="BD28" s="241"/>
      <c r="BE28" s="241"/>
      <c r="BF28" s="241"/>
      <c r="BG28" s="241"/>
      <c r="BH28" s="241"/>
      <c r="BI28" s="241"/>
      <c r="BJ28" s="241">
        <v>0</v>
      </c>
      <c r="BK28" s="241"/>
      <c r="BL28" s="241">
        <v>207645.47</v>
      </c>
      <c r="BM28" s="241"/>
      <c r="BN28" s="241"/>
      <c r="BO28" s="241"/>
      <c r="BP28" s="241"/>
      <c r="BQ28" s="241"/>
      <c r="BR28" s="241"/>
      <c r="BS28" s="241"/>
      <c r="BT28" s="241"/>
      <c r="BU28" s="241"/>
      <c r="BV28" s="241"/>
      <c r="BW28" s="241"/>
      <c r="BX28" s="241"/>
      <c r="BY28" s="241"/>
      <c r="BZ28" s="241">
        <f t="shared" si="2"/>
        <v>207645.47</v>
      </c>
      <c r="CA28" s="241"/>
      <c r="CB28" s="241"/>
      <c r="CC28" s="162"/>
      <c r="CD28" s="162"/>
      <c r="CE28" s="79"/>
      <c r="CF28" s="79"/>
      <c r="CG28" s="79" t="s">
        <v>84</v>
      </c>
      <c r="CH28" s="273">
        <f t="shared" si="13"/>
        <v>207645.47</v>
      </c>
      <c r="CI28" s="273"/>
      <c r="CJ28" s="273">
        <v>207645.47</v>
      </c>
      <c r="CK28" s="273"/>
      <c r="CL28" s="273"/>
      <c r="CM28" s="273"/>
      <c r="CN28" s="273"/>
      <c r="CO28" s="273"/>
      <c r="CP28" s="273"/>
      <c r="CQ28" s="273"/>
      <c r="CR28" s="273"/>
      <c r="CS28" s="273"/>
      <c r="CT28" s="273"/>
      <c r="CU28" s="273">
        <f t="shared" si="3"/>
        <v>0</v>
      </c>
      <c r="CV28" s="234">
        <f>CU28-BW28-BX28</f>
        <v>0</v>
      </c>
      <c r="CW28" s="289" t="s">
        <v>111</v>
      </c>
      <c r="CY28" s="180"/>
    </row>
    <row r="29" s="20" customFormat="1" ht="24" customHeight="1" spans="2:103">
      <c r="B29" s="221" t="s">
        <v>81</v>
      </c>
      <c r="C29" s="223" t="s">
        <v>136</v>
      </c>
      <c r="D29" s="224" t="s">
        <v>137</v>
      </c>
      <c r="E29" s="220"/>
      <c r="F29" s="220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20"/>
      <c r="S29" s="220"/>
      <c r="T29" s="220"/>
      <c r="U29" s="234"/>
      <c r="V29" s="234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41"/>
      <c r="AJ29" s="241"/>
      <c r="AK29" s="241"/>
      <c r="AL29" s="241"/>
      <c r="AM29" s="241"/>
      <c r="AN29" s="241"/>
      <c r="AO29" s="241"/>
      <c r="AP29" s="241"/>
      <c r="AQ29" s="241"/>
      <c r="AR29" s="241"/>
      <c r="AS29" s="241"/>
      <c r="AT29" s="241"/>
      <c r="AU29" s="241"/>
      <c r="AV29" s="241"/>
      <c r="AW29" s="241"/>
      <c r="AX29" s="241"/>
      <c r="AY29" s="241"/>
      <c r="AZ29" s="241"/>
      <c r="BA29" s="241"/>
      <c r="BB29" s="241"/>
      <c r="BC29" s="241"/>
      <c r="BD29" s="241"/>
      <c r="BE29" s="241"/>
      <c r="BF29" s="241"/>
      <c r="BG29" s="241"/>
      <c r="BH29" s="241"/>
      <c r="BI29" s="241"/>
      <c r="BJ29" s="241"/>
      <c r="BK29" s="241"/>
      <c r="BL29" s="241"/>
      <c r="BM29" s="241">
        <v>79579.74</v>
      </c>
      <c r="BN29" s="241"/>
      <c r="BO29" s="241"/>
      <c r="BP29" s="241">
        <f>19708.73+76813.83</f>
        <v>96522.56</v>
      </c>
      <c r="BQ29" s="241"/>
      <c r="BR29" s="241">
        <v>253943.78</v>
      </c>
      <c r="BS29" s="241">
        <v>181254.33</v>
      </c>
      <c r="BT29" s="241">
        <v>97678.85</v>
      </c>
      <c r="BU29" s="241"/>
      <c r="BV29" s="241">
        <v>55572.89</v>
      </c>
      <c r="BW29" s="241">
        <v>91703.4</v>
      </c>
      <c r="BX29" s="241"/>
      <c r="BY29" s="241"/>
      <c r="BZ29" s="241">
        <f t="shared" si="2"/>
        <v>856255.55</v>
      </c>
      <c r="CA29" s="263"/>
      <c r="CB29" s="263"/>
      <c r="CC29" s="274"/>
      <c r="CD29" s="274"/>
      <c r="CE29" s="85"/>
      <c r="CF29" s="85"/>
      <c r="CG29" s="79" t="s">
        <v>84</v>
      </c>
      <c r="CH29" s="273">
        <f t="shared" si="13"/>
        <v>856255.55</v>
      </c>
      <c r="CI29" s="275"/>
      <c r="CJ29" s="275"/>
      <c r="CK29" s="273"/>
      <c r="CL29" s="273">
        <v>50000</v>
      </c>
      <c r="CM29" s="273"/>
      <c r="CN29" s="273"/>
      <c r="CO29" s="273">
        <f>40000+200000</f>
        <v>240000</v>
      </c>
      <c r="CP29" s="273">
        <v>150000</v>
      </c>
      <c r="CQ29" s="273">
        <v>171300.41</v>
      </c>
      <c r="CR29" s="273"/>
      <c r="CS29" s="273">
        <v>60000</v>
      </c>
      <c r="CT29" s="273">
        <f>90000+50000</f>
        <v>140000</v>
      </c>
      <c r="CU29" s="273">
        <f t="shared" si="3"/>
        <v>44955.1399999999</v>
      </c>
      <c r="CV29" s="234">
        <f t="shared" si="4"/>
        <v>44955.1399999999</v>
      </c>
      <c r="CW29" s="290" t="s">
        <v>85</v>
      </c>
      <c r="CY29" s="180"/>
    </row>
    <row r="30" s="20" customFormat="1" ht="24" customHeight="1" spans="2:103">
      <c r="B30" s="221" t="s">
        <v>81</v>
      </c>
      <c r="C30" s="223" t="s">
        <v>138</v>
      </c>
      <c r="D30" s="224" t="s">
        <v>139</v>
      </c>
      <c r="E30" s="220"/>
      <c r="F30" s="220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20"/>
      <c r="S30" s="220"/>
      <c r="T30" s="220"/>
      <c r="U30" s="234"/>
      <c r="V30" s="234"/>
      <c r="W30" s="234"/>
      <c r="X30" s="23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41"/>
      <c r="AJ30" s="241"/>
      <c r="AK30" s="241"/>
      <c r="AL30" s="241"/>
      <c r="AM30" s="241"/>
      <c r="AN30" s="241"/>
      <c r="AO30" s="241"/>
      <c r="AP30" s="241"/>
      <c r="AQ30" s="241"/>
      <c r="AR30" s="241"/>
      <c r="AS30" s="241"/>
      <c r="AT30" s="241"/>
      <c r="AU30" s="241"/>
      <c r="AV30" s="241"/>
      <c r="AW30" s="241"/>
      <c r="AX30" s="241"/>
      <c r="AY30" s="241"/>
      <c r="AZ30" s="241"/>
      <c r="BA30" s="241"/>
      <c r="BB30" s="241"/>
      <c r="BC30" s="241"/>
      <c r="BD30" s="241"/>
      <c r="BE30" s="241"/>
      <c r="BF30" s="241"/>
      <c r="BG30" s="241"/>
      <c r="BH30" s="241"/>
      <c r="BI30" s="241"/>
      <c r="BJ30" s="241"/>
      <c r="BK30" s="241"/>
      <c r="BL30" s="241"/>
      <c r="BM30" s="261">
        <v>4430</v>
      </c>
      <c r="BN30" s="241"/>
      <c r="BO30" s="241"/>
      <c r="BP30" s="241"/>
      <c r="BQ30" s="241"/>
      <c r="BR30" s="241"/>
      <c r="BS30" s="241"/>
      <c r="BT30" s="241"/>
      <c r="BU30" s="241"/>
      <c r="BV30" s="241"/>
      <c r="BW30" s="241"/>
      <c r="BX30" s="241"/>
      <c r="BY30" s="241"/>
      <c r="BZ30" s="241">
        <f t="shared" si="2"/>
        <v>4430</v>
      </c>
      <c r="CA30" s="263"/>
      <c r="CB30" s="263"/>
      <c r="CC30" s="274"/>
      <c r="CD30" s="274"/>
      <c r="CE30" s="85"/>
      <c r="CF30" s="85"/>
      <c r="CG30" s="79" t="s">
        <v>84</v>
      </c>
      <c r="CH30" s="273">
        <f t="shared" si="13"/>
        <v>4430</v>
      </c>
      <c r="CI30" s="275"/>
      <c r="CJ30" s="275"/>
      <c r="CK30" s="273"/>
      <c r="CL30" s="273"/>
      <c r="CM30" s="273">
        <v>4430</v>
      </c>
      <c r="CN30" s="273"/>
      <c r="CO30" s="273"/>
      <c r="CP30" s="273"/>
      <c r="CQ30" s="273"/>
      <c r="CR30" s="273"/>
      <c r="CS30" s="273"/>
      <c r="CT30" s="273"/>
      <c r="CU30" s="273">
        <f t="shared" si="3"/>
        <v>0</v>
      </c>
      <c r="CV30" s="234">
        <f>CU30-BW30-BX30</f>
        <v>0</v>
      </c>
      <c r="CW30" s="290" t="s">
        <v>101</v>
      </c>
      <c r="CY30" s="180"/>
    </row>
    <row r="31" s="20" customFormat="1" ht="24" customHeight="1" spans="2:103">
      <c r="B31" s="221" t="s">
        <v>81</v>
      </c>
      <c r="C31" s="223" t="s">
        <v>140</v>
      </c>
      <c r="D31" s="224" t="s">
        <v>141</v>
      </c>
      <c r="E31" s="220"/>
      <c r="F31" s="220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20"/>
      <c r="S31" s="220"/>
      <c r="T31" s="220"/>
      <c r="U31" s="234"/>
      <c r="V31" s="234"/>
      <c r="W31" s="234"/>
      <c r="X31" s="234"/>
      <c r="Y31" s="234"/>
      <c r="Z31" s="234"/>
      <c r="AA31" s="234"/>
      <c r="AB31" s="234"/>
      <c r="AC31" s="234"/>
      <c r="AD31" s="234"/>
      <c r="AE31" s="234"/>
      <c r="AF31" s="234"/>
      <c r="AG31" s="234"/>
      <c r="AH31" s="234"/>
      <c r="AI31" s="241"/>
      <c r="AJ31" s="241"/>
      <c r="AK31" s="241"/>
      <c r="AL31" s="241"/>
      <c r="AM31" s="241"/>
      <c r="AN31" s="241"/>
      <c r="AO31" s="241"/>
      <c r="AP31" s="241"/>
      <c r="AQ31" s="241"/>
      <c r="AR31" s="241"/>
      <c r="AS31" s="241"/>
      <c r="AT31" s="241"/>
      <c r="AU31" s="241"/>
      <c r="AV31" s="241"/>
      <c r="AW31" s="241"/>
      <c r="AX31" s="241"/>
      <c r="AY31" s="241"/>
      <c r="AZ31" s="241"/>
      <c r="BA31" s="241"/>
      <c r="BB31" s="241"/>
      <c r="BC31" s="241"/>
      <c r="BD31" s="241"/>
      <c r="BE31" s="241"/>
      <c r="BF31" s="241"/>
      <c r="BG31" s="241"/>
      <c r="BH31" s="241"/>
      <c r="BI31" s="241"/>
      <c r="BJ31" s="241"/>
      <c r="BK31" s="241"/>
      <c r="BL31" s="241"/>
      <c r="BM31" s="261"/>
      <c r="BN31" s="241">
        <v>40002</v>
      </c>
      <c r="BO31" s="241"/>
      <c r="BP31" s="241"/>
      <c r="BQ31" s="241"/>
      <c r="BR31" s="241"/>
      <c r="BS31" s="241"/>
      <c r="BT31" s="241"/>
      <c r="BU31" s="241"/>
      <c r="BV31" s="241"/>
      <c r="BW31" s="241"/>
      <c r="BX31" s="241"/>
      <c r="BY31" s="241"/>
      <c r="BZ31" s="241">
        <f t="shared" si="2"/>
        <v>40002</v>
      </c>
      <c r="CA31" s="263"/>
      <c r="CB31" s="263"/>
      <c r="CC31" s="274"/>
      <c r="CD31" s="274"/>
      <c r="CE31" s="85"/>
      <c r="CF31" s="85"/>
      <c r="CG31" s="79" t="s">
        <v>84</v>
      </c>
      <c r="CH31" s="273">
        <f t="shared" si="13"/>
        <v>40002</v>
      </c>
      <c r="CI31" s="275"/>
      <c r="CJ31" s="275"/>
      <c r="CK31" s="273"/>
      <c r="CL31" s="273"/>
      <c r="CM31" s="273"/>
      <c r="CN31" s="273"/>
      <c r="CO31" s="273">
        <f>20000+20002</f>
        <v>40002</v>
      </c>
      <c r="CP31" s="273"/>
      <c r="CQ31" s="273"/>
      <c r="CR31" s="273"/>
      <c r="CS31" s="273"/>
      <c r="CT31" s="273"/>
      <c r="CU31" s="273">
        <f t="shared" si="3"/>
        <v>0</v>
      </c>
      <c r="CV31" s="234">
        <f>CU31-BW31-BX31</f>
        <v>0</v>
      </c>
      <c r="CW31" s="290" t="s">
        <v>101</v>
      </c>
      <c r="CY31" s="180"/>
    </row>
    <row r="32" s="20" customFormat="1" ht="24" customHeight="1" spans="2:103">
      <c r="B32" s="221" t="s">
        <v>81</v>
      </c>
      <c r="C32" s="225" t="s">
        <v>177</v>
      </c>
      <c r="D32" s="224" t="s">
        <v>178</v>
      </c>
      <c r="E32" s="220"/>
      <c r="F32" s="220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20"/>
      <c r="S32" s="220"/>
      <c r="T32" s="220"/>
      <c r="U32" s="234"/>
      <c r="V32" s="234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41"/>
      <c r="AJ32" s="241"/>
      <c r="AK32" s="241"/>
      <c r="AL32" s="241"/>
      <c r="AM32" s="241"/>
      <c r="AN32" s="241"/>
      <c r="AO32" s="241"/>
      <c r="AP32" s="241"/>
      <c r="AQ32" s="241"/>
      <c r="AR32" s="241"/>
      <c r="AS32" s="241"/>
      <c r="AT32" s="241"/>
      <c r="AU32" s="241"/>
      <c r="AV32" s="241"/>
      <c r="AW32" s="241"/>
      <c r="AX32" s="241"/>
      <c r="AY32" s="241"/>
      <c r="AZ32" s="241"/>
      <c r="BA32" s="241"/>
      <c r="BB32" s="241"/>
      <c r="BC32" s="241"/>
      <c r="BD32" s="241"/>
      <c r="BE32" s="241"/>
      <c r="BF32" s="241"/>
      <c r="BG32" s="241"/>
      <c r="BH32" s="241"/>
      <c r="BI32" s="241"/>
      <c r="BJ32" s="241"/>
      <c r="BK32" s="241"/>
      <c r="BL32" s="241"/>
      <c r="BM32" s="261"/>
      <c r="BN32" s="241"/>
      <c r="BO32" s="241"/>
      <c r="BP32" s="241"/>
      <c r="BQ32" s="241"/>
      <c r="BR32" s="241"/>
      <c r="BS32" s="241">
        <v>21244</v>
      </c>
      <c r="BT32" s="241">
        <f>42488+58534.4</f>
        <v>101022.4</v>
      </c>
      <c r="BU32" s="241"/>
      <c r="BV32" s="241">
        <v>3300</v>
      </c>
      <c r="BW32" s="241"/>
      <c r="BX32" s="241"/>
      <c r="BY32" s="241"/>
      <c r="BZ32" s="241">
        <f t="shared" si="2"/>
        <v>125566.4</v>
      </c>
      <c r="CA32" s="263"/>
      <c r="CB32" s="263"/>
      <c r="CC32" s="274"/>
      <c r="CD32" s="274"/>
      <c r="CE32" s="85"/>
      <c r="CF32" s="85"/>
      <c r="CG32" s="79" t="s">
        <v>84</v>
      </c>
      <c r="CH32" s="273">
        <f t="shared" si="13"/>
        <v>125566.4</v>
      </c>
      <c r="CI32" s="275"/>
      <c r="CJ32" s="275"/>
      <c r="CK32" s="275"/>
      <c r="CL32" s="275"/>
      <c r="CM32" s="275"/>
      <c r="CN32" s="275">
        <v>21244</v>
      </c>
      <c r="CO32" s="275">
        <v>42488</v>
      </c>
      <c r="CP32" s="275"/>
      <c r="CQ32" s="275">
        <v>58534.4</v>
      </c>
      <c r="CR32" s="275">
        <f>58534.4-55234.4</f>
        <v>3300</v>
      </c>
      <c r="CS32" s="275"/>
      <c r="CT32" s="275"/>
      <c r="CU32" s="273">
        <f t="shared" si="3"/>
        <v>-7.27595761418343e-12</v>
      </c>
      <c r="CV32" s="234">
        <f>IF(CU32-BW32-BX32&lt;0,0,CU32-BW32-BX32)</f>
        <v>0</v>
      </c>
      <c r="CW32" s="290"/>
      <c r="CY32" s="180"/>
    </row>
    <row r="33" s="20" customFormat="1" ht="24" customHeight="1" spans="2:103">
      <c r="B33" s="221" t="s">
        <v>81</v>
      </c>
      <c r="C33" s="225" t="s">
        <v>179</v>
      </c>
      <c r="D33" s="224" t="s">
        <v>180</v>
      </c>
      <c r="E33" s="220"/>
      <c r="F33" s="220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20"/>
      <c r="S33" s="220"/>
      <c r="T33" s="220"/>
      <c r="U33" s="234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41"/>
      <c r="AJ33" s="241"/>
      <c r="AK33" s="241"/>
      <c r="AL33" s="241"/>
      <c r="AM33" s="241"/>
      <c r="AN33" s="241"/>
      <c r="AO33" s="241"/>
      <c r="AP33" s="241"/>
      <c r="AQ33" s="241"/>
      <c r="AR33" s="241"/>
      <c r="AS33" s="241"/>
      <c r="AT33" s="241"/>
      <c r="AU33" s="241"/>
      <c r="AV33" s="241"/>
      <c r="AW33" s="241"/>
      <c r="AX33" s="241"/>
      <c r="AY33" s="241"/>
      <c r="AZ33" s="241"/>
      <c r="BA33" s="241"/>
      <c r="BB33" s="241"/>
      <c r="BC33" s="241"/>
      <c r="BD33" s="241"/>
      <c r="BE33" s="241"/>
      <c r="BF33" s="241"/>
      <c r="BG33" s="241"/>
      <c r="BH33" s="241"/>
      <c r="BI33" s="241"/>
      <c r="BJ33" s="241"/>
      <c r="BK33" s="241"/>
      <c r="BL33" s="241"/>
      <c r="BM33" s="261"/>
      <c r="BN33" s="241"/>
      <c r="BO33" s="241"/>
      <c r="BP33" s="241"/>
      <c r="BQ33" s="241"/>
      <c r="BR33" s="241"/>
      <c r="BS33" s="241">
        <v>83620</v>
      </c>
      <c r="BT33" s="241">
        <f>41584+103960</f>
        <v>145544</v>
      </c>
      <c r="BU33" s="241">
        <v>103960</v>
      </c>
      <c r="BV33" s="241"/>
      <c r="BW33" s="241"/>
      <c r="BX33" s="241"/>
      <c r="BY33" s="241"/>
      <c r="BZ33" s="241">
        <f t="shared" si="2"/>
        <v>333124</v>
      </c>
      <c r="CA33" s="263"/>
      <c r="CB33" s="263"/>
      <c r="CC33" s="274"/>
      <c r="CD33" s="274"/>
      <c r="CE33" s="85"/>
      <c r="CF33" s="85"/>
      <c r="CG33" s="79" t="s">
        <v>84</v>
      </c>
      <c r="CH33" s="273">
        <f t="shared" si="13"/>
        <v>333124</v>
      </c>
      <c r="CI33" s="275"/>
      <c r="CJ33" s="275"/>
      <c r="CK33" s="275"/>
      <c r="CL33" s="275"/>
      <c r="CM33" s="275">
        <v>83620</v>
      </c>
      <c r="CN33" s="275"/>
      <c r="CO33" s="275"/>
      <c r="CP33" s="275"/>
      <c r="CQ33" s="275"/>
      <c r="CR33" s="275"/>
      <c r="CS33" s="275"/>
      <c r="CT33" s="275">
        <v>207920</v>
      </c>
      <c r="CU33" s="273">
        <f t="shared" si="3"/>
        <v>41584</v>
      </c>
      <c r="CV33" s="234">
        <f t="shared" ref="CV33" si="14">IF(CU33-BY33-BX33&lt;0,0,CU33-BY33-BX33)</f>
        <v>41584</v>
      </c>
      <c r="CW33" s="290"/>
      <c r="CY33" s="180"/>
    </row>
    <row r="34" s="20" customFormat="1" ht="24" customHeight="1" spans="2:103">
      <c r="B34" s="221" t="s">
        <v>81</v>
      </c>
      <c r="C34" s="225" t="s">
        <v>181</v>
      </c>
      <c r="D34" s="224" t="s">
        <v>182</v>
      </c>
      <c r="E34" s="220"/>
      <c r="F34" s="220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20"/>
      <c r="S34" s="220"/>
      <c r="T34" s="220"/>
      <c r="U34" s="234"/>
      <c r="V34" s="234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  <c r="AT34" s="241"/>
      <c r="AU34" s="241"/>
      <c r="AV34" s="241"/>
      <c r="AW34" s="241"/>
      <c r="AX34" s="241"/>
      <c r="AY34" s="241"/>
      <c r="AZ34" s="241"/>
      <c r="BA34" s="241"/>
      <c r="BB34" s="241"/>
      <c r="BC34" s="241"/>
      <c r="BD34" s="241"/>
      <c r="BE34" s="241"/>
      <c r="BF34" s="241"/>
      <c r="BG34" s="241"/>
      <c r="BH34" s="241"/>
      <c r="BI34" s="241"/>
      <c r="BJ34" s="241"/>
      <c r="BK34" s="241"/>
      <c r="BL34" s="241"/>
      <c r="BM34" s="261"/>
      <c r="BN34" s="241"/>
      <c r="BO34" s="241"/>
      <c r="BP34" s="241"/>
      <c r="BQ34" s="241"/>
      <c r="BR34" s="241"/>
      <c r="BS34" s="241"/>
      <c r="BT34" s="241"/>
      <c r="BU34" s="241"/>
      <c r="BV34" s="241"/>
      <c r="BW34" s="241"/>
      <c r="BX34" s="241"/>
      <c r="BY34" s="241"/>
      <c r="BZ34" s="241">
        <f t="shared" si="2"/>
        <v>0</v>
      </c>
      <c r="CA34" s="263"/>
      <c r="CB34" s="263"/>
      <c r="CC34" s="274"/>
      <c r="CD34" s="274"/>
      <c r="CE34" s="85"/>
      <c r="CF34" s="85"/>
      <c r="CG34" s="79" t="s">
        <v>84</v>
      </c>
      <c r="CH34" s="273">
        <f t="shared" si="13"/>
        <v>0</v>
      </c>
      <c r="CI34" s="275"/>
      <c r="CJ34" s="275"/>
      <c r="CK34" s="275"/>
      <c r="CL34" s="275"/>
      <c r="CM34" s="275"/>
      <c r="CN34" s="275"/>
      <c r="CO34" s="275"/>
      <c r="CP34" s="275"/>
      <c r="CQ34" s="275">
        <v>55087.69</v>
      </c>
      <c r="CR34" s="275">
        <f>3390+5424</f>
        <v>8814</v>
      </c>
      <c r="CS34" s="275"/>
      <c r="CT34" s="275">
        <v>2712</v>
      </c>
      <c r="CU34" s="273">
        <f t="shared" si="3"/>
        <v>-66613.69</v>
      </c>
      <c r="CV34" s="234">
        <f>IF(CU34-BW34-BX34&lt;0,0,CU34-BW34-BX34)</f>
        <v>0</v>
      </c>
      <c r="CW34" s="290" t="s">
        <v>183</v>
      </c>
      <c r="CY34" s="180"/>
    </row>
    <row r="35" s="20" customFormat="1" ht="24" customHeight="1" spans="2:103">
      <c r="B35" s="221" t="s">
        <v>81</v>
      </c>
      <c r="C35" s="225" t="s">
        <v>184</v>
      </c>
      <c r="D35" s="224" t="s">
        <v>185</v>
      </c>
      <c r="E35" s="220"/>
      <c r="F35" s="220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20"/>
      <c r="S35" s="220"/>
      <c r="T35" s="220"/>
      <c r="U35" s="234"/>
      <c r="V35" s="234"/>
      <c r="W35" s="234"/>
      <c r="X35" s="23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241"/>
      <c r="AJ35" s="241"/>
      <c r="AK35" s="241"/>
      <c r="AL35" s="241"/>
      <c r="AM35" s="241"/>
      <c r="AN35" s="241"/>
      <c r="AO35" s="241"/>
      <c r="AP35" s="241"/>
      <c r="AQ35" s="241"/>
      <c r="AR35" s="241"/>
      <c r="AS35" s="241"/>
      <c r="AT35" s="241"/>
      <c r="AU35" s="241"/>
      <c r="AV35" s="241"/>
      <c r="AW35" s="241"/>
      <c r="AX35" s="241"/>
      <c r="AY35" s="241"/>
      <c r="AZ35" s="241"/>
      <c r="BA35" s="241"/>
      <c r="BB35" s="241"/>
      <c r="BC35" s="241"/>
      <c r="BD35" s="241"/>
      <c r="BE35" s="241"/>
      <c r="BF35" s="241"/>
      <c r="BG35" s="241"/>
      <c r="BH35" s="241"/>
      <c r="BI35" s="241"/>
      <c r="BJ35" s="241"/>
      <c r="BK35" s="241"/>
      <c r="BL35" s="241"/>
      <c r="BM35" s="261"/>
      <c r="BN35" s="241"/>
      <c r="BO35" s="241"/>
      <c r="BP35" s="241"/>
      <c r="BQ35" s="241"/>
      <c r="BR35" s="241"/>
      <c r="BS35" s="241"/>
      <c r="BT35" s="241"/>
      <c r="BU35" s="241">
        <v>50319.8</v>
      </c>
      <c r="BV35" s="241"/>
      <c r="BW35" s="241"/>
      <c r="BX35" s="241"/>
      <c r="BY35" s="241"/>
      <c r="BZ35" s="241">
        <f t="shared" si="2"/>
        <v>50319.8</v>
      </c>
      <c r="CA35" s="263"/>
      <c r="CB35" s="263"/>
      <c r="CC35" s="274"/>
      <c r="CD35" s="274"/>
      <c r="CE35" s="85"/>
      <c r="CF35" s="85"/>
      <c r="CG35" s="79" t="s">
        <v>84</v>
      </c>
      <c r="CH35" s="273">
        <f t="shared" si="13"/>
        <v>50319.8</v>
      </c>
      <c r="CI35" s="275"/>
      <c r="CJ35" s="275"/>
      <c r="CK35" s="275"/>
      <c r="CL35" s="275"/>
      <c r="CM35" s="275"/>
      <c r="CN35" s="275"/>
      <c r="CO35" s="275"/>
      <c r="CP35" s="275"/>
      <c r="CQ35" s="275"/>
      <c r="CR35" s="275">
        <v>40000</v>
      </c>
      <c r="CS35" s="275"/>
      <c r="CT35" s="275">
        <v>10319.8</v>
      </c>
      <c r="CU35" s="273">
        <f t="shared" si="3"/>
        <v>0</v>
      </c>
      <c r="CV35" s="234">
        <f>CU35-BW35-BX35</f>
        <v>0</v>
      </c>
      <c r="CW35" s="290"/>
      <c r="CY35" s="180"/>
    </row>
    <row r="36" s="20" customFormat="1" ht="24" customHeight="1" spans="2:103">
      <c r="B36" s="226" t="s">
        <v>81</v>
      </c>
      <c r="C36" s="225" t="s">
        <v>186</v>
      </c>
      <c r="D36" s="224" t="s">
        <v>187</v>
      </c>
      <c r="E36" s="220"/>
      <c r="F36" s="220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20"/>
      <c r="S36" s="220"/>
      <c r="T36" s="220"/>
      <c r="U36" s="234"/>
      <c r="V36" s="234"/>
      <c r="W36" s="234"/>
      <c r="X36" s="234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41"/>
      <c r="AJ36" s="241"/>
      <c r="AK36" s="241"/>
      <c r="AL36" s="241"/>
      <c r="AM36" s="241"/>
      <c r="AN36" s="241"/>
      <c r="AO36" s="241"/>
      <c r="AP36" s="241"/>
      <c r="AQ36" s="241"/>
      <c r="AR36" s="241"/>
      <c r="AS36" s="241"/>
      <c r="AT36" s="241"/>
      <c r="AU36" s="241"/>
      <c r="AV36" s="241"/>
      <c r="AW36" s="241"/>
      <c r="AX36" s="241"/>
      <c r="AY36" s="241"/>
      <c r="AZ36" s="241"/>
      <c r="BA36" s="241"/>
      <c r="BB36" s="241"/>
      <c r="BC36" s="241"/>
      <c r="BD36" s="241"/>
      <c r="BE36" s="241"/>
      <c r="BF36" s="241"/>
      <c r="BG36" s="241"/>
      <c r="BH36" s="241"/>
      <c r="BI36" s="241"/>
      <c r="BJ36" s="241"/>
      <c r="BK36" s="241"/>
      <c r="BL36" s="241"/>
      <c r="BM36" s="261"/>
      <c r="BN36" s="241"/>
      <c r="BO36" s="241"/>
      <c r="BP36" s="241"/>
      <c r="BQ36" s="241"/>
      <c r="BR36" s="241">
        <f>382969.99+224463.21</f>
        <v>607433.2</v>
      </c>
      <c r="BS36" s="241">
        <f>77000+611985.85</f>
        <v>688985.85</v>
      </c>
      <c r="BT36" s="241"/>
      <c r="BU36" s="241">
        <v>2966234.18</v>
      </c>
      <c r="BV36" s="241">
        <v>234870.5</v>
      </c>
      <c r="BW36" s="241">
        <f>342649.9+698034.9</f>
        <v>1040684.8</v>
      </c>
      <c r="BX36" s="241">
        <v>289573.8</v>
      </c>
      <c r="BY36" s="241">
        <v>16000</v>
      </c>
      <c r="BZ36" s="241">
        <f t="shared" si="2"/>
        <v>5843782.33</v>
      </c>
      <c r="CA36" s="263"/>
      <c r="CB36" s="263"/>
      <c r="CC36" s="274"/>
      <c r="CD36" s="274"/>
      <c r="CE36" s="85"/>
      <c r="CF36" s="79" t="s">
        <v>84</v>
      </c>
      <c r="CG36" s="79" t="s">
        <v>84</v>
      </c>
      <c r="CH36" s="273">
        <f t="shared" si="13"/>
        <v>5843782.33</v>
      </c>
      <c r="CI36" s="275"/>
      <c r="CJ36" s="275">
        <v>1600000</v>
      </c>
      <c r="CK36" s="275"/>
      <c r="CL36" s="275"/>
      <c r="CM36" s="275"/>
      <c r="CN36" s="275"/>
      <c r="CO36" s="275"/>
      <c r="CP36" s="275">
        <f>250000+1782600</f>
        <v>2032600</v>
      </c>
      <c r="CQ36" s="275"/>
      <c r="CR36" s="275">
        <v>200000</v>
      </c>
      <c r="CS36" s="275"/>
      <c r="CT36" s="275">
        <f>250000+16000</f>
        <v>266000</v>
      </c>
      <c r="CU36" s="273">
        <f t="shared" si="3"/>
        <v>1745182.33</v>
      </c>
      <c r="CV36" s="234">
        <f>CU36-BW36-BX36</f>
        <v>414923.73</v>
      </c>
      <c r="CW36" s="290"/>
      <c r="CY36" s="180"/>
    </row>
    <row r="37" s="21" customFormat="1" ht="24" customHeight="1" spans="2:101">
      <c r="B37" s="227"/>
      <c r="C37" s="228"/>
      <c r="D37" s="229" t="s">
        <v>142</v>
      </c>
      <c r="E37" s="230">
        <f t="shared" ref="E37:L37" si="15">SUM(E5:E28)</f>
        <v>22682532.6</v>
      </c>
      <c r="F37" s="230">
        <f t="shared" si="15"/>
        <v>24733449.16</v>
      </c>
      <c r="G37" s="230">
        <f t="shared" si="15"/>
        <v>25636156.67</v>
      </c>
      <c r="H37" s="230">
        <f t="shared" si="15"/>
        <v>24304613.27</v>
      </c>
      <c r="I37" s="230">
        <f t="shared" si="15"/>
        <v>24512398.23</v>
      </c>
      <c r="J37" s="230">
        <f t="shared" si="15"/>
        <v>24540876.54</v>
      </c>
      <c r="K37" s="230">
        <f t="shared" si="15"/>
        <v>24615719.22</v>
      </c>
      <c r="L37" s="230">
        <f t="shared" si="15"/>
        <v>24452662.85</v>
      </c>
      <c r="M37" s="230"/>
      <c r="N37" s="230"/>
      <c r="O37" s="230"/>
      <c r="P37" s="230"/>
      <c r="Q37" s="237" t="e">
        <f>VLOOKUP(D37,'[1]6期末'!$A$1:$D$65536,4,0)</f>
        <v>#N/A</v>
      </c>
      <c r="R37" s="230">
        <f t="shared" ref="R37:AA37" si="16">SUM(R5:R28)</f>
        <v>2663855</v>
      </c>
      <c r="S37" s="230">
        <f t="shared" si="16"/>
        <v>3163641</v>
      </c>
      <c r="T37" s="230">
        <f t="shared" si="16"/>
        <v>4722673.16</v>
      </c>
      <c r="U37" s="230">
        <f t="shared" si="16"/>
        <v>2025507.01</v>
      </c>
      <c r="V37" s="230">
        <f t="shared" si="16"/>
        <v>4000000</v>
      </c>
      <c r="W37" s="230">
        <f t="shared" si="16"/>
        <v>3349664.31</v>
      </c>
      <c r="X37" s="230">
        <f t="shared" si="16"/>
        <v>4130000</v>
      </c>
      <c r="Y37" s="230">
        <f t="shared" si="16"/>
        <v>711934.21</v>
      </c>
      <c r="Z37" s="230">
        <f t="shared" si="16"/>
        <v>2603768.33</v>
      </c>
      <c r="AA37" s="230">
        <f t="shared" si="16"/>
        <v>5183000</v>
      </c>
      <c r="AB37" s="230"/>
      <c r="AC37" s="230"/>
      <c r="AD37" s="230"/>
      <c r="AE37" s="230"/>
      <c r="AF37" s="230"/>
      <c r="AG37" s="243" t="e">
        <f>VLOOKUP(D37,'[1]10付款'!$A$1:$B$65536,2,0)</f>
        <v>#N/A</v>
      </c>
      <c r="AH37" s="243" t="e">
        <f>VLOOKUP(D37,'[1]11付款'!$A$1:$B$65536,2,0)</f>
        <v>#N/A</v>
      </c>
      <c r="AI37" s="230">
        <f t="shared" ref="AI37:AP37" si="17">SUM(AI5:AI28)</f>
        <v>-2084742.09</v>
      </c>
      <c r="AJ37" s="230">
        <f t="shared" si="17"/>
        <v>2630029.47</v>
      </c>
      <c r="AK37" s="230">
        <f t="shared" si="17"/>
        <v>6696377.98</v>
      </c>
      <c r="AL37" s="230">
        <f t="shared" si="17"/>
        <v>2300739.41</v>
      </c>
      <c r="AM37" s="230">
        <f t="shared" si="17"/>
        <v>-3659401.82</v>
      </c>
      <c r="AN37" s="230">
        <f t="shared" si="17"/>
        <v>369076.49</v>
      </c>
      <c r="AO37" s="230">
        <f t="shared" si="17"/>
        <v>-899704.179999999</v>
      </c>
      <c r="AP37" s="230">
        <f t="shared" si="17"/>
        <v>3067239.45</v>
      </c>
      <c r="AQ37" s="230"/>
      <c r="AR37" s="230"/>
      <c r="AS37" s="230"/>
      <c r="AT37" s="230"/>
      <c r="AU37" s="230">
        <f t="shared" ref="AU37:BV37" si="18">SUM(AU5:AU36)</f>
        <v>17512.09</v>
      </c>
      <c r="AV37" s="230">
        <f t="shared" si="18"/>
        <v>3781853.16</v>
      </c>
      <c r="AW37" s="230">
        <f t="shared" si="18"/>
        <v>3490060.51</v>
      </c>
      <c r="AX37" s="230">
        <f t="shared" si="18"/>
        <v>3391129.76</v>
      </c>
      <c r="AY37" s="230">
        <f t="shared" si="18"/>
        <v>2245811.18</v>
      </c>
      <c r="AZ37" s="230">
        <f t="shared" si="18"/>
        <v>3575191.58</v>
      </c>
      <c r="BA37" s="230">
        <f t="shared" si="18"/>
        <v>2945964.11</v>
      </c>
      <c r="BB37" s="230">
        <f t="shared" si="18"/>
        <v>3966943.63</v>
      </c>
      <c r="BC37" s="230">
        <f t="shared" si="18"/>
        <v>2713530.34</v>
      </c>
      <c r="BD37" s="230">
        <f t="shared" si="18"/>
        <v>2708120.38</v>
      </c>
      <c r="BE37" s="230">
        <f t="shared" si="18"/>
        <v>4609510.63</v>
      </c>
      <c r="BF37" s="230">
        <f t="shared" si="18"/>
        <v>5500560.87</v>
      </c>
      <c r="BG37" s="230">
        <f t="shared" si="18"/>
        <v>4036029.36</v>
      </c>
      <c r="BH37" s="230">
        <f t="shared" si="18"/>
        <v>317655.91</v>
      </c>
      <c r="BI37" s="230">
        <f t="shared" si="18"/>
        <v>1533206.14</v>
      </c>
      <c r="BJ37" s="230">
        <f t="shared" si="18"/>
        <v>3380829.91</v>
      </c>
      <c r="BK37" s="230">
        <f t="shared" si="18"/>
        <v>3440970.86</v>
      </c>
      <c r="BL37" s="230">
        <f t="shared" si="18"/>
        <v>3221715.13</v>
      </c>
      <c r="BM37" s="230">
        <f t="shared" si="18"/>
        <v>908640.82</v>
      </c>
      <c r="BN37" s="230">
        <f t="shared" si="18"/>
        <v>3706666.15</v>
      </c>
      <c r="BO37" s="230">
        <f t="shared" si="18"/>
        <v>904749.65</v>
      </c>
      <c r="BP37" s="230">
        <f t="shared" si="18"/>
        <v>1482160.23</v>
      </c>
      <c r="BQ37" s="230">
        <f t="shared" si="18"/>
        <v>1928703.01</v>
      </c>
      <c r="BR37" s="230">
        <f t="shared" si="18"/>
        <v>3348377.06</v>
      </c>
      <c r="BS37" s="230">
        <f t="shared" si="18"/>
        <v>3091451.29</v>
      </c>
      <c r="BT37" s="230">
        <f t="shared" si="18"/>
        <v>3500406.25</v>
      </c>
      <c r="BU37" s="230">
        <f t="shared" si="18"/>
        <v>4619478.34</v>
      </c>
      <c r="BV37" s="230">
        <f t="shared" si="18"/>
        <v>2347410.89</v>
      </c>
      <c r="BW37" s="230">
        <f t="shared" ref="BW37:BY37" si="19">SUM(BW5:BW36)</f>
        <v>3171438.22</v>
      </c>
      <c r="BX37" s="230">
        <f t="shared" si="19"/>
        <v>333580.75</v>
      </c>
      <c r="BY37" s="230">
        <f t="shared" si="19"/>
        <v>26937.5</v>
      </c>
      <c r="BZ37" s="230">
        <f>SUM(BZ5:BZ31)</f>
        <v>34929097.67</v>
      </c>
      <c r="CA37" s="192">
        <f t="shared" ref="CA37:CG37" si="20">SUM(CA5:CA28)</f>
        <v>4937473.71</v>
      </c>
      <c r="CB37" s="192">
        <f t="shared" si="20"/>
        <v>0</v>
      </c>
      <c r="CC37" s="192">
        <f t="shared" si="20"/>
        <v>0</v>
      </c>
      <c r="CD37" s="192">
        <f t="shared" si="20"/>
        <v>0</v>
      </c>
      <c r="CE37" s="192">
        <f t="shared" si="20"/>
        <v>0</v>
      </c>
      <c r="CF37" s="192">
        <f t="shared" si="20"/>
        <v>0</v>
      </c>
      <c r="CG37" s="192">
        <f t="shared" si="20"/>
        <v>0</v>
      </c>
      <c r="CH37" s="192">
        <f>SUM(CH5:CH31)</f>
        <v>34929097.67</v>
      </c>
      <c r="CI37" s="192">
        <f>SUM(CI5:CI28)</f>
        <v>10</v>
      </c>
      <c r="CJ37" s="192">
        <f>SUM(CJ5:CJ31)</f>
        <v>6508601.48</v>
      </c>
      <c r="CK37" s="192">
        <f>SUM(CK5:CK31)</f>
        <v>2018513.69</v>
      </c>
      <c r="CL37" s="192">
        <f>SUM(CL5:CL31)</f>
        <v>3826925.1176</v>
      </c>
      <c r="CM37" s="192">
        <f t="shared" ref="CM37:CQ37" si="21">SUM(CM5:CM31)</f>
        <v>2542065.15</v>
      </c>
      <c r="CN37" s="192">
        <f t="shared" si="21"/>
        <v>1981468.43</v>
      </c>
      <c r="CO37" s="192">
        <f t="shared" si="21"/>
        <v>4318007.84</v>
      </c>
      <c r="CP37" s="192"/>
      <c r="CQ37" s="192">
        <f t="shared" si="21"/>
        <v>3254236.09</v>
      </c>
      <c r="CR37" s="192">
        <f>SUM(CR5:CR36)</f>
        <v>1520525.47</v>
      </c>
      <c r="CS37" s="192">
        <f>SUM(CS5:CS36)</f>
        <v>2564460.69</v>
      </c>
      <c r="CT37" s="192">
        <f>SUM(CT5:CT36)</f>
        <v>3714485.1</v>
      </c>
      <c r="CU37" s="192">
        <f>SUM(CU5:CU36)</f>
        <v>2714628.1224</v>
      </c>
      <c r="CV37" s="192">
        <f>SUM(CV5:CV36)</f>
        <v>1982480.02</v>
      </c>
      <c r="CW37" s="195"/>
    </row>
    <row r="38" customHeight="1" spans="5:81">
      <c r="E38" s="231"/>
      <c r="F38" s="231"/>
      <c r="G38" s="231"/>
      <c r="H38" s="231"/>
      <c r="I38" s="231"/>
      <c r="J38" s="231"/>
      <c r="K38" s="231"/>
      <c r="L38" s="231"/>
      <c r="M38" s="231"/>
      <c r="N38" s="231"/>
      <c r="O38" s="231"/>
      <c r="P38" s="231"/>
      <c r="Q38" s="231"/>
      <c r="R38" s="231"/>
      <c r="S38" s="231"/>
      <c r="T38" s="231"/>
      <c r="U38" s="231"/>
      <c r="V38" s="231"/>
      <c r="W38" s="231"/>
      <c r="X38" s="231"/>
      <c r="Y38" s="231"/>
      <c r="Z38" s="231"/>
      <c r="AA38" s="231"/>
      <c r="AB38" s="231"/>
      <c r="AC38" s="231"/>
      <c r="AD38" s="231"/>
      <c r="AE38" s="231"/>
      <c r="AF38" s="231"/>
      <c r="AG38" s="231"/>
      <c r="AH38" s="231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246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99"/>
      <c r="CA38" s="99"/>
      <c r="CB38" s="99"/>
      <c r="CC38" s="276"/>
    </row>
    <row r="39" customHeight="1" spans="5:100"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1"/>
      <c r="R39" s="231"/>
      <c r="S39" s="231"/>
      <c r="T39" s="231"/>
      <c r="U39" s="231"/>
      <c r="V39" s="231"/>
      <c r="W39" s="231"/>
      <c r="X39" s="231"/>
      <c r="Y39" s="231"/>
      <c r="Z39" s="231"/>
      <c r="AA39" s="231"/>
      <c r="AB39" s="231"/>
      <c r="AC39" s="231"/>
      <c r="AD39" s="231"/>
      <c r="AE39" s="231"/>
      <c r="AF39" s="231"/>
      <c r="AG39" s="231"/>
      <c r="AH39" s="231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246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99"/>
      <c r="BM39" s="99"/>
      <c r="BN39" s="99"/>
      <c r="BO39" s="99"/>
      <c r="BP39" s="99"/>
      <c r="BQ39" s="99"/>
      <c r="BR39" s="99"/>
      <c r="BS39" s="99"/>
      <c r="BT39" s="99"/>
      <c r="BU39" s="99"/>
      <c r="BV39" s="99"/>
      <c r="BW39" s="99"/>
      <c r="BX39" s="99"/>
      <c r="BY39" s="99"/>
      <c r="BZ39" s="99"/>
      <c r="CA39" s="99"/>
      <c r="CB39" s="99"/>
      <c r="CC39" s="276"/>
      <c r="CV39" s="193"/>
    </row>
    <row r="40" ht="15.6" spans="4:100">
      <c r="D40" s="100" t="s">
        <v>143</v>
      </c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 t="s">
        <v>144</v>
      </c>
      <c r="S40" s="232"/>
      <c r="T40" s="232"/>
      <c r="U40" s="232"/>
      <c r="V40" s="232"/>
      <c r="W40" s="232"/>
      <c r="X40" s="232"/>
      <c r="Y40" s="232"/>
      <c r="Z40" s="232"/>
      <c r="AA40" s="232"/>
      <c r="AB40" s="232"/>
      <c r="AC40" s="232"/>
      <c r="AD40" s="232"/>
      <c r="AE40" s="232"/>
      <c r="AF40" s="232"/>
      <c r="AG40" s="232"/>
      <c r="AH40" s="232"/>
      <c r="CC40" s="23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193">
        <f>CU37-CV37</f>
        <v>732148.1024</v>
      </c>
    </row>
    <row r="41" spans="99:99">
      <c r="CU41" s="112">
        <v>2536180.95</v>
      </c>
    </row>
    <row r="51" spans="60:99">
      <c r="BH51" s="250"/>
      <c r="BI51" s="250"/>
      <c r="BJ51" s="250"/>
      <c r="BK51" s="251"/>
      <c r="BL51" s="251"/>
      <c r="BM51" s="251"/>
      <c r="BN51" s="251"/>
      <c r="BO51" s="251"/>
      <c r="BP51" s="251"/>
      <c r="BQ51" s="251"/>
      <c r="BR51" s="251"/>
      <c r="BS51" s="251"/>
      <c r="BT51" s="251"/>
      <c r="BU51" s="251"/>
      <c r="BV51" s="251"/>
      <c r="BW51" s="251"/>
      <c r="BX51" s="251"/>
      <c r="BY51" s="251"/>
      <c r="BZ51" s="251"/>
      <c r="CA51" s="264"/>
      <c r="CB51" s="264"/>
      <c r="CC51" s="264"/>
      <c r="CD51" s="264"/>
      <c r="CE51" s="264"/>
      <c r="CF51" s="264"/>
      <c r="CG51" s="264"/>
      <c r="CH51" s="277"/>
      <c r="CI51" s="22"/>
      <c r="CJ51" s="22"/>
      <c r="CK51" s="22"/>
      <c r="CL51" s="22"/>
      <c r="CM51" s="22"/>
      <c r="CN51" s="22"/>
      <c r="CO51" s="22"/>
      <c r="CP51" s="22"/>
      <c r="CQ51" s="22"/>
      <c r="CR51" s="22"/>
      <c r="CS51" s="22"/>
      <c r="CT51" s="22"/>
      <c r="CU51" s="22"/>
    </row>
    <row r="52" spans="60:99">
      <c r="BH52" s="250" t="s">
        <v>145</v>
      </c>
      <c r="BI52" s="250" t="s">
        <v>146</v>
      </c>
      <c r="BJ52" s="250" t="s">
        <v>147</v>
      </c>
      <c r="BK52" s="251"/>
      <c r="BL52" s="251"/>
      <c r="BM52" s="251"/>
      <c r="BN52" s="251"/>
      <c r="BO52" s="251"/>
      <c r="BP52" s="251"/>
      <c r="BQ52" s="251"/>
      <c r="BR52" s="251"/>
      <c r="BS52" s="251"/>
      <c r="BT52" s="251"/>
      <c r="BU52" s="251"/>
      <c r="BV52" s="251"/>
      <c r="BW52" s="251"/>
      <c r="BX52" s="251"/>
      <c r="BY52" s="251"/>
      <c r="BZ52" s="251" t="s">
        <v>36</v>
      </c>
      <c r="CA52" s="264"/>
      <c r="CB52" s="264"/>
      <c r="CC52" s="264"/>
      <c r="CD52" s="264"/>
      <c r="CE52" s="264"/>
      <c r="CF52" s="264"/>
      <c r="CG52" s="264"/>
      <c r="CH52" s="277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</row>
    <row r="53" spans="60:99">
      <c r="BH53" s="250">
        <v>220</v>
      </c>
      <c r="BI53" s="250" t="s">
        <v>148</v>
      </c>
      <c r="BJ53" s="252">
        <v>200</v>
      </c>
      <c r="BK53" s="252"/>
      <c r="BL53" s="252"/>
      <c r="BM53" s="252"/>
      <c r="BN53" s="252"/>
      <c r="BO53" s="252"/>
      <c r="BP53" s="252"/>
      <c r="BQ53" s="252"/>
      <c r="BR53" s="252"/>
      <c r="BS53" s="252"/>
      <c r="BT53" s="252"/>
      <c r="BU53" s="252"/>
      <c r="BV53" s="252"/>
      <c r="BW53" s="252"/>
      <c r="BX53" s="252"/>
      <c r="BY53" s="252"/>
      <c r="BZ53" s="250"/>
      <c r="CA53" s="250"/>
      <c r="CB53" s="250"/>
      <c r="CC53" s="250"/>
      <c r="CD53" s="250"/>
      <c r="CE53" s="250"/>
      <c r="CF53" s="250"/>
      <c r="CG53" s="250"/>
      <c r="CH53" s="250"/>
      <c r="CI53" s="22"/>
      <c r="CJ53" s="22"/>
      <c r="CK53" s="22"/>
      <c r="CL53" s="22"/>
      <c r="CM53" s="22"/>
      <c r="CN53" s="22"/>
      <c r="CO53" s="22"/>
      <c r="CP53" s="22"/>
      <c r="CQ53" s="22"/>
      <c r="CR53" s="22"/>
      <c r="CS53" s="22"/>
      <c r="CT53" s="22"/>
      <c r="CU53" s="22"/>
    </row>
    <row r="54" spans="60:99">
      <c r="BH54" s="250">
        <v>46</v>
      </c>
      <c r="BI54" s="250" t="s">
        <v>149</v>
      </c>
      <c r="BJ54" s="250">
        <v>750</v>
      </c>
      <c r="BK54" s="253"/>
      <c r="BL54" s="253"/>
      <c r="BM54" s="253"/>
      <c r="BN54" s="253"/>
      <c r="BO54" s="253"/>
      <c r="BP54" s="253"/>
      <c r="BQ54" s="253"/>
      <c r="BR54" s="253"/>
      <c r="BS54" s="253"/>
      <c r="BT54" s="253"/>
      <c r="BU54" s="253"/>
      <c r="BV54" s="253"/>
      <c r="BW54" s="253"/>
      <c r="BX54" s="253"/>
      <c r="BY54" s="253"/>
      <c r="BZ54" s="265" t="s">
        <v>150</v>
      </c>
      <c r="CA54" s="266"/>
      <c r="CB54" s="266"/>
      <c r="CC54" s="266"/>
      <c r="CD54" s="266"/>
      <c r="CE54" s="266"/>
      <c r="CF54" s="266"/>
      <c r="CG54" s="266"/>
      <c r="CH54" s="278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</row>
    <row r="55" spans="60:99">
      <c r="BH55" s="250">
        <v>247</v>
      </c>
      <c r="BI55" s="250" t="s">
        <v>149</v>
      </c>
      <c r="BJ55" s="250"/>
      <c r="BK55" s="254"/>
      <c r="BL55" s="254"/>
      <c r="BM55" s="254"/>
      <c r="BN55" s="254"/>
      <c r="BO55" s="254"/>
      <c r="BP55" s="254"/>
      <c r="BQ55" s="254"/>
      <c r="BR55" s="254"/>
      <c r="BS55" s="254"/>
      <c r="BT55" s="254"/>
      <c r="BU55" s="254"/>
      <c r="BV55" s="254"/>
      <c r="BW55" s="254"/>
      <c r="BX55" s="254"/>
      <c r="BY55" s="254"/>
      <c r="BZ55" s="267"/>
      <c r="CA55" s="268"/>
      <c r="CB55" s="268"/>
      <c r="CC55" s="268"/>
      <c r="CD55" s="268"/>
      <c r="CE55" s="268"/>
      <c r="CF55" s="268"/>
      <c r="CG55" s="268"/>
      <c r="CH55" s="279"/>
      <c r="CI55" s="22"/>
      <c r="CJ55" s="22"/>
      <c r="CK55" s="22"/>
      <c r="CL55" s="22"/>
      <c r="CM55" s="22"/>
      <c r="CN55" s="22"/>
      <c r="CO55" s="22"/>
      <c r="CP55" s="22"/>
      <c r="CQ55" s="22"/>
      <c r="CR55" s="22"/>
      <c r="CS55" s="22"/>
      <c r="CT55" s="22"/>
      <c r="CU55" s="22"/>
    </row>
    <row r="56" spans="2:99">
      <c r="B56" s="22"/>
      <c r="D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50">
        <v>100</v>
      </c>
      <c r="BI56" s="250" t="s">
        <v>149</v>
      </c>
      <c r="BJ56" s="250"/>
      <c r="BK56" s="255"/>
      <c r="BL56" s="255"/>
      <c r="BM56" s="255"/>
      <c r="BN56" s="255"/>
      <c r="BO56" s="255"/>
      <c r="BP56" s="255"/>
      <c r="BQ56" s="255"/>
      <c r="BR56" s="255"/>
      <c r="BS56" s="255"/>
      <c r="BT56" s="255"/>
      <c r="BU56" s="255"/>
      <c r="BV56" s="255"/>
      <c r="BW56" s="255"/>
      <c r="BX56" s="255"/>
      <c r="BY56" s="255"/>
      <c r="BZ56" s="269"/>
      <c r="CA56" s="270"/>
      <c r="CB56" s="270"/>
      <c r="CC56" s="270"/>
      <c r="CD56" s="270"/>
      <c r="CE56" s="270"/>
      <c r="CF56" s="270"/>
      <c r="CG56" s="270"/>
      <c r="CH56" s="280"/>
      <c r="CI56" s="22"/>
      <c r="CJ56" s="22"/>
      <c r="CK56" s="22"/>
      <c r="CL56" s="22"/>
      <c r="CM56" s="22"/>
      <c r="CN56" s="22"/>
      <c r="CO56" s="22"/>
      <c r="CP56" s="22"/>
      <c r="CQ56" s="22"/>
      <c r="CR56" s="22"/>
      <c r="CS56" s="22"/>
      <c r="CT56" s="22"/>
      <c r="CU56" s="22"/>
    </row>
    <row r="57" spans="2:99">
      <c r="B57" s="22"/>
      <c r="D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50">
        <v>200</v>
      </c>
      <c r="BI57" s="250" t="s">
        <v>151</v>
      </c>
      <c r="BJ57" s="256">
        <v>200</v>
      </c>
      <c r="BK57" s="256"/>
      <c r="BL57" s="256"/>
      <c r="BM57" s="256"/>
      <c r="BN57" s="256"/>
      <c r="BO57" s="256"/>
      <c r="BP57" s="256"/>
      <c r="BQ57" s="256"/>
      <c r="BR57" s="256"/>
      <c r="BS57" s="256"/>
      <c r="BT57" s="256"/>
      <c r="BU57" s="256"/>
      <c r="BV57" s="256"/>
      <c r="BW57" s="256"/>
      <c r="BX57" s="256"/>
      <c r="BY57" s="256"/>
      <c r="BZ57" s="250"/>
      <c r="CA57" s="250"/>
      <c r="CB57" s="250"/>
      <c r="CC57" s="250"/>
      <c r="CD57" s="250"/>
      <c r="CE57" s="250"/>
      <c r="CF57" s="250"/>
      <c r="CG57" s="250"/>
      <c r="CH57" s="250"/>
      <c r="CI57" s="22"/>
      <c r="CJ57" s="22"/>
      <c r="CK57" s="22"/>
      <c r="CL57" s="22"/>
      <c r="CM57" s="22"/>
      <c r="CN57" s="22"/>
      <c r="CO57" s="22"/>
      <c r="CP57" s="22"/>
      <c r="CQ57" s="22"/>
      <c r="CR57" s="22"/>
      <c r="CS57" s="22"/>
      <c r="CT57" s="22"/>
      <c r="CU57" s="22"/>
    </row>
    <row r="58" spans="2:99">
      <c r="B58" s="22"/>
      <c r="D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50">
        <v>140</v>
      </c>
      <c r="BI58" s="250" t="s">
        <v>152</v>
      </c>
      <c r="BJ58" s="252">
        <v>320</v>
      </c>
      <c r="BK58" s="252"/>
      <c r="BL58" s="252"/>
      <c r="BM58" s="252"/>
      <c r="BN58" s="252"/>
      <c r="BO58" s="252"/>
      <c r="BP58" s="252"/>
      <c r="BQ58" s="252"/>
      <c r="BR58" s="252"/>
      <c r="BS58" s="252"/>
      <c r="BT58" s="252"/>
      <c r="BU58" s="252"/>
      <c r="BV58" s="252"/>
      <c r="BW58" s="252"/>
      <c r="BX58" s="252"/>
      <c r="BY58" s="252"/>
      <c r="BZ58" s="250" t="s">
        <v>153</v>
      </c>
      <c r="CA58" s="250"/>
      <c r="CB58" s="250"/>
      <c r="CC58" s="250"/>
      <c r="CD58" s="250"/>
      <c r="CE58" s="250"/>
      <c r="CF58" s="250"/>
      <c r="CG58" s="250"/>
      <c r="CH58" s="250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</row>
    <row r="59" spans="2:99">
      <c r="B59" s="22"/>
      <c r="D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50">
        <f>SUM(BH53:BH58)</f>
        <v>953</v>
      </c>
      <c r="BI59" s="250" t="s">
        <v>154</v>
      </c>
      <c r="BJ59" s="250">
        <f>SUM(BJ53:BJ58)</f>
        <v>1470</v>
      </c>
      <c r="BK59" s="250"/>
      <c r="BL59" s="250"/>
      <c r="BM59" s="250"/>
      <c r="BN59" s="250"/>
      <c r="BO59" s="250"/>
      <c r="BP59" s="250"/>
      <c r="BQ59" s="250"/>
      <c r="BR59" s="250"/>
      <c r="BS59" s="250"/>
      <c r="BT59" s="250"/>
      <c r="BU59" s="250"/>
      <c r="BV59" s="250"/>
      <c r="BW59" s="250"/>
      <c r="BX59" s="250"/>
      <c r="BY59" s="250"/>
      <c r="BZ59" s="250"/>
      <c r="CA59" s="250"/>
      <c r="CB59" s="250" t="s">
        <v>155</v>
      </c>
      <c r="CC59" s="281"/>
      <c r="CD59" s="281"/>
      <c r="CE59" s="281"/>
      <c r="CF59" s="281"/>
      <c r="CG59" s="281"/>
      <c r="CH59" s="256"/>
      <c r="CI59" s="22"/>
      <c r="CJ59" s="22"/>
      <c r="CK59" s="22"/>
      <c r="CL59" s="22"/>
      <c r="CM59" s="22"/>
      <c r="CN59" s="22"/>
      <c r="CO59" s="22"/>
      <c r="CP59" s="22"/>
      <c r="CQ59" s="22"/>
      <c r="CR59" s="22"/>
      <c r="CS59" s="22"/>
      <c r="CT59" s="22"/>
      <c r="CU59" s="22"/>
    </row>
    <row r="60" spans="2:99">
      <c r="B60" s="22"/>
      <c r="D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57" t="s">
        <v>156</v>
      </c>
      <c r="BI60" s="258"/>
      <c r="BJ60" s="258"/>
      <c r="BK60" s="258"/>
      <c r="BL60" s="258"/>
      <c r="BM60" s="258"/>
      <c r="BN60" s="258"/>
      <c r="BO60" s="258"/>
      <c r="BP60" s="258"/>
      <c r="BQ60" s="258"/>
      <c r="BR60" s="258"/>
      <c r="BS60" s="258"/>
      <c r="BT60" s="258"/>
      <c r="BU60" s="258"/>
      <c r="BV60" s="258"/>
      <c r="BW60" s="258"/>
      <c r="BX60" s="258"/>
      <c r="BY60" s="258"/>
      <c r="BZ60" s="258"/>
      <c r="CA60" s="258"/>
      <c r="CB60" s="258"/>
      <c r="CC60" s="258"/>
      <c r="CD60" s="258"/>
      <c r="CE60" s="258"/>
      <c r="CF60" s="258"/>
      <c r="CG60" s="258"/>
      <c r="CH60" s="282"/>
      <c r="CI60" s="22"/>
      <c r="CJ60" s="22"/>
      <c r="CK60" s="22"/>
      <c r="CL60" s="22"/>
      <c r="CM60" s="22"/>
      <c r="CN60" s="22"/>
      <c r="CO60" s="22"/>
      <c r="CP60" s="22"/>
      <c r="CQ60" s="22"/>
      <c r="CR60" s="22"/>
      <c r="CS60" s="22"/>
      <c r="CT60" s="22"/>
      <c r="CU60" s="22"/>
    </row>
    <row r="61" spans="2:99">
      <c r="B61" s="22"/>
      <c r="D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59"/>
      <c r="BI61" s="260"/>
      <c r="BJ61" s="260"/>
      <c r="BK61" s="260"/>
      <c r="BL61" s="260"/>
      <c r="BM61" s="260"/>
      <c r="BN61" s="260"/>
      <c r="BO61" s="260"/>
      <c r="BP61" s="260"/>
      <c r="BQ61" s="260"/>
      <c r="BR61" s="260"/>
      <c r="BS61" s="260"/>
      <c r="BT61" s="260"/>
      <c r="BU61" s="260"/>
      <c r="BV61" s="260"/>
      <c r="BW61" s="260"/>
      <c r="BX61" s="260"/>
      <c r="BY61" s="260"/>
      <c r="BZ61" s="260"/>
      <c r="CA61" s="260"/>
      <c r="CB61" s="260"/>
      <c r="CC61" s="260"/>
      <c r="CD61" s="260"/>
      <c r="CE61" s="260"/>
      <c r="CF61" s="260"/>
      <c r="CG61" s="260"/>
      <c r="CH61" s="283"/>
      <c r="CI61" s="22"/>
      <c r="CJ61" s="22"/>
      <c r="CK61" s="22"/>
      <c r="CL61" s="22"/>
      <c r="CM61" s="22"/>
      <c r="CN61" s="22"/>
      <c r="CO61" s="22"/>
      <c r="CP61" s="22"/>
      <c r="CQ61" s="22"/>
      <c r="CR61" s="22"/>
      <c r="CS61" s="22"/>
      <c r="CT61" s="22"/>
      <c r="CU61" s="22"/>
    </row>
    <row r="100" s="22" customFormat="1" spans="18:34">
      <c r="R100" s="291"/>
      <c r="S100" s="291"/>
      <c r="T100" s="291"/>
      <c r="U100" s="291"/>
      <c r="V100" s="291"/>
      <c r="W100" s="291"/>
      <c r="X100" s="291"/>
      <c r="Y100" s="291"/>
      <c r="Z100" s="291"/>
      <c r="AA100" s="291"/>
      <c r="AB100" s="291"/>
      <c r="AC100" s="291"/>
      <c r="AD100" s="291"/>
      <c r="AE100" s="291"/>
      <c r="AF100" s="291"/>
      <c r="AG100" s="291"/>
      <c r="AH100" s="291"/>
    </row>
    <row r="103" s="22" customFormat="1" spans="18:34">
      <c r="R103" s="292"/>
      <c r="S103" s="292"/>
      <c r="T103" s="292"/>
      <c r="U103" s="292"/>
      <c r="V103" s="292"/>
      <c r="W103" s="292"/>
      <c r="X103" s="292"/>
      <c r="Y103" s="292"/>
      <c r="Z103" s="292"/>
      <c r="AA103" s="292"/>
      <c r="AB103" s="292"/>
      <c r="AC103" s="292"/>
      <c r="AD103" s="292"/>
      <c r="AE103" s="292"/>
      <c r="AF103" s="292"/>
      <c r="AG103" s="292"/>
      <c r="AH103" s="292"/>
    </row>
  </sheetData>
  <autoFilter ref="A4:CY37">
    <extLst/>
  </autoFilter>
  <mergeCells count="109">
    <mergeCell ref="B1:CV1"/>
    <mergeCell ref="AI2:BZ2"/>
    <mergeCell ref="CA2:CB2"/>
    <mergeCell ref="CE2:CH2"/>
    <mergeCell ref="BZ51:CH51"/>
    <mergeCell ref="BZ52:CH52"/>
    <mergeCell ref="BZ53:CH53"/>
    <mergeCell ref="BZ57:CH57"/>
    <mergeCell ref="BZ58:CH58"/>
    <mergeCell ref="B2:B4"/>
    <mergeCell ref="C2:C4"/>
    <mergeCell ref="D2:D4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  <mergeCell ref="AE2:AE3"/>
    <mergeCell ref="AF2:AF3"/>
    <mergeCell ref="AG2:AG3"/>
    <mergeCell ref="AI3:AI4"/>
    <mergeCell ref="AJ3:AJ4"/>
    <mergeCell ref="AK3:AK4"/>
    <mergeCell ref="AL3:AL4"/>
    <mergeCell ref="AM3:AM4"/>
    <mergeCell ref="AN3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J54:BJ56"/>
    <mergeCell ref="BK3:BK4"/>
    <mergeCell ref="BL3:BL4"/>
    <mergeCell ref="BM3:BM4"/>
    <mergeCell ref="BN3:BN4"/>
    <mergeCell ref="BO3:BO4"/>
    <mergeCell ref="BP3:BP4"/>
    <mergeCell ref="BQ3:BQ4"/>
    <mergeCell ref="BR3:BR4"/>
    <mergeCell ref="BS3:BS4"/>
    <mergeCell ref="BT3:BT4"/>
    <mergeCell ref="BU3:BU4"/>
    <mergeCell ref="BV3:BV4"/>
    <mergeCell ref="BW3:BW4"/>
    <mergeCell ref="BX3:BX4"/>
    <mergeCell ref="BY3:BY4"/>
    <mergeCell ref="BZ3:BZ4"/>
    <mergeCell ref="CA3:CA4"/>
    <mergeCell ref="CB3:CB4"/>
    <mergeCell ref="CC2:CC4"/>
    <mergeCell ref="CD2:CD4"/>
    <mergeCell ref="CE3:CE4"/>
    <mergeCell ref="CF3:CF4"/>
    <mergeCell ref="CG3:CG4"/>
    <mergeCell ref="CJ2:CJ4"/>
    <mergeCell ref="CK2:CK4"/>
    <mergeCell ref="CL2:CL4"/>
    <mergeCell ref="CM2:CM4"/>
    <mergeCell ref="CN2:CN4"/>
    <mergeCell ref="CO2:CO4"/>
    <mergeCell ref="CP2:CP4"/>
    <mergeCell ref="CQ2:CQ4"/>
    <mergeCell ref="CR2:CR4"/>
    <mergeCell ref="CS2:CS4"/>
    <mergeCell ref="CT2:CT4"/>
    <mergeCell ref="CU2:CU4"/>
    <mergeCell ref="CV2:CV4"/>
    <mergeCell ref="CW2:CW4"/>
    <mergeCell ref="BH60:CH61"/>
    <mergeCell ref="BZ54:CH56"/>
  </mergeCells>
  <conditionalFormatting sqref="D$1:D$1048576">
    <cfRule type="duplicateValues" dxfId="0" priority="1"/>
  </conditionalFormatting>
  <pageMargins left="0.7" right="0.7" top="0.75" bottom="0.75" header="0.3" footer="0.3"/>
  <pageSetup paperSize="9" orientation="portrait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63"/>
  <sheetViews>
    <sheetView zoomScale="80" zoomScaleNormal="80" workbookViewId="0">
      <pane xSplit="4" ySplit="4" topLeftCell="V5" activePane="bottomRight" state="frozen"/>
      <selection/>
      <selection pane="topRight"/>
      <selection pane="bottomLeft"/>
      <selection pane="bottomRight" activeCell="AM10" sqref="AM10"/>
    </sheetView>
  </sheetViews>
  <sheetFormatPr defaultColWidth="8" defaultRowHeight="15"/>
  <cols>
    <col min="1" max="1" width="1.4537037037037" style="22" customWidth="1"/>
    <col min="2" max="2" width="7.09259259259259" style="23" customWidth="1"/>
    <col min="3" max="3" width="10.6296296296296" style="22" customWidth="1"/>
    <col min="4" max="4" width="27.3611111111111" style="24" customWidth="1"/>
    <col min="5" max="6" width="13.9074074074074" style="111" customWidth="1"/>
    <col min="7" max="8" width="12.2685185185185" style="111" customWidth="1"/>
    <col min="9" max="9" width="13.9074074074074" style="111" customWidth="1"/>
    <col min="10" max="11" width="12.2685185185185" style="111" customWidth="1"/>
    <col min="12" max="22" width="14.2685185185185" style="111" customWidth="1"/>
    <col min="23" max="24" width="14.2685185185185" style="111" hidden="1" customWidth="1"/>
    <col min="25" max="25" width="3.62962962962963" style="22" customWidth="1"/>
    <col min="26" max="26" width="6.72222222222222" style="22" customWidth="1"/>
    <col min="27" max="28" width="4.72222222222222" style="22" customWidth="1"/>
    <col min="29" max="30" width="16.3611111111111" style="112" customWidth="1"/>
    <col min="31" max="40" width="13" style="112" customWidth="1"/>
    <col min="41" max="44" width="17.2685185185185" style="24" customWidth="1"/>
    <col min="45" max="45" width="12.9074074074074" style="24" customWidth="1"/>
    <col min="46" max="46" width="15.7222222222222" style="22" customWidth="1"/>
    <col min="47" max="47" width="13.0925925925926" style="22" customWidth="1"/>
    <col min="48" max="48" width="13.9074074074074" style="22" customWidth="1"/>
    <col min="49" max="16384" width="8" style="22"/>
  </cols>
  <sheetData>
    <row r="1" ht="21" customHeight="1" spans="2:46">
      <c r="B1" s="113" t="s">
        <v>188</v>
      </c>
      <c r="C1" s="114"/>
      <c r="D1" s="114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4"/>
      <c r="Z1" s="114"/>
      <c r="AA1" s="114"/>
      <c r="AB1" s="114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4"/>
    </row>
    <row r="2" ht="18" customHeight="1" spans="2:46">
      <c r="B2" s="29" t="s">
        <v>1</v>
      </c>
      <c r="C2" s="30" t="s">
        <v>2</v>
      </c>
      <c r="D2" s="31" t="s">
        <v>3</v>
      </c>
      <c r="E2" s="116" t="s">
        <v>189</v>
      </c>
      <c r="F2" s="117"/>
      <c r="G2" s="117"/>
      <c r="H2" s="117"/>
      <c r="I2" s="140" t="s">
        <v>190</v>
      </c>
      <c r="J2" s="141"/>
      <c r="K2" s="141"/>
      <c r="L2" s="142"/>
      <c r="M2" s="116" t="s">
        <v>191</v>
      </c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51" t="s">
        <v>36</v>
      </c>
      <c r="Z2" s="64" t="s">
        <v>37</v>
      </c>
      <c r="AA2" s="64"/>
      <c r="AB2" s="64"/>
      <c r="AC2" s="152" t="s">
        <v>192</v>
      </c>
      <c r="AD2" s="152" t="s">
        <v>193</v>
      </c>
      <c r="AE2" s="152" t="s">
        <v>158</v>
      </c>
      <c r="AF2" s="152" t="s">
        <v>159</v>
      </c>
      <c r="AG2" s="152" t="s">
        <v>160</v>
      </c>
      <c r="AH2" s="152" t="s">
        <v>161</v>
      </c>
      <c r="AI2" s="152" t="s">
        <v>162</v>
      </c>
      <c r="AJ2" s="152" t="s">
        <v>163</v>
      </c>
      <c r="AK2" s="152" t="s">
        <v>164</v>
      </c>
      <c r="AL2" s="152" t="s">
        <v>165</v>
      </c>
      <c r="AM2" s="152" t="s">
        <v>166</v>
      </c>
      <c r="AN2" s="163" t="s">
        <v>167</v>
      </c>
      <c r="AO2" s="164"/>
      <c r="AP2" s="59"/>
      <c r="AQ2" s="59"/>
      <c r="AR2" s="59"/>
      <c r="AS2" s="175"/>
      <c r="AT2" s="67" t="s">
        <v>36</v>
      </c>
    </row>
    <row r="3" ht="31.5" customHeight="1" spans="2:46">
      <c r="B3" s="34"/>
      <c r="C3" s="35"/>
      <c r="D3" s="36"/>
      <c r="E3" s="118" t="s">
        <v>194</v>
      </c>
      <c r="F3" s="119" t="s">
        <v>195</v>
      </c>
      <c r="G3" s="119" t="s">
        <v>196</v>
      </c>
      <c r="H3" s="119" t="s">
        <v>197</v>
      </c>
      <c r="I3" s="202" t="s">
        <v>195</v>
      </c>
      <c r="J3" s="202" t="s">
        <v>196</v>
      </c>
      <c r="K3" s="202" t="s">
        <v>197</v>
      </c>
      <c r="L3" s="143" t="s">
        <v>198</v>
      </c>
      <c r="M3" s="118" t="s">
        <v>73</v>
      </c>
      <c r="N3" s="119" t="s">
        <v>74</v>
      </c>
      <c r="O3" s="119" t="s">
        <v>169</v>
      </c>
      <c r="P3" s="119" t="s">
        <v>170</v>
      </c>
      <c r="Q3" s="119" t="s">
        <v>171</v>
      </c>
      <c r="R3" s="119" t="s">
        <v>172</v>
      </c>
      <c r="S3" s="119" t="s">
        <v>173</v>
      </c>
      <c r="T3" s="119" t="s">
        <v>174</v>
      </c>
      <c r="U3" s="119" t="s">
        <v>175</v>
      </c>
      <c r="V3" s="119" t="s">
        <v>70</v>
      </c>
      <c r="W3" s="119" t="s">
        <v>71</v>
      </c>
      <c r="X3" s="119" t="s">
        <v>72</v>
      </c>
      <c r="Y3" s="153"/>
      <c r="Z3" s="154" t="s">
        <v>76</v>
      </c>
      <c r="AA3" s="154" t="s">
        <v>77</v>
      </c>
      <c r="AB3" s="154" t="s">
        <v>78</v>
      </c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65"/>
      <c r="AO3" s="166" t="s">
        <v>199</v>
      </c>
      <c r="AP3" s="56" t="s">
        <v>200</v>
      </c>
      <c r="AQ3" s="167" t="s">
        <v>201</v>
      </c>
      <c r="AR3" s="56" t="s">
        <v>202</v>
      </c>
      <c r="AS3" s="176" t="s">
        <v>203</v>
      </c>
      <c r="AT3" s="74"/>
    </row>
    <row r="4" ht="18" customHeight="1" spans="2:46">
      <c r="B4" s="34"/>
      <c r="C4" s="35"/>
      <c r="D4" s="36"/>
      <c r="E4" s="120"/>
      <c r="F4" s="121"/>
      <c r="G4" s="121"/>
      <c r="H4" s="121"/>
      <c r="I4" s="121"/>
      <c r="J4" s="121"/>
      <c r="K4" s="121"/>
      <c r="L4" s="144"/>
      <c r="M4" s="120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53"/>
      <c r="Z4" s="154"/>
      <c r="AA4" s="154"/>
      <c r="AB4" s="154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65"/>
      <c r="AO4" s="166"/>
      <c r="AP4" s="56"/>
      <c r="AQ4" s="167"/>
      <c r="AR4" s="56"/>
      <c r="AS4" s="176"/>
      <c r="AT4" s="74"/>
    </row>
    <row r="5" s="20" customFormat="1" ht="24" customHeight="1" spans="2:48">
      <c r="B5" s="42" t="s">
        <v>81</v>
      </c>
      <c r="C5" s="122" t="s">
        <v>82</v>
      </c>
      <c r="D5" s="43" t="s">
        <v>83</v>
      </c>
      <c r="E5" s="123">
        <v>0</v>
      </c>
      <c r="F5" s="135"/>
      <c r="G5" s="136"/>
      <c r="H5" s="136"/>
      <c r="I5" s="135"/>
      <c r="J5" s="136"/>
      <c r="K5" s="136"/>
      <c r="L5" s="145">
        <f>SUM(I5:K5)+E5</f>
        <v>0</v>
      </c>
      <c r="M5" s="9"/>
      <c r="N5" s="124"/>
      <c r="O5" s="124"/>
      <c r="P5" s="124"/>
      <c r="Q5" s="124">
        <v>41950</v>
      </c>
      <c r="R5" s="124"/>
      <c r="S5" s="124">
        <v>41950</v>
      </c>
      <c r="T5" s="124"/>
      <c r="U5" s="124">
        <v>41950</v>
      </c>
      <c r="V5" s="124"/>
      <c r="W5" s="124"/>
      <c r="X5" s="124"/>
      <c r="Y5" s="156"/>
      <c r="Z5" s="162"/>
      <c r="AA5" s="79"/>
      <c r="AB5" s="79" t="s">
        <v>84</v>
      </c>
      <c r="AC5" s="7"/>
      <c r="AD5" s="7"/>
      <c r="AE5" s="7"/>
      <c r="AF5" s="7"/>
      <c r="AG5" s="7"/>
      <c r="AH5" s="7"/>
      <c r="AI5" s="7"/>
      <c r="AJ5" s="7">
        <v>41950</v>
      </c>
      <c r="AK5" s="7"/>
      <c r="AL5" s="7">
        <v>41950</v>
      </c>
      <c r="AM5" s="7"/>
      <c r="AN5" s="168"/>
      <c r="AO5" s="169">
        <f>SUM(L5:X5)</f>
        <v>125850</v>
      </c>
      <c r="AP5" s="170">
        <f>SUM(AC5:AN5)</f>
        <v>83900</v>
      </c>
      <c r="AQ5" s="172">
        <f>AO5-AP5</f>
        <v>41950</v>
      </c>
      <c r="AR5" s="173">
        <f>AQ5-U5-T5</f>
        <v>0</v>
      </c>
      <c r="AS5" s="177" t="s">
        <v>85</v>
      </c>
      <c r="AT5" s="178"/>
      <c r="AU5" s="180">
        <f>VLOOKUP(D5,Sheet3!D:O,12,FALSE)</f>
        <v>0</v>
      </c>
      <c r="AV5" s="180">
        <f>AQ5-AU5</f>
        <v>41950</v>
      </c>
    </row>
    <row r="6" s="20" customFormat="1" ht="24" customHeight="1" spans="1:48">
      <c r="A6" s="132"/>
      <c r="B6" s="42" t="s">
        <v>81</v>
      </c>
      <c r="C6" s="122" t="s">
        <v>86</v>
      </c>
      <c r="D6" s="43" t="s">
        <v>87</v>
      </c>
      <c r="E6" s="123">
        <v>0</v>
      </c>
      <c r="F6" s="135">
        <v>561530.9</v>
      </c>
      <c r="G6" s="136"/>
      <c r="H6" s="136"/>
      <c r="I6" s="135"/>
      <c r="J6" s="136">
        <v>334593</v>
      </c>
      <c r="K6" s="136"/>
      <c r="L6" s="145">
        <f t="shared" ref="L6:L45" si="0">SUM(I6:K6)+E6</f>
        <v>334593</v>
      </c>
      <c r="M6" s="9">
        <f>191196+131339</f>
        <v>322535</v>
      </c>
      <c r="N6" s="124"/>
      <c r="O6" s="124"/>
      <c r="P6" s="124">
        <v>561985.73</v>
      </c>
      <c r="Q6" s="124">
        <f>120458+193659.4</f>
        <v>314117.4</v>
      </c>
      <c r="R6" s="124">
        <v>43086.9</v>
      </c>
      <c r="S6" s="150"/>
      <c r="T6" s="150"/>
      <c r="U6" s="124"/>
      <c r="V6" s="124">
        <v>60229</v>
      </c>
      <c r="W6" s="124"/>
      <c r="X6" s="124"/>
      <c r="Y6" s="156"/>
      <c r="Z6" s="79"/>
      <c r="AA6" s="79"/>
      <c r="AB6" s="79" t="s">
        <v>84</v>
      </c>
      <c r="AC6" s="7"/>
      <c r="AD6" s="7">
        <v>334593</v>
      </c>
      <c r="AE6" s="7">
        <v>322535</v>
      </c>
      <c r="AF6" s="7"/>
      <c r="AG6" s="7"/>
      <c r="AH6" s="7"/>
      <c r="AI6" s="7"/>
      <c r="AJ6" s="7">
        <v>876103.13</v>
      </c>
      <c r="AK6" s="7">
        <v>43086.9</v>
      </c>
      <c r="AL6" s="7"/>
      <c r="AM6" s="7"/>
      <c r="AN6" s="168"/>
      <c r="AO6" s="169">
        <f t="shared" ref="AO6:AO35" si="1">SUM(L6:X6)</f>
        <v>1636547.03</v>
      </c>
      <c r="AP6" s="170">
        <f t="shared" ref="AP6:AP35" si="2">SUM(AC6:AN6)</f>
        <v>1576318.03</v>
      </c>
      <c r="AQ6" s="172">
        <f>AO6-AP6</f>
        <v>60229</v>
      </c>
      <c r="AR6" s="173">
        <f t="shared" ref="AR6:AR16" si="3">AQ6-U6-T6</f>
        <v>60229</v>
      </c>
      <c r="AS6" s="177" t="s">
        <v>85</v>
      </c>
      <c r="AT6" s="178"/>
      <c r="AU6" s="180">
        <f>VLOOKUP(D6,Sheet3!D:O,12,FALSE)</f>
        <v>0</v>
      </c>
      <c r="AV6" s="180">
        <f t="shared" ref="AV6:AV45" si="4">AQ6-AU6</f>
        <v>60229</v>
      </c>
    </row>
    <row r="7" s="20" customFormat="1" ht="24" customHeight="1" spans="2:48">
      <c r="B7" s="42" t="s">
        <v>81</v>
      </c>
      <c r="C7" s="122" t="s">
        <v>88</v>
      </c>
      <c r="D7" s="43" t="s">
        <v>89</v>
      </c>
      <c r="E7" s="123">
        <v>0</v>
      </c>
      <c r="F7" s="135"/>
      <c r="G7" s="136"/>
      <c r="H7" s="136"/>
      <c r="I7" s="135"/>
      <c r="J7" s="136"/>
      <c r="K7" s="136"/>
      <c r="L7" s="145">
        <f t="shared" si="0"/>
        <v>0</v>
      </c>
      <c r="M7" s="9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56"/>
      <c r="Z7" s="79"/>
      <c r="AA7" s="79"/>
      <c r="AB7" s="79" t="s">
        <v>84</v>
      </c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168"/>
      <c r="AO7" s="169">
        <f t="shared" si="1"/>
        <v>0</v>
      </c>
      <c r="AP7" s="170">
        <f t="shared" si="2"/>
        <v>0</v>
      </c>
      <c r="AQ7" s="172">
        <f t="shared" ref="AQ7:AQ35" si="5">AO7-AP7</f>
        <v>0</v>
      </c>
      <c r="AR7" s="173">
        <f t="shared" si="3"/>
        <v>0</v>
      </c>
      <c r="AS7" s="177" t="s">
        <v>85</v>
      </c>
      <c r="AT7" s="178"/>
      <c r="AU7" s="180">
        <f>VLOOKUP(D7,Sheet3!D:O,12,FALSE)</f>
        <v>0</v>
      </c>
      <c r="AV7" s="180">
        <f t="shared" si="4"/>
        <v>0</v>
      </c>
    </row>
    <row r="8" s="20" customFormat="1" ht="24" customHeight="1" spans="2:48">
      <c r="B8" s="42" t="s">
        <v>81</v>
      </c>
      <c r="C8" s="122" t="s">
        <v>90</v>
      </c>
      <c r="D8" s="43" t="s">
        <v>91</v>
      </c>
      <c r="E8" s="123">
        <v>51022.6</v>
      </c>
      <c r="F8" s="135"/>
      <c r="G8" s="136"/>
      <c r="H8" s="136"/>
      <c r="I8" s="135"/>
      <c r="J8" s="136">
        <f>53675+103056</f>
        <v>156731</v>
      </c>
      <c r="K8" s="136"/>
      <c r="L8" s="145">
        <f t="shared" si="0"/>
        <v>207753.6</v>
      </c>
      <c r="M8" s="9"/>
      <c r="N8" s="124"/>
      <c r="O8" s="124">
        <v>40674.58</v>
      </c>
      <c r="P8" s="124"/>
      <c r="Q8" s="124"/>
      <c r="R8" s="124"/>
      <c r="S8" s="124"/>
      <c r="T8" s="124"/>
      <c r="U8" s="124"/>
      <c r="V8" s="124">
        <f>110627+91421.52+64726.4</f>
        <v>266774.92</v>
      </c>
      <c r="W8" s="124"/>
      <c r="X8" s="124"/>
      <c r="Y8" s="156"/>
      <c r="Z8" s="79"/>
      <c r="AA8" s="79"/>
      <c r="AB8" s="79" t="s">
        <v>84</v>
      </c>
      <c r="AC8" s="7"/>
      <c r="AD8" s="7">
        <v>51022.6</v>
      </c>
      <c r="AE8" s="7"/>
      <c r="AF8" s="7"/>
      <c r="AG8" s="7"/>
      <c r="AH8" s="7"/>
      <c r="AI8" s="7"/>
      <c r="AJ8" s="7">
        <v>40000</v>
      </c>
      <c r="AK8" s="7">
        <v>156731</v>
      </c>
      <c r="AL8" s="7"/>
      <c r="AM8" s="7"/>
      <c r="AN8" s="168"/>
      <c r="AO8" s="169">
        <f t="shared" si="1"/>
        <v>515203.1</v>
      </c>
      <c r="AP8" s="170">
        <f t="shared" si="2"/>
        <v>247753.6</v>
      </c>
      <c r="AQ8" s="172">
        <f t="shared" si="5"/>
        <v>267449.5</v>
      </c>
      <c r="AR8" s="173">
        <f t="shared" si="3"/>
        <v>267449.5</v>
      </c>
      <c r="AS8" s="177" t="s">
        <v>85</v>
      </c>
      <c r="AT8" s="178"/>
      <c r="AU8" s="180">
        <f>VLOOKUP(D8,Sheet3!D:O,12,FALSE)</f>
        <v>188371</v>
      </c>
      <c r="AV8" s="180">
        <f t="shared" si="4"/>
        <v>79078.5</v>
      </c>
    </row>
    <row r="9" s="20" customFormat="1" ht="24" customHeight="1" spans="2:48">
      <c r="B9" s="42" t="s">
        <v>81</v>
      </c>
      <c r="C9" s="122" t="s">
        <v>92</v>
      </c>
      <c r="D9" s="43" t="s">
        <v>93</v>
      </c>
      <c r="E9" s="123">
        <v>0</v>
      </c>
      <c r="F9" s="135"/>
      <c r="G9" s="136"/>
      <c r="H9" s="136"/>
      <c r="I9" s="135"/>
      <c r="J9" s="136">
        <v>15959.36</v>
      </c>
      <c r="K9" s="136"/>
      <c r="L9" s="145">
        <f t="shared" si="0"/>
        <v>15959.36</v>
      </c>
      <c r="M9" s="9"/>
      <c r="N9" s="124"/>
      <c r="O9" s="124">
        <v>5243.2</v>
      </c>
      <c r="P9" s="124"/>
      <c r="Q9" s="124"/>
      <c r="R9" s="124"/>
      <c r="S9" s="124"/>
      <c r="T9" s="124"/>
      <c r="U9" s="124"/>
      <c r="V9" s="124"/>
      <c r="W9" s="124"/>
      <c r="X9" s="124"/>
      <c r="Y9" s="156"/>
      <c r="Z9" s="79"/>
      <c r="AA9" s="79"/>
      <c r="AB9" s="79" t="s">
        <v>84</v>
      </c>
      <c r="AC9" s="7"/>
      <c r="AD9" s="7"/>
      <c r="AE9" s="7"/>
      <c r="AF9" s="7"/>
      <c r="AG9" s="7"/>
      <c r="AH9" s="7"/>
      <c r="AI9" s="7"/>
      <c r="AJ9" s="7"/>
      <c r="AK9" s="7"/>
      <c r="AL9" s="7">
        <v>21202.56</v>
      </c>
      <c r="AM9" s="7"/>
      <c r="AN9" s="168"/>
      <c r="AO9" s="169">
        <f t="shared" si="1"/>
        <v>21202.56</v>
      </c>
      <c r="AP9" s="170">
        <f t="shared" si="2"/>
        <v>21202.56</v>
      </c>
      <c r="AQ9" s="172">
        <f t="shared" si="5"/>
        <v>0</v>
      </c>
      <c r="AR9" s="173">
        <f t="shared" si="3"/>
        <v>0</v>
      </c>
      <c r="AS9" s="177" t="s">
        <v>85</v>
      </c>
      <c r="AT9" s="178"/>
      <c r="AU9" s="180">
        <f>VLOOKUP(D9,Sheet3!D:O,12,FALSE)</f>
        <v>49503.04</v>
      </c>
      <c r="AV9" s="180">
        <f t="shared" si="4"/>
        <v>-49503.04</v>
      </c>
    </row>
    <row r="10" s="20" customFormat="1" ht="24" customHeight="1" spans="2:48">
      <c r="B10" s="42" t="s">
        <v>81</v>
      </c>
      <c r="C10" s="122" t="s">
        <v>94</v>
      </c>
      <c r="D10" s="43" t="s">
        <v>95</v>
      </c>
      <c r="E10" s="123">
        <v>0</v>
      </c>
      <c r="F10" s="135"/>
      <c r="G10" s="136"/>
      <c r="H10" s="136"/>
      <c r="I10" s="135"/>
      <c r="J10" s="136"/>
      <c r="K10" s="136"/>
      <c r="L10" s="145">
        <f t="shared" si="0"/>
        <v>0</v>
      </c>
      <c r="M10" s="9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56"/>
      <c r="Z10" s="79"/>
      <c r="AA10" s="79"/>
      <c r="AB10" s="79" t="s">
        <v>84</v>
      </c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168"/>
      <c r="AO10" s="169">
        <f t="shared" si="1"/>
        <v>0</v>
      </c>
      <c r="AP10" s="170">
        <f t="shared" si="2"/>
        <v>0</v>
      </c>
      <c r="AQ10" s="172">
        <f t="shared" si="5"/>
        <v>0</v>
      </c>
      <c r="AR10" s="173">
        <f t="shared" si="3"/>
        <v>0</v>
      </c>
      <c r="AS10" s="177" t="s">
        <v>96</v>
      </c>
      <c r="AT10" s="178"/>
      <c r="AU10" s="180">
        <f>VLOOKUP(D10,Sheet3!D:O,12,FALSE)</f>
        <v>0</v>
      </c>
      <c r="AV10" s="180">
        <f t="shared" si="4"/>
        <v>0</v>
      </c>
    </row>
    <row r="11" s="20" customFormat="1" ht="24" customHeight="1" spans="2:48">
      <c r="B11" s="42" t="s">
        <v>81</v>
      </c>
      <c r="C11" s="122" t="s">
        <v>97</v>
      </c>
      <c r="D11" s="43" t="s">
        <v>98</v>
      </c>
      <c r="E11" s="123">
        <v>0</v>
      </c>
      <c r="F11" s="135"/>
      <c r="G11" s="136"/>
      <c r="H11" s="136"/>
      <c r="I11" s="135">
        <v>39998.95</v>
      </c>
      <c r="J11" s="136"/>
      <c r="K11" s="136"/>
      <c r="L11" s="145">
        <f t="shared" si="0"/>
        <v>39998.95</v>
      </c>
      <c r="M11" s="9"/>
      <c r="N11" s="124">
        <v>4881.6</v>
      </c>
      <c r="O11" s="124"/>
      <c r="P11" s="124"/>
      <c r="Q11" s="124"/>
      <c r="R11" s="124"/>
      <c r="S11" s="124"/>
      <c r="T11" s="124"/>
      <c r="U11" s="124">
        <v>4865.78</v>
      </c>
      <c r="V11" s="124">
        <v>16012.1</v>
      </c>
      <c r="W11" s="124"/>
      <c r="X11" s="124"/>
      <c r="Y11" s="156"/>
      <c r="Z11" s="79"/>
      <c r="AA11" s="79"/>
      <c r="AB11" s="79" t="s">
        <v>84</v>
      </c>
      <c r="AC11" s="7"/>
      <c r="AD11" s="7">
        <v>39998.95</v>
      </c>
      <c r="AE11" s="7"/>
      <c r="AF11" s="7"/>
      <c r="AG11" s="7"/>
      <c r="AH11" s="7"/>
      <c r="AI11" s="7"/>
      <c r="AJ11" s="7"/>
      <c r="AK11" s="7"/>
      <c r="AL11" s="7">
        <v>4881.6</v>
      </c>
      <c r="AM11" s="7"/>
      <c r="AN11" s="168"/>
      <c r="AO11" s="169">
        <f t="shared" si="1"/>
        <v>65758.43</v>
      </c>
      <c r="AP11" s="170">
        <f t="shared" si="2"/>
        <v>44880.55</v>
      </c>
      <c r="AQ11" s="172">
        <f t="shared" si="5"/>
        <v>20877.88</v>
      </c>
      <c r="AR11" s="173">
        <f t="shared" si="3"/>
        <v>16012.1</v>
      </c>
      <c r="AS11" s="177" t="s">
        <v>85</v>
      </c>
      <c r="AT11" s="178"/>
      <c r="AU11" s="180">
        <f>VLOOKUP(D11,Sheet3!D:O,12,FALSE)</f>
        <v>4520</v>
      </c>
      <c r="AV11" s="180">
        <f t="shared" si="4"/>
        <v>16357.88</v>
      </c>
    </row>
    <row r="12" s="20" customFormat="1" ht="24" customHeight="1" spans="2:48">
      <c r="B12" s="42" t="s">
        <v>81</v>
      </c>
      <c r="C12" s="122" t="s">
        <v>99</v>
      </c>
      <c r="D12" s="43" t="s">
        <v>100</v>
      </c>
      <c r="E12" s="123">
        <v>0</v>
      </c>
      <c r="F12" s="135">
        <v>9322.5</v>
      </c>
      <c r="G12" s="136"/>
      <c r="H12" s="136"/>
      <c r="I12" s="135"/>
      <c r="J12" s="136"/>
      <c r="K12" s="136"/>
      <c r="L12" s="145">
        <f t="shared" si="0"/>
        <v>0</v>
      </c>
      <c r="M12" s="9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56"/>
      <c r="Z12" s="79"/>
      <c r="AA12" s="79"/>
      <c r="AB12" s="79" t="s">
        <v>84</v>
      </c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168"/>
      <c r="AO12" s="169">
        <f t="shared" si="1"/>
        <v>0</v>
      </c>
      <c r="AP12" s="170">
        <f t="shared" si="2"/>
        <v>0</v>
      </c>
      <c r="AQ12" s="172">
        <f t="shared" si="5"/>
        <v>0</v>
      </c>
      <c r="AR12" s="173">
        <f t="shared" si="3"/>
        <v>0</v>
      </c>
      <c r="AS12" s="177" t="s">
        <v>101</v>
      </c>
      <c r="AT12" s="178"/>
      <c r="AU12" s="180">
        <f>VLOOKUP(D12,Sheet3!D:O,12,FALSE)</f>
        <v>0</v>
      </c>
      <c r="AV12" s="180">
        <f t="shared" si="4"/>
        <v>0</v>
      </c>
    </row>
    <row r="13" s="20" customFormat="1" ht="24" customHeight="1" spans="2:48">
      <c r="B13" s="42" t="s">
        <v>81</v>
      </c>
      <c r="C13" s="122" t="s">
        <v>105</v>
      </c>
      <c r="D13" s="43" t="s">
        <v>106</v>
      </c>
      <c r="E13" s="123">
        <v>83003.9599999996</v>
      </c>
      <c r="F13" s="135">
        <v>127463.01</v>
      </c>
      <c r="G13" s="136"/>
      <c r="H13" s="136"/>
      <c r="I13" s="135">
        <v>72568.4</v>
      </c>
      <c r="J13" s="136">
        <v>101651.24</v>
      </c>
      <c r="K13" s="136"/>
      <c r="L13" s="145">
        <f t="shared" si="0"/>
        <v>257223.6</v>
      </c>
      <c r="M13" s="9">
        <f>81484.05+157016.28</f>
        <v>238500.33</v>
      </c>
      <c r="N13" s="124"/>
      <c r="O13" s="124">
        <v>44482.97</v>
      </c>
      <c r="P13" s="124">
        <v>105602.27</v>
      </c>
      <c r="Q13" s="124">
        <v>183228.64</v>
      </c>
      <c r="R13" s="124">
        <v>165595.12</v>
      </c>
      <c r="S13" s="124">
        <v>146213.94</v>
      </c>
      <c r="T13" s="124"/>
      <c r="U13" s="124"/>
      <c r="V13" s="124"/>
      <c r="W13" s="124"/>
      <c r="X13" s="124"/>
      <c r="Y13" s="156"/>
      <c r="Z13" s="79"/>
      <c r="AA13" s="79"/>
      <c r="AB13" s="79" t="s">
        <v>84</v>
      </c>
      <c r="AC13" s="7"/>
      <c r="AD13" s="7">
        <v>60000</v>
      </c>
      <c r="AE13" s="7">
        <v>200000</v>
      </c>
      <c r="AF13" s="7"/>
      <c r="AG13" s="7"/>
      <c r="AH13" s="7">
        <v>200000</v>
      </c>
      <c r="AI13" s="7">
        <v>75000</v>
      </c>
      <c r="AJ13" s="7">
        <v>180000</v>
      </c>
      <c r="AK13" s="7">
        <v>150000</v>
      </c>
      <c r="AL13" s="7">
        <v>150000</v>
      </c>
      <c r="AM13" s="7"/>
      <c r="AN13" s="168"/>
      <c r="AO13" s="169">
        <f t="shared" si="1"/>
        <v>1140846.87</v>
      </c>
      <c r="AP13" s="170">
        <f t="shared" si="2"/>
        <v>1015000</v>
      </c>
      <c r="AQ13" s="172">
        <f t="shared" si="5"/>
        <v>125846.87</v>
      </c>
      <c r="AR13" s="173">
        <f t="shared" si="3"/>
        <v>125846.87</v>
      </c>
      <c r="AS13" s="177" t="s">
        <v>85</v>
      </c>
      <c r="AT13" s="178"/>
      <c r="AU13" s="180">
        <f>VLOOKUP(D13,Sheet3!D:O,12,FALSE)</f>
        <v>310820.26</v>
      </c>
      <c r="AV13" s="180">
        <f t="shared" si="4"/>
        <v>-184973.39</v>
      </c>
    </row>
    <row r="14" s="20" customFormat="1" ht="24" customHeight="1" spans="2:48">
      <c r="B14" s="42" t="s">
        <v>81</v>
      </c>
      <c r="C14" s="122" t="s">
        <v>107</v>
      </c>
      <c r="D14" s="43" t="s">
        <v>108</v>
      </c>
      <c r="E14" s="123">
        <v>0</v>
      </c>
      <c r="F14" s="135">
        <v>274834.08</v>
      </c>
      <c r="G14" s="136"/>
      <c r="H14" s="136"/>
      <c r="I14" s="135"/>
      <c r="J14" s="136">
        <v>275114</v>
      </c>
      <c r="K14" s="136">
        <v>384487.79</v>
      </c>
      <c r="L14" s="145">
        <f t="shared" si="0"/>
        <v>659601.79</v>
      </c>
      <c r="M14" s="9">
        <v>274834.08</v>
      </c>
      <c r="N14" s="124">
        <v>219867.26</v>
      </c>
      <c r="O14" s="124"/>
      <c r="P14" s="124">
        <v>219867.26</v>
      </c>
      <c r="Q14" s="124">
        <v>549668.16</v>
      </c>
      <c r="R14" s="124">
        <v>404006.1</v>
      </c>
      <c r="S14" s="124">
        <v>329800.9</v>
      </c>
      <c r="T14" s="124">
        <v>54966.82</v>
      </c>
      <c r="U14" s="124">
        <v>54966.82</v>
      </c>
      <c r="V14" s="124">
        <v>219867.26</v>
      </c>
      <c r="W14" s="124"/>
      <c r="X14" s="124"/>
      <c r="Y14" s="156"/>
      <c r="Z14" s="79"/>
      <c r="AA14" s="79"/>
      <c r="AB14" s="79" t="s">
        <v>84</v>
      </c>
      <c r="AC14" s="7"/>
      <c r="AD14" s="7">
        <v>200000</v>
      </c>
      <c r="AE14" s="7">
        <v>459601.79</v>
      </c>
      <c r="AF14" s="7">
        <v>274834.08</v>
      </c>
      <c r="AG14" s="7">
        <v>219867.26</v>
      </c>
      <c r="AH14" s="7"/>
      <c r="AI14" s="7">
        <v>219867.26</v>
      </c>
      <c r="AJ14" s="7">
        <v>549668.16</v>
      </c>
      <c r="AK14" s="7">
        <v>458972.92</v>
      </c>
      <c r="AL14" s="7">
        <v>274834.08</v>
      </c>
      <c r="AM14" s="7"/>
      <c r="AN14" s="168"/>
      <c r="AO14" s="169">
        <f t="shared" si="1"/>
        <v>2987446.45</v>
      </c>
      <c r="AP14" s="170">
        <f t="shared" si="2"/>
        <v>2657645.55</v>
      </c>
      <c r="AQ14" s="172">
        <f t="shared" si="5"/>
        <v>329800.9</v>
      </c>
      <c r="AR14" s="173">
        <f t="shared" si="3"/>
        <v>219867.26</v>
      </c>
      <c r="AS14" s="177" t="s">
        <v>85</v>
      </c>
      <c r="AT14" s="178"/>
      <c r="AU14" s="180">
        <f>VLOOKUP(D14,Sheet3!D:O,12,FALSE)</f>
        <v>494786.71</v>
      </c>
      <c r="AV14" s="180">
        <f t="shared" si="4"/>
        <v>-164985.81</v>
      </c>
    </row>
    <row r="15" s="20" customFormat="1" ht="24" customHeight="1" spans="2:48">
      <c r="B15" s="42" t="s">
        <v>81</v>
      </c>
      <c r="C15" s="122" t="s">
        <v>109</v>
      </c>
      <c r="D15" s="43" t="s">
        <v>204</v>
      </c>
      <c r="E15" s="123">
        <v>24.7300000000541</v>
      </c>
      <c r="F15" s="135">
        <v>46967.34</v>
      </c>
      <c r="G15" s="136">
        <v>15405.75</v>
      </c>
      <c r="H15" s="136">
        <v>10937.5</v>
      </c>
      <c r="I15" s="135"/>
      <c r="J15" s="136"/>
      <c r="K15" s="136">
        <v>16455.51</v>
      </c>
      <c r="L15" s="145">
        <f t="shared" si="0"/>
        <v>16480.2400000001</v>
      </c>
      <c r="M15" s="9"/>
      <c r="N15" s="124">
        <f>7685.81-0.99</f>
        <v>7684.82</v>
      </c>
      <c r="O15" s="124">
        <f>16159+17289</f>
        <v>33448</v>
      </c>
      <c r="P15" s="124">
        <v>13901.26</v>
      </c>
      <c r="Q15" s="124">
        <f>11300+13749.84</f>
        <v>25049.84</v>
      </c>
      <c r="R15" s="124">
        <v>33765.53</v>
      </c>
      <c r="S15" s="124"/>
      <c r="T15" s="124">
        <v>22780.8</v>
      </c>
      <c r="U15" s="124"/>
      <c r="V15" s="124">
        <v>6597.88</v>
      </c>
      <c r="W15" s="124"/>
      <c r="X15" s="124"/>
      <c r="Y15" s="156"/>
      <c r="Z15" s="79"/>
      <c r="AA15" s="79"/>
      <c r="AB15" s="79" t="s">
        <v>84</v>
      </c>
      <c r="AC15" s="7"/>
      <c r="AD15" s="7">
        <v>16455.51</v>
      </c>
      <c r="AE15" s="7">
        <v>7684.82</v>
      </c>
      <c r="AF15" s="7">
        <v>33448</v>
      </c>
      <c r="AG15" s="7">
        <v>25201.26</v>
      </c>
      <c r="AH15" s="7">
        <v>13749.84</v>
      </c>
      <c r="AI15" s="7">
        <v>33765.53</v>
      </c>
      <c r="AJ15" s="7"/>
      <c r="AK15" s="7">
        <v>22780.8</v>
      </c>
      <c r="AL15" s="7">
        <v>6597.88</v>
      </c>
      <c r="AM15" s="7"/>
      <c r="AN15" s="168"/>
      <c r="AO15" s="169">
        <f t="shared" si="1"/>
        <v>159708.37</v>
      </c>
      <c r="AP15" s="170">
        <f t="shared" si="2"/>
        <v>159683.64</v>
      </c>
      <c r="AQ15" s="172">
        <f t="shared" si="5"/>
        <v>24.7300000000687</v>
      </c>
      <c r="AR15" s="173">
        <f>AQ15</f>
        <v>24.7300000000687</v>
      </c>
      <c r="AS15" s="177" t="s">
        <v>111</v>
      </c>
      <c r="AT15" s="178"/>
      <c r="AU15" s="180">
        <f>VLOOKUP(D15,Sheet3!D:O,12,FALSE)</f>
        <v>62.7</v>
      </c>
      <c r="AV15" s="180">
        <f t="shared" si="4"/>
        <v>-37.9699999999313</v>
      </c>
    </row>
    <row r="16" s="20" customFormat="1" ht="24" customHeight="1" spans="2:48">
      <c r="B16" s="42" t="s">
        <v>81</v>
      </c>
      <c r="C16" s="122" t="s">
        <v>112</v>
      </c>
      <c r="D16" s="43" t="s">
        <v>113</v>
      </c>
      <c r="E16" s="123">
        <v>379687.2</v>
      </c>
      <c r="F16" s="135">
        <v>173327.19</v>
      </c>
      <c r="G16" s="136"/>
      <c r="H16" s="136"/>
      <c r="I16" s="135"/>
      <c r="J16" s="136">
        <f>44175.26+85444.78</f>
        <v>129620.04</v>
      </c>
      <c r="K16" s="136"/>
      <c r="L16" s="145">
        <f t="shared" si="0"/>
        <v>509307.24</v>
      </c>
      <c r="M16" s="9">
        <v>41693.56</v>
      </c>
      <c r="N16" s="124"/>
      <c r="O16" s="124"/>
      <c r="P16" s="124">
        <v>68983.39</v>
      </c>
      <c r="Q16" s="124">
        <f>93334.56</f>
        <v>93334.56</v>
      </c>
      <c r="R16" s="124">
        <f>95831.35+42720.16</f>
        <v>138551.51</v>
      </c>
      <c r="S16" s="124">
        <v>90801.54</v>
      </c>
      <c r="T16" s="124">
        <v>20924.89</v>
      </c>
      <c r="U16" s="124"/>
      <c r="V16" s="124">
        <v>64055.69</v>
      </c>
      <c r="W16" s="124"/>
      <c r="X16" s="124"/>
      <c r="Y16" s="156"/>
      <c r="Z16" s="79"/>
      <c r="AA16" s="79"/>
      <c r="AB16" s="79" t="s">
        <v>84</v>
      </c>
      <c r="AC16" s="7"/>
      <c r="AD16" s="7">
        <v>300000</v>
      </c>
      <c r="AE16" s="7"/>
      <c r="AF16" s="7"/>
      <c r="AG16" s="7"/>
      <c r="AH16" s="7">
        <v>150000</v>
      </c>
      <c r="AI16" s="7"/>
      <c r="AJ16" s="7"/>
      <c r="AK16" s="7">
        <v>200000</v>
      </c>
      <c r="AL16" s="7">
        <v>200000</v>
      </c>
      <c r="AM16" s="7"/>
      <c r="AN16" s="168"/>
      <c r="AO16" s="169">
        <f t="shared" si="1"/>
        <v>1027652.38</v>
      </c>
      <c r="AP16" s="170">
        <f t="shared" si="2"/>
        <v>850000</v>
      </c>
      <c r="AQ16" s="172">
        <f t="shared" si="5"/>
        <v>177652.38</v>
      </c>
      <c r="AR16" s="173">
        <f t="shared" si="3"/>
        <v>156727.49</v>
      </c>
      <c r="AS16" s="177" t="s">
        <v>85</v>
      </c>
      <c r="AT16" s="178"/>
      <c r="AU16" s="180">
        <f>VLOOKUP(D16,Sheet3!D:O,12,FALSE)</f>
        <v>205279.13</v>
      </c>
      <c r="AV16" s="180">
        <f t="shared" si="4"/>
        <v>-27626.7499999999</v>
      </c>
    </row>
    <row r="17" s="20" customFormat="1" ht="24" customHeight="1" spans="2:48">
      <c r="B17" s="42" t="s">
        <v>81</v>
      </c>
      <c r="C17" s="122" t="s">
        <v>114</v>
      </c>
      <c r="D17" s="43" t="s">
        <v>115</v>
      </c>
      <c r="E17" s="123">
        <v>268.440000000061</v>
      </c>
      <c r="F17" s="135"/>
      <c r="G17" s="136"/>
      <c r="H17" s="136"/>
      <c r="I17" s="135">
        <v>290622.44</v>
      </c>
      <c r="J17" s="136"/>
      <c r="K17" s="136"/>
      <c r="L17" s="145">
        <f t="shared" si="0"/>
        <v>290890.88</v>
      </c>
      <c r="M17" s="9">
        <v>306840.2</v>
      </c>
      <c r="N17" s="124"/>
      <c r="O17" s="124"/>
      <c r="P17" s="124"/>
      <c r="Q17" s="124">
        <v>109158</v>
      </c>
      <c r="R17" s="124"/>
      <c r="S17" s="124"/>
      <c r="T17" s="124"/>
      <c r="U17" s="124"/>
      <c r="V17" s="124"/>
      <c r="W17" s="124"/>
      <c r="X17" s="124"/>
      <c r="Y17" s="156"/>
      <c r="Z17" s="79"/>
      <c r="AA17" s="79"/>
      <c r="AB17" s="79" t="s">
        <v>84</v>
      </c>
      <c r="AC17" s="7"/>
      <c r="AD17" s="7">
        <v>100000</v>
      </c>
      <c r="AE17" s="7">
        <v>297731.38</v>
      </c>
      <c r="AF17" s="7"/>
      <c r="AG17" s="7">
        <v>199999.7</v>
      </c>
      <c r="AH17" s="7"/>
      <c r="AI17" s="7"/>
      <c r="AJ17" s="7">
        <v>109158</v>
      </c>
      <c r="AK17" s="7"/>
      <c r="AL17" s="7"/>
      <c r="AM17" s="7"/>
      <c r="AN17" s="168"/>
      <c r="AO17" s="169">
        <f t="shared" si="1"/>
        <v>706889.08</v>
      </c>
      <c r="AP17" s="170">
        <f t="shared" si="2"/>
        <v>706889.08</v>
      </c>
      <c r="AQ17" s="172">
        <f t="shared" si="5"/>
        <v>0</v>
      </c>
      <c r="AR17" s="173">
        <f t="shared" ref="AR17:AR24" si="6">AQ17-U17-V175</f>
        <v>0</v>
      </c>
      <c r="AS17" s="177" t="s">
        <v>85</v>
      </c>
      <c r="AT17" s="178"/>
      <c r="AU17" s="180">
        <f>VLOOKUP(D17,Sheet3!D:O,12,FALSE)</f>
        <v>193535.11</v>
      </c>
      <c r="AV17" s="180">
        <f t="shared" si="4"/>
        <v>-193535.11</v>
      </c>
    </row>
    <row r="18" s="20" customFormat="1" ht="24" customHeight="1" spans="2:48">
      <c r="B18" s="42" t="s">
        <v>81</v>
      </c>
      <c r="C18" s="122" t="s">
        <v>116</v>
      </c>
      <c r="D18" s="43" t="s">
        <v>205</v>
      </c>
      <c r="E18" s="123">
        <v>36671.4</v>
      </c>
      <c r="F18" s="135"/>
      <c r="G18" s="136">
        <v>28601.2</v>
      </c>
      <c r="H18" s="136"/>
      <c r="I18" s="135"/>
      <c r="J18" s="136"/>
      <c r="K18" s="136"/>
      <c r="L18" s="145">
        <f t="shared" si="0"/>
        <v>36671.4</v>
      </c>
      <c r="M18" s="9">
        <v>19717.03</v>
      </c>
      <c r="N18" s="124"/>
      <c r="O18" s="124"/>
      <c r="P18" s="124">
        <v>25264.02</v>
      </c>
      <c r="Q18" s="124">
        <v>32724.8</v>
      </c>
      <c r="R18" s="124"/>
      <c r="S18" s="124">
        <v>31278.4</v>
      </c>
      <c r="T18" s="124"/>
      <c r="U18" s="124">
        <v>9119.1</v>
      </c>
      <c r="V18" s="124">
        <v>8203.8</v>
      </c>
      <c r="W18" s="124"/>
      <c r="X18" s="124"/>
      <c r="Y18" s="156"/>
      <c r="Z18" s="79"/>
      <c r="AA18" s="79"/>
      <c r="AB18" s="79" t="s">
        <v>84</v>
      </c>
      <c r="AC18" s="7"/>
      <c r="AD18" s="7">
        <f>20000+8070.2</f>
        <v>28070.2</v>
      </c>
      <c r="AE18" s="7"/>
      <c r="AF18" s="7"/>
      <c r="AG18" s="7"/>
      <c r="AH18" s="7"/>
      <c r="AI18" s="7"/>
      <c r="AJ18" s="7">
        <v>61043.03</v>
      </c>
      <c r="AK18" s="7"/>
      <c r="AL18" s="7">
        <v>31278.4</v>
      </c>
      <c r="AM18" s="7"/>
      <c r="AN18" s="168"/>
      <c r="AO18" s="169">
        <f t="shared" si="1"/>
        <v>162978.55</v>
      </c>
      <c r="AP18" s="170">
        <f t="shared" si="2"/>
        <v>120391.63</v>
      </c>
      <c r="AQ18" s="172">
        <f t="shared" si="5"/>
        <v>42586.92</v>
      </c>
      <c r="AR18" s="173">
        <f t="shared" si="6"/>
        <v>33467.82</v>
      </c>
      <c r="AS18" s="177" t="s">
        <v>85</v>
      </c>
      <c r="AT18" s="178"/>
      <c r="AU18" s="180">
        <f>VLOOKUP(D18,Sheet3!D:O,12,FALSE)</f>
        <v>0</v>
      </c>
      <c r="AV18" s="180">
        <f t="shared" si="4"/>
        <v>42586.92</v>
      </c>
    </row>
    <row r="19" s="20" customFormat="1" ht="24" customHeight="1" spans="2:48">
      <c r="B19" s="42" t="s">
        <v>81</v>
      </c>
      <c r="C19" s="122" t="s">
        <v>118</v>
      </c>
      <c r="D19" s="43" t="s">
        <v>119</v>
      </c>
      <c r="E19" s="123">
        <v>283331</v>
      </c>
      <c r="F19" s="135"/>
      <c r="G19" s="136"/>
      <c r="H19" s="136"/>
      <c r="I19" s="135"/>
      <c r="J19" s="136"/>
      <c r="K19" s="136"/>
      <c r="L19" s="145">
        <f t="shared" si="0"/>
        <v>283331</v>
      </c>
      <c r="M19" s="9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56"/>
      <c r="Z19" s="79"/>
      <c r="AA19" s="79"/>
      <c r="AB19" s="79" t="s">
        <v>84</v>
      </c>
      <c r="AC19" s="7"/>
      <c r="AD19" s="7">
        <v>100000</v>
      </c>
      <c r="AE19" s="7">
        <v>100000</v>
      </c>
      <c r="AF19" s="7"/>
      <c r="AG19" s="7"/>
      <c r="AH19" s="7"/>
      <c r="AI19" s="7"/>
      <c r="AJ19" s="7">
        <v>83331</v>
      </c>
      <c r="AK19" s="7"/>
      <c r="AL19" s="7"/>
      <c r="AM19" s="7"/>
      <c r="AN19" s="168"/>
      <c r="AO19" s="169">
        <f t="shared" si="1"/>
        <v>283331</v>
      </c>
      <c r="AP19" s="170">
        <f t="shared" si="2"/>
        <v>283331</v>
      </c>
      <c r="AQ19" s="172">
        <f t="shared" si="5"/>
        <v>0</v>
      </c>
      <c r="AR19" s="173">
        <f t="shared" si="6"/>
        <v>0</v>
      </c>
      <c r="AS19" s="177" t="s">
        <v>85</v>
      </c>
      <c r="AT19" s="178"/>
      <c r="AU19" s="180">
        <f>VLOOKUP(D19,Sheet3!D:O,12,FALSE)</f>
        <v>0</v>
      </c>
      <c r="AV19" s="180">
        <f t="shared" si="4"/>
        <v>0</v>
      </c>
    </row>
    <row r="20" s="20" customFormat="1" ht="24" customHeight="1" spans="2:48">
      <c r="B20" s="48" t="s">
        <v>81</v>
      </c>
      <c r="C20" s="122" t="s">
        <v>120</v>
      </c>
      <c r="D20" s="43" t="s">
        <v>121</v>
      </c>
      <c r="E20" s="123">
        <v>0</v>
      </c>
      <c r="F20" s="135"/>
      <c r="G20" s="136"/>
      <c r="H20" s="136"/>
      <c r="I20" s="135"/>
      <c r="J20" s="136"/>
      <c r="K20" s="136"/>
      <c r="L20" s="145">
        <f t="shared" si="0"/>
        <v>0</v>
      </c>
      <c r="M20" s="9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56"/>
      <c r="Z20" s="79"/>
      <c r="AA20" s="79"/>
      <c r="AB20" s="79" t="s">
        <v>84</v>
      </c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168"/>
      <c r="AO20" s="169">
        <f t="shared" si="1"/>
        <v>0</v>
      </c>
      <c r="AP20" s="170">
        <f t="shared" si="2"/>
        <v>0</v>
      </c>
      <c r="AQ20" s="172">
        <f t="shared" si="5"/>
        <v>0</v>
      </c>
      <c r="AR20" s="173">
        <f t="shared" si="6"/>
        <v>0</v>
      </c>
      <c r="AS20" s="177" t="s">
        <v>85</v>
      </c>
      <c r="AT20" s="178"/>
      <c r="AU20" s="180">
        <f>VLOOKUP(D20,Sheet3!D:O,12,FALSE)</f>
        <v>0</v>
      </c>
      <c r="AV20" s="180">
        <f t="shared" si="4"/>
        <v>0</v>
      </c>
    </row>
    <row r="21" s="20" customFormat="1" ht="24" customHeight="1" spans="2:48">
      <c r="B21" s="48" t="s">
        <v>81</v>
      </c>
      <c r="C21" s="122" t="s">
        <v>122</v>
      </c>
      <c r="D21" s="43" t="s">
        <v>123</v>
      </c>
      <c r="E21" s="123">
        <v>568253.28</v>
      </c>
      <c r="F21" s="135">
        <v>568253.28</v>
      </c>
      <c r="G21" s="136"/>
      <c r="H21" s="136"/>
      <c r="I21" s="135"/>
      <c r="J21" s="136">
        <v>285575.32</v>
      </c>
      <c r="K21" s="136">
        <v>401604.1</v>
      </c>
      <c r="L21" s="145">
        <f t="shared" si="0"/>
        <v>1255432.7</v>
      </c>
      <c r="M21" s="9">
        <v>199090.48</v>
      </c>
      <c r="N21" s="124">
        <v>169506.78</v>
      </c>
      <c r="O21" s="124"/>
      <c r="P21" s="124">
        <v>422660.9</v>
      </c>
      <c r="Q21" s="124">
        <v>819237.83</v>
      </c>
      <c r="R21" s="124">
        <v>486674.09</v>
      </c>
      <c r="S21" s="124">
        <f>108777.24+108777.24+72151.07</f>
        <v>289705.55</v>
      </c>
      <c r="T21" s="124">
        <f>41724.12+92223.82</f>
        <v>133947.94</v>
      </c>
      <c r="U21" s="124">
        <f>91620.4+61839.2+110446.2</f>
        <v>263905.8</v>
      </c>
      <c r="V21" s="124">
        <f>61285.37+108657.35</f>
        <v>169942.72</v>
      </c>
      <c r="W21" s="124"/>
      <c r="X21" s="124"/>
      <c r="Y21" s="156"/>
      <c r="Z21" s="79"/>
      <c r="AA21" s="79"/>
      <c r="AB21" s="79" t="s">
        <v>84</v>
      </c>
      <c r="AC21" s="7"/>
      <c r="AD21" s="7">
        <v>400000</v>
      </c>
      <c r="AE21" s="7">
        <v>453828.6</v>
      </c>
      <c r="AF21" s="7">
        <v>401604.1</v>
      </c>
      <c r="AG21" s="7">
        <v>368597.26</v>
      </c>
      <c r="AH21" s="7">
        <v>401604.1</v>
      </c>
      <c r="AI21" s="7"/>
      <c r="AJ21" s="7">
        <v>500000</v>
      </c>
      <c r="AK21" s="7">
        <v>741898.73</v>
      </c>
      <c r="AL21" s="7">
        <v>374775.54</v>
      </c>
      <c r="AM21" s="7"/>
      <c r="AN21" s="168"/>
      <c r="AO21" s="169">
        <f t="shared" si="1"/>
        <v>4210104.79</v>
      </c>
      <c r="AP21" s="170">
        <f t="shared" si="2"/>
        <v>3642308.33</v>
      </c>
      <c r="AQ21" s="172">
        <f t="shared" si="5"/>
        <v>567796.46</v>
      </c>
      <c r="AR21" s="173">
        <f t="shared" si="6"/>
        <v>303890.66</v>
      </c>
      <c r="AS21" s="177" t="s">
        <v>85</v>
      </c>
      <c r="AT21" s="178"/>
      <c r="AU21" s="180">
        <f>VLOOKUP(D21,Sheet3!D:O,12,FALSE)</f>
        <v>355657.92</v>
      </c>
      <c r="AV21" s="180">
        <f t="shared" si="4"/>
        <v>212138.54</v>
      </c>
    </row>
    <row r="22" s="20" customFormat="1" ht="24" customHeight="1" spans="2:48">
      <c r="B22" s="48" t="s">
        <v>81</v>
      </c>
      <c r="C22" s="122" t="s">
        <v>124</v>
      </c>
      <c r="D22" s="43" t="s">
        <v>125</v>
      </c>
      <c r="E22" s="123">
        <v>7726.19999999992</v>
      </c>
      <c r="F22" s="135">
        <v>38917.2</v>
      </c>
      <c r="G22" s="136"/>
      <c r="H22" s="136"/>
      <c r="I22" s="135">
        <v>22401.12</v>
      </c>
      <c r="J22" s="136"/>
      <c r="K22" s="136">
        <v>36373.34</v>
      </c>
      <c r="L22" s="145">
        <f t="shared" si="0"/>
        <v>66500.6599999999</v>
      </c>
      <c r="M22" s="9"/>
      <c r="N22" s="124"/>
      <c r="O22" s="124">
        <f>25248.72+13288.8</f>
        <v>38537.52</v>
      </c>
      <c r="P22" s="124"/>
      <c r="Q22" s="124"/>
      <c r="R22" s="124">
        <v>53060.28</v>
      </c>
      <c r="S22" s="124"/>
      <c r="T22" s="124">
        <v>19933.2</v>
      </c>
      <c r="U22" s="124"/>
      <c r="V22" s="124"/>
      <c r="W22" s="124"/>
      <c r="X22" s="124"/>
      <c r="Y22" s="156"/>
      <c r="Z22" s="79"/>
      <c r="AA22" s="79"/>
      <c r="AB22" s="79" t="s">
        <v>84</v>
      </c>
      <c r="AC22" s="7"/>
      <c r="AD22" s="7">
        <v>23000</v>
      </c>
      <c r="AE22" s="7"/>
      <c r="AF22" s="7"/>
      <c r="AG22" s="7"/>
      <c r="AH22" s="7"/>
      <c r="AI22" s="7"/>
      <c r="AJ22" s="7">
        <v>60938.64</v>
      </c>
      <c r="AK22" s="7"/>
      <c r="AL22" s="7">
        <v>56306.54</v>
      </c>
      <c r="AM22" s="7"/>
      <c r="AN22" s="168"/>
      <c r="AO22" s="169">
        <f t="shared" si="1"/>
        <v>178031.66</v>
      </c>
      <c r="AP22" s="170">
        <f t="shared" si="2"/>
        <v>140245.18</v>
      </c>
      <c r="AQ22" s="172">
        <f t="shared" si="5"/>
        <v>37786.4799999999</v>
      </c>
      <c r="AR22" s="173">
        <f t="shared" si="6"/>
        <v>37786.4799999999</v>
      </c>
      <c r="AS22" s="177" t="s">
        <v>85</v>
      </c>
      <c r="AT22" s="178"/>
      <c r="AU22" s="180">
        <f>VLOOKUP(D22,Sheet3!D:O,12,FALSE)</f>
        <v>43378.44</v>
      </c>
      <c r="AV22" s="180">
        <f t="shared" si="4"/>
        <v>-5591.96000000008</v>
      </c>
    </row>
    <row r="23" s="20" customFormat="1" ht="24" customHeight="1" spans="2:48">
      <c r="B23" s="48" t="s">
        <v>81</v>
      </c>
      <c r="C23" s="122" t="s">
        <v>126</v>
      </c>
      <c r="D23" s="43" t="s">
        <v>127</v>
      </c>
      <c r="E23" s="123">
        <v>0</v>
      </c>
      <c r="F23" s="135">
        <v>5455.64</v>
      </c>
      <c r="G23" s="136"/>
      <c r="H23" s="136"/>
      <c r="I23" s="135"/>
      <c r="J23" s="136"/>
      <c r="K23" s="136"/>
      <c r="L23" s="145">
        <f t="shared" si="0"/>
        <v>0</v>
      </c>
      <c r="M23" s="9"/>
      <c r="N23" s="124"/>
      <c r="O23" s="124"/>
      <c r="P23" s="124"/>
      <c r="Q23" s="124">
        <v>5455.64</v>
      </c>
      <c r="R23" s="124"/>
      <c r="S23" s="124"/>
      <c r="T23" s="124"/>
      <c r="U23" s="124"/>
      <c r="V23" s="124"/>
      <c r="W23" s="124"/>
      <c r="X23" s="124"/>
      <c r="Y23" s="156"/>
      <c r="Z23" s="79"/>
      <c r="AA23" s="79"/>
      <c r="AB23" s="79" t="s">
        <v>84</v>
      </c>
      <c r="AC23" s="7"/>
      <c r="AD23" s="7"/>
      <c r="AE23" s="7"/>
      <c r="AF23" s="7">
        <v>5455.64</v>
      </c>
      <c r="AG23" s="7"/>
      <c r="AH23" s="7"/>
      <c r="AI23" s="7"/>
      <c r="AJ23" s="7"/>
      <c r="AK23" s="7"/>
      <c r="AL23" s="7"/>
      <c r="AM23" s="7"/>
      <c r="AN23" s="168"/>
      <c r="AO23" s="169">
        <f t="shared" si="1"/>
        <v>5455.64</v>
      </c>
      <c r="AP23" s="170">
        <f t="shared" si="2"/>
        <v>5455.64</v>
      </c>
      <c r="AQ23" s="172">
        <f t="shared" si="5"/>
        <v>0</v>
      </c>
      <c r="AR23" s="173">
        <f t="shared" si="6"/>
        <v>0</v>
      </c>
      <c r="AS23" s="177" t="s">
        <v>96</v>
      </c>
      <c r="AT23" s="178"/>
      <c r="AU23" s="180">
        <f>VLOOKUP(D23,Sheet3!D:O,12,FALSE)</f>
        <v>0</v>
      </c>
      <c r="AV23" s="180">
        <f t="shared" si="4"/>
        <v>0</v>
      </c>
    </row>
    <row r="24" s="20" customFormat="1" ht="24" customHeight="1" spans="2:48">
      <c r="B24" s="48" t="s">
        <v>81</v>
      </c>
      <c r="C24" s="122" t="s">
        <v>128</v>
      </c>
      <c r="D24" s="43" t="s">
        <v>129</v>
      </c>
      <c r="E24" s="123">
        <v>74904.3</v>
      </c>
      <c r="F24" s="135">
        <v>72360.68</v>
      </c>
      <c r="G24" s="136"/>
      <c r="H24" s="136"/>
      <c r="I24" s="135"/>
      <c r="J24" s="136"/>
      <c r="K24" s="146"/>
      <c r="L24" s="145">
        <f t="shared" si="0"/>
        <v>74904.3</v>
      </c>
      <c r="M24" s="9"/>
      <c r="N24" s="124"/>
      <c r="O24" s="124"/>
      <c r="P24" s="124">
        <v>34952.03</v>
      </c>
      <c r="Q24" s="124">
        <v>60294.54</v>
      </c>
      <c r="R24" s="124"/>
      <c r="S24" s="124"/>
      <c r="T24" s="124"/>
      <c r="U24" s="124"/>
      <c r="V24" s="124"/>
      <c r="W24" s="124"/>
      <c r="X24" s="124"/>
      <c r="Y24" s="156"/>
      <c r="Z24" s="79"/>
      <c r="AA24" s="79"/>
      <c r="AB24" s="79" t="s">
        <v>84</v>
      </c>
      <c r="AC24" s="7"/>
      <c r="AD24" s="7">
        <v>74904.3</v>
      </c>
      <c r="AE24" s="7"/>
      <c r="AF24" s="7"/>
      <c r="AG24" s="7">
        <v>34952.03</v>
      </c>
      <c r="AH24" s="7"/>
      <c r="AI24" s="7"/>
      <c r="AJ24" s="7">
        <v>60294.54</v>
      </c>
      <c r="AK24" s="7"/>
      <c r="AL24" s="7"/>
      <c r="AM24" s="7"/>
      <c r="AN24" s="168"/>
      <c r="AO24" s="169">
        <f t="shared" si="1"/>
        <v>170150.87</v>
      </c>
      <c r="AP24" s="170">
        <f t="shared" si="2"/>
        <v>170150.87</v>
      </c>
      <c r="AQ24" s="172">
        <f t="shared" si="5"/>
        <v>0</v>
      </c>
      <c r="AR24" s="173">
        <f t="shared" si="6"/>
        <v>0</v>
      </c>
      <c r="AS24" s="177" t="s">
        <v>85</v>
      </c>
      <c r="AT24" s="178"/>
      <c r="AU24" s="180">
        <f>VLOOKUP(D24,Sheet3!D:O,12,FALSE)</f>
        <v>112483.76</v>
      </c>
      <c r="AV24" s="180">
        <f t="shared" si="4"/>
        <v>-112483.76</v>
      </c>
    </row>
    <row r="25" s="20" customFormat="1" ht="24" customHeight="1" spans="2:48">
      <c r="B25" s="48" t="s">
        <v>81</v>
      </c>
      <c r="C25" s="122" t="s">
        <v>130</v>
      </c>
      <c r="D25" s="43" t="s">
        <v>131</v>
      </c>
      <c r="E25" s="123">
        <v>-15576.8</v>
      </c>
      <c r="F25" s="135"/>
      <c r="G25" s="136"/>
      <c r="H25" s="136"/>
      <c r="I25" s="135">
        <v>2500</v>
      </c>
      <c r="J25" s="136">
        <v>1000</v>
      </c>
      <c r="K25" s="136"/>
      <c r="L25" s="145">
        <f t="shared" si="0"/>
        <v>-12076.8</v>
      </c>
      <c r="M25" s="9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56"/>
      <c r="Z25" s="79"/>
      <c r="AA25" s="79"/>
      <c r="AB25" s="79" t="s">
        <v>84</v>
      </c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168"/>
      <c r="AO25" s="169">
        <f t="shared" si="1"/>
        <v>-12076.8</v>
      </c>
      <c r="AP25" s="170">
        <f t="shared" si="2"/>
        <v>0</v>
      </c>
      <c r="AQ25" s="172">
        <f t="shared" si="5"/>
        <v>-12076.8</v>
      </c>
      <c r="AR25" s="173">
        <v>0</v>
      </c>
      <c r="AS25" s="177" t="s">
        <v>85</v>
      </c>
      <c r="AT25" s="178"/>
      <c r="AU25" s="180">
        <f>VLOOKUP(D25,Sheet3!D:O,12,FALSE)</f>
        <v>2000</v>
      </c>
      <c r="AV25" s="180">
        <f t="shared" si="4"/>
        <v>-14076.8</v>
      </c>
    </row>
    <row r="26" s="20" customFormat="1" ht="24" customHeight="1" spans="2:48">
      <c r="B26" s="42" t="s">
        <v>81</v>
      </c>
      <c r="C26" s="122" t="s">
        <v>102</v>
      </c>
      <c r="D26" s="50" t="s">
        <v>103</v>
      </c>
      <c r="E26" s="123">
        <v>-818228.05</v>
      </c>
      <c r="F26" s="135"/>
      <c r="G26" s="136"/>
      <c r="H26" s="136"/>
      <c r="I26" s="135">
        <v>327734.09</v>
      </c>
      <c r="J26" s="136">
        <v>216787.22</v>
      </c>
      <c r="K26" s="136">
        <v>273706.82</v>
      </c>
      <c r="L26" s="145">
        <f t="shared" si="0"/>
        <v>0.0800000000745058</v>
      </c>
      <c r="M26" s="9">
        <v>56034.82</v>
      </c>
      <c r="N26" s="9">
        <v>51304.4</v>
      </c>
      <c r="O26" s="124">
        <v>63529.76</v>
      </c>
      <c r="P26" s="124">
        <v>243381.98</v>
      </c>
      <c r="Q26" s="124">
        <v>377470.62</v>
      </c>
      <c r="R26" s="124">
        <v>353804.17</v>
      </c>
      <c r="S26" s="124">
        <v>14195.88</v>
      </c>
      <c r="T26" s="124">
        <v>47482.76</v>
      </c>
      <c r="U26" s="124">
        <v>116108.04</v>
      </c>
      <c r="V26" s="124">
        <v>83727.08</v>
      </c>
      <c r="W26" s="124"/>
      <c r="X26" s="124"/>
      <c r="Y26" s="156"/>
      <c r="Z26" s="79"/>
      <c r="AA26" s="79"/>
      <c r="AB26" s="79" t="s">
        <v>84</v>
      </c>
      <c r="AC26" s="7"/>
      <c r="AD26" s="7">
        <v>56034.8</v>
      </c>
      <c r="AE26" s="7">
        <v>51304.4</v>
      </c>
      <c r="AF26" s="7">
        <v>63529.78</v>
      </c>
      <c r="AG26" s="7">
        <v>243382</v>
      </c>
      <c r="AH26" s="7">
        <v>377470.59</v>
      </c>
      <c r="AI26" s="7">
        <v>353804.19</v>
      </c>
      <c r="AJ26" s="7">
        <v>14195.87</v>
      </c>
      <c r="AK26" s="7">
        <v>47482.78</v>
      </c>
      <c r="AL26" s="7">
        <v>116108.04</v>
      </c>
      <c r="AM26" s="7"/>
      <c r="AN26" s="168"/>
      <c r="AO26" s="169">
        <f t="shared" si="1"/>
        <v>1407039.59</v>
      </c>
      <c r="AP26" s="170">
        <f t="shared" si="2"/>
        <v>1323312.45</v>
      </c>
      <c r="AQ26" s="172">
        <f t="shared" si="5"/>
        <v>83727.1399999999</v>
      </c>
      <c r="AR26" s="173">
        <f t="shared" ref="AR26:AR33" si="7">AQ26-U26-V184</f>
        <v>-32380.9000000001</v>
      </c>
      <c r="AS26" s="177" t="s">
        <v>104</v>
      </c>
      <c r="AT26" s="178"/>
      <c r="AU26" s="180">
        <f>VLOOKUP(D26,Sheet3!D:O,12,FALSE)</f>
        <v>79072.23</v>
      </c>
      <c r="AV26" s="180">
        <f t="shared" si="4"/>
        <v>4654.9099999999</v>
      </c>
    </row>
    <row r="27" s="20" customFormat="1" ht="24" customHeight="1" spans="2:48">
      <c r="B27" s="48" t="s">
        <v>81</v>
      </c>
      <c r="C27" s="122" t="s">
        <v>132</v>
      </c>
      <c r="D27" s="50" t="s">
        <v>133</v>
      </c>
      <c r="E27" s="123">
        <v>341946.18</v>
      </c>
      <c r="F27" s="135">
        <v>160618.2</v>
      </c>
      <c r="G27" s="136"/>
      <c r="H27" s="136"/>
      <c r="I27" s="135"/>
      <c r="J27" s="136">
        <v>4283.15</v>
      </c>
      <c r="K27" s="136"/>
      <c r="L27" s="145">
        <f t="shared" si="0"/>
        <v>346229.33</v>
      </c>
      <c r="M27" s="9"/>
      <c r="N27" s="124"/>
      <c r="O27" s="124"/>
      <c r="P27" s="124"/>
      <c r="Q27" s="124">
        <v>256989.12</v>
      </c>
      <c r="R27" s="124">
        <v>224865.48</v>
      </c>
      <c r="S27" s="124"/>
      <c r="T27" s="124"/>
      <c r="U27" s="124">
        <v>578225.52</v>
      </c>
      <c r="V27" s="124"/>
      <c r="W27" s="124"/>
      <c r="X27" s="124"/>
      <c r="Y27" s="156"/>
      <c r="Z27" s="79"/>
      <c r="AA27" s="79"/>
      <c r="AB27" s="79" t="s">
        <v>84</v>
      </c>
      <c r="AC27" s="7"/>
      <c r="AD27" s="7">
        <v>535.4</v>
      </c>
      <c r="AE27" s="7"/>
      <c r="AF27" s="7"/>
      <c r="AG27" s="7">
        <v>3212.38</v>
      </c>
      <c r="AH27" s="7">
        <v>19809.58</v>
      </c>
      <c r="AI27" s="7">
        <v>146697.98</v>
      </c>
      <c r="AJ27" s="7">
        <v>4283.14</v>
      </c>
      <c r="AK27" s="7">
        <v>535.4</v>
      </c>
      <c r="AL27" s="7">
        <v>175073.84</v>
      </c>
      <c r="AM27" s="7"/>
      <c r="AN27" s="168"/>
      <c r="AO27" s="169">
        <f t="shared" si="1"/>
        <v>1406309.45</v>
      </c>
      <c r="AP27" s="170">
        <f t="shared" si="2"/>
        <v>350147.72</v>
      </c>
      <c r="AQ27" s="172">
        <f t="shared" si="5"/>
        <v>1056161.73</v>
      </c>
      <c r="AR27" s="173">
        <f t="shared" si="7"/>
        <v>477936.21</v>
      </c>
      <c r="AS27" s="177" t="s">
        <v>104</v>
      </c>
      <c r="AT27" s="178"/>
      <c r="AU27" s="180">
        <f>VLOOKUP(D27,Sheet3!D:O,12,FALSE)</f>
        <v>0</v>
      </c>
      <c r="AV27" s="180">
        <f t="shared" si="4"/>
        <v>1056161.73</v>
      </c>
    </row>
    <row r="28" s="20" customFormat="1" ht="24" customHeight="1" spans="2:48">
      <c r="B28" s="48" t="s">
        <v>134</v>
      </c>
      <c r="C28" s="122">
        <v>1951024</v>
      </c>
      <c r="D28" s="43" t="s">
        <v>206</v>
      </c>
      <c r="E28" s="123">
        <v>0</v>
      </c>
      <c r="F28" s="135"/>
      <c r="G28" s="136"/>
      <c r="H28" s="136"/>
      <c r="I28" s="135"/>
      <c r="J28" s="136"/>
      <c r="K28" s="136"/>
      <c r="L28" s="145">
        <f t="shared" si="0"/>
        <v>0</v>
      </c>
      <c r="M28" s="9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56"/>
      <c r="Z28" s="79"/>
      <c r="AA28" s="79"/>
      <c r="AB28" s="79" t="s">
        <v>84</v>
      </c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168"/>
      <c r="AO28" s="169">
        <f t="shared" si="1"/>
        <v>0</v>
      </c>
      <c r="AP28" s="170">
        <f t="shared" si="2"/>
        <v>0</v>
      </c>
      <c r="AQ28" s="172">
        <f t="shared" si="5"/>
        <v>0</v>
      </c>
      <c r="AR28" s="173">
        <f t="shared" si="7"/>
        <v>0</v>
      </c>
      <c r="AS28" s="177" t="s">
        <v>111</v>
      </c>
      <c r="AT28" s="178"/>
      <c r="AU28" s="180">
        <f>VLOOKUP(D28,Sheet3!D:O,12,FALSE)</f>
        <v>0</v>
      </c>
      <c r="AV28" s="180">
        <f t="shared" si="4"/>
        <v>0</v>
      </c>
    </row>
    <row r="29" s="20" customFormat="1" ht="24" customHeight="1" spans="2:48">
      <c r="B29" s="48" t="s">
        <v>81</v>
      </c>
      <c r="C29" s="125" t="s">
        <v>136</v>
      </c>
      <c r="D29" s="126" t="s">
        <v>137</v>
      </c>
      <c r="E29" s="123">
        <v>44955.1399999999</v>
      </c>
      <c r="F29" s="135">
        <v>91703.4</v>
      </c>
      <c r="G29" s="136"/>
      <c r="H29" s="136"/>
      <c r="I29" s="135"/>
      <c r="J29" s="136"/>
      <c r="K29" s="136"/>
      <c r="L29" s="145">
        <f t="shared" si="0"/>
        <v>44955.1399999999</v>
      </c>
      <c r="M29" s="9"/>
      <c r="N29" s="124"/>
      <c r="O29" s="124"/>
      <c r="P29" s="124"/>
      <c r="Q29" s="124">
        <f>92579.77+96240.97</f>
        <v>188820.74</v>
      </c>
      <c r="R29" s="124">
        <v>48959.29</v>
      </c>
      <c r="S29" s="124"/>
      <c r="T29" s="124"/>
      <c r="U29" s="124">
        <f>90144.65+73031.61+49069.12</f>
        <v>212245.38</v>
      </c>
      <c r="V29" s="124">
        <v>58699</v>
      </c>
      <c r="W29" s="124"/>
      <c r="X29" s="124"/>
      <c r="Y29" s="158"/>
      <c r="Z29" s="85"/>
      <c r="AA29" s="85"/>
      <c r="AB29" s="79" t="s">
        <v>84</v>
      </c>
      <c r="AC29" s="159"/>
      <c r="AD29" s="159">
        <v>70000</v>
      </c>
      <c r="AE29" s="7"/>
      <c r="AF29" s="7"/>
      <c r="AG29" s="7"/>
      <c r="AH29" s="7"/>
      <c r="AI29" s="7"/>
      <c r="AJ29" s="7"/>
      <c r="AK29" s="7">
        <v>150000</v>
      </c>
      <c r="AL29" s="7">
        <v>121434.17</v>
      </c>
      <c r="AM29" s="7"/>
      <c r="AN29" s="168"/>
      <c r="AO29" s="169">
        <f t="shared" si="1"/>
        <v>553679.55</v>
      </c>
      <c r="AP29" s="170">
        <f t="shared" si="2"/>
        <v>341434.17</v>
      </c>
      <c r="AQ29" s="172">
        <f t="shared" si="5"/>
        <v>212245.38</v>
      </c>
      <c r="AR29" s="173">
        <f t="shared" si="7"/>
        <v>-1.74622982740402e-10</v>
      </c>
      <c r="AS29" s="181" t="s">
        <v>85</v>
      </c>
      <c r="AT29" s="182"/>
      <c r="AU29" s="180">
        <f>VLOOKUP(D29,Sheet3!D:O,12,FALSE)</f>
        <v>341680.9</v>
      </c>
      <c r="AV29" s="180">
        <f t="shared" si="4"/>
        <v>-129435.52</v>
      </c>
    </row>
    <row r="30" s="20" customFormat="1" ht="24" customHeight="1" spans="2:48">
      <c r="B30" s="48" t="s">
        <v>81</v>
      </c>
      <c r="C30" s="125" t="s">
        <v>138</v>
      </c>
      <c r="D30" s="126" t="s">
        <v>139</v>
      </c>
      <c r="E30" s="123">
        <v>0</v>
      </c>
      <c r="F30" s="135"/>
      <c r="G30" s="136"/>
      <c r="H30" s="147"/>
      <c r="I30" s="135"/>
      <c r="J30" s="136"/>
      <c r="K30" s="147"/>
      <c r="L30" s="145">
        <f t="shared" si="0"/>
        <v>0</v>
      </c>
      <c r="M30" s="9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58"/>
      <c r="Z30" s="85"/>
      <c r="AA30" s="85"/>
      <c r="AB30" s="79" t="s">
        <v>84</v>
      </c>
      <c r="AC30" s="159"/>
      <c r="AD30" s="159"/>
      <c r="AE30" s="7"/>
      <c r="AF30" s="7"/>
      <c r="AG30" s="7"/>
      <c r="AH30" s="7"/>
      <c r="AI30" s="7"/>
      <c r="AJ30" s="7"/>
      <c r="AK30" s="7"/>
      <c r="AL30" s="7"/>
      <c r="AM30" s="7"/>
      <c r="AN30" s="168"/>
      <c r="AO30" s="169">
        <f t="shared" si="1"/>
        <v>0</v>
      </c>
      <c r="AP30" s="170">
        <f t="shared" si="2"/>
        <v>0</v>
      </c>
      <c r="AQ30" s="172">
        <f t="shared" si="5"/>
        <v>0</v>
      </c>
      <c r="AR30" s="173">
        <f t="shared" si="7"/>
        <v>0</v>
      </c>
      <c r="AS30" s="181" t="s">
        <v>101</v>
      </c>
      <c r="AT30" s="182"/>
      <c r="AU30" s="180">
        <f>VLOOKUP(D30,Sheet3!D:O,12,FALSE)</f>
        <v>0</v>
      </c>
      <c r="AV30" s="180">
        <f t="shared" si="4"/>
        <v>0</v>
      </c>
    </row>
    <row r="31" s="20" customFormat="1" ht="24" customHeight="1" spans="2:48">
      <c r="B31" s="48" t="s">
        <v>81</v>
      </c>
      <c r="C31" s="125" t="s">
        <v>140</v>
      </c>
      <c r="D31" s="126" t="s">
        <v>141</v>
      </c>
      <c r="E31" s="123">
        <v>0</v>
      </c>
      <c r="F31" s="135"/>
      <c r="G31" s="136"/>
      <c r="H31" s="147"/>
      <c r="I31" s="135"/>
      <c r="J31" s="136"/>
      <c r="K31" s="147"/>
      <c r="L31" s="145">
        <f t="shared" si="0"/>
        <v>0</v>
      </c>
      <c r="M31" s="9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58"/>
      <c r="Z31" s="85"/>
      <c r="AA31" s="85"/>
      <c r="AB31" s="79" t="s">
        <v>84</v>
      </c>
      <c r="AC31" s="159"/>
      <c r="AD31" s="159"/>
      <c r="AE31" s="7"/>
      <c r="AF31" s="7"/>
      <c r="AG31" s="7"/>
      <c r="AH31" s="7"/>
      <c r="AI31" s="7"/>
      <c r="AJ31" s="7"/>
      <c r="AK31" s="7"/>
      <c r="AL31" s="7"/>
      <c r="AM31" s="7"/>
      <c r="AN31" s="168"/>
      <c r="AO31" s="169">
        <f t="shared" si="1"/>
        <v>0</v>
      </c>
      <c r="AP31" s="170">
        <f t="shared" si="2"/>
        <v>0</v>
      </c>
      <c r="AQ31" s="172">
        <f t="shared" si="5"/>
        <v>0</v>
      </c>
      <c r="AR31" s="173">
        <f t="shared" si="7"/>
        <v>0</v>
      </c>
      <c r="AS31" s="181" t="s">
        <v>101</v>
      </c>
      <c r="AT31" s="182"/>
      <c r="AU31" s="180">
        <f>VLOOKUP(D31,Sheet3!D:O,12,FALSE)</f>
        <v>0</v>
      </c>
      <c r="AV31" s="180">
        <f t="shared" si="4"/>
        <v>0</v>
      </c>
    </row>
    <row r="32" s="20" customFormat="1" ht="24" customHeight="1" spans="2:48">
      <c r="B32" s="48" t="s">
        <v>81</v>
      </c>
      <c r="C32" s="90" t="s">
        <v>177</v>
      </c>
      <c r="D32" s="126" t="s">
        <v>178</v>
      </c>
      <c r="E32" s="123">
        <v>0</v>
      </c>
      <c r="F32" s="135"/>
      <c r="G32" s="136"/>
      <c r="H32" s="147"/>
      <c r="I32" s="135"/>
      <c r="J32" s="136">
        <v>660</v>
      </c>
      <c r="K32" s="136"/>
      <c r="L32" s="145">
        <f t="shared" si="0"/>
        <v>660</v>
      </c>
      <c r="M32" s="9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58"/>
      <c r="Z32" s="85"/>
      <c r="AA32" s="85"/>
      <c r="AB32" s="79" t="s">
        <v>84</v>
      </c>
      <c r="AC32" s="159"/>
      <c r="AD32" s="159">
        <v>660</v>
      </c>
      <c r="AE32" s="159"/>
      <c r="AF32" s="159"/>
      <c r="AG32" s="159"/>
      <c r="AH32" s="159"/>
      <c r="AI32" s="159"/>
      <c r="AJ32" s="159"/>
      <c r="AK32" s="159"/>
      <c r="AL32" s="159"/>
      <c r="AM32" s="159"/>
      <c r="AN32" s="174"/>
      <c r="AO32" s="169">
        <f t="shared" si="1"/>
        <v>660</v>
      </c>
      <c r="AP32" s="170">
        <f t="shared" si="2"/>
        <v>660</v>
      </c>
      <c r="AQ32" s="172">
        <f t="shared" si="5"/>
        <v>0</v>
      </c>
      <c r="AR32" s="173">
        <f t="shared" si="7"/>
        <v>0</v>
      </c>
      <c r="AS32" s="181"/>
      <c r="AT32" s="182"/>
      <c r="AU32" s="180">
        <f>VLOOKUP(D32,Sheet3!D:O,12,FALSE)</f>
        <v>0</v>
      </c>
      <c r="AV32" s="180">
        <f t="shared" si="4"/>
        <v>0</v>
      </c>
    </row>
    <row r="33" s="20" customFormat="1" ht="24" customHeight="1" spans="2:48">
      <c r="B33" s="48" t="s">
        <v>81</v>
      </c>
      <c r="C33" s="90" t="s">
        <v>179</v>
      </c>
      <c r="D33" s="126" t="s">
        <v>180</v>
      </c>
      <c r="E33" s="123">
        <v>41584</v>
      </c>
      <c r="F33" s="135"/>
      <c r="G33" s="136"/>
      <c r="H33" s="147"/>
      <c r="I33" s="135"/>
      <c r="J33" s="136">
        <f>225367.2+371431</f>
        <v>596798.2</v>
      </c>
      <c r="K33" s="136">
        <v>80343</v>
      </c>
      <c r="L33" s="145">
        <f t="shared" si="0"/>
        <v>718725.2</v>
      </c>
      <c r="M33" s="9">
        <v>124752</v>
      </c>
      <c r="N33" s="124"/>
      <c r="O33" s="124">
        <v>107915</v>
      </c>
      <c r="P33" s="124">
        <f>107915+107915+19436</f>
        <v>235266</v>
      </c>
      <c r="Q33" s="124">
        <f>105768+107915</f>
        <v>213683</v>
      </c>
      <c r="R33" s="124"/>
      <c r="S33" s="124"/>
      <c r="T33" s="124">
        <v>64184</v>
      </c>
      <c r="U33" s="124"/>
      <c r="V33" s="124">
        <f>110740+98536</f>
        <v>209276</v>
      </c>
      <c r="W33" s="124"/>
      <c r="X33" s="124"/>
      <c r="Y33" s="158"/>
      <c r="Z33" s="85"/>
      <c r="AA33" s="85"/>
      <c r="AB33" s="79" t="s">
        <v>84</v>
      </c>
      <c r="AC33" s="159"/>
      <c r="AD33" s="159">
        <v>266951.2</v>
      </c>
      <c r="AE33" s="159">
        <v>124752</v>
      </c>
      <c r="AF33" s="159">
        <v>371431</v>
      </c>
      <c r="AG33" s="159">
        <v>80343</v>
      </c>
      <c r="AH33" s="159"/>
      <c r="AI33" s="159"/>
      <c r="AJ33" s="159">
        <v>321598</v>
      </c>
      <c r="AK33" s="159">
        <v>235266</v>
      </c>
      <c r="AL33" s="159">
        <v>64184</v>
      </c>
      <c r="AM33" s="159"/>
      <c r="AN33" s="174"/>
      <c r="AO33" s="169">
        <f t="shared" si="1"/>
        <v>1673801.2</v>
      </c>
      <c r="AP33" s="170">
        <f t="shared" si="2"/>
        <v>1464525.2</v>
      </c>
      <c r="AQ33" s="172">
        <f t="shared" si="5"/>
        <v>209276</v>
      </c>
      <c r="AR33" s="173">
        <f t="shared" si="7"/>
        <v>209276</v>
      </c>
      <c r="AS33" s="181"/>
      <c r="AT33" s="182"/>
      <c r="AU33" s="180">
        <f>VLOOKUP(D33,Sheet3!D:O,12,FALSE)</f>
        <v>0</v>
      </c>
      <c r="AV33" s="180">
        <f t="shared" si="4"/>
        <v>209276</v>
      </c>
    </row>
    <row r="34" s="20" customFormat="1" ht="24" customHeight="1" spans="2:48">
      <c r="B34" s="48" t="s">
        <v>81</v>
      </c>
      <c r="C34" s="90" t="s">
        <v>181</v>
      </c>
      <c r="D34" s="126" t="s">
        <v>182</v>
      </c>
      <c r="E34" s="123">
        <v>-66613.69</v>
      </c>
      <c r="F34" s="135"/>
      <c r="G34" s="136"/>
      <c r="H34" s="147"/>
      <c r="I34" s="135"/>
      <c r="J34" s="136"/>
      <c r="K34" s="136"/>
      <c r="L34" s="145">
        <f t="shared" si="0"/>
        <v>-66613.69</v>
      </c>
      <c r="M34" s="9"/>
      <c r="N34" s="124"/>
      <c r="O34" s="124"/>
      <c r="P34" s="124"/>
      <c r="Q34" s="124"/>
      <c r="R34" s="124"/>
      <c r="S34" s="124"/>
      <c r="T34" s="124"/>
      <c r="U34" s="124">
        <v>43561.5</v>
      </c>
      <c r="V34" s="124"/>
      <c r="W34" s="124"/>
      <c r="X34" s="124"/>
      <c r="Y34" s="158"/>
      <c r="Z34" s="85"/>
      <c r="AA34" s="85"/>
      <c r="AB34" s="79" t="s">
        <v>84</v>
      </c>
      <c r="AC34" s="159">
        <v>3390</v>
      </c>
      <c r="AD34" s="159"/>
      <c r="AE34" s="159">
        <v>6610.5</v>
      </c>
      <c r="AF34" s="159">
        <f>5424+2881.5</f>
        <v>8305.5</v>
      </c>
      <c r="AG34" s="159">
        <v>9322.5</v>
      </c>
      <c r="AH34" s="159"/>
      <c r="AI34" s="159"/>
      <c r="AJ34" s="159">
        <v>4576.5</v>
      </c>
      <c r="AK34" s="159">
        <v>11356.5</v>
      </c>
      <c r="AL34" s="159"/>
      <c r="AM34" s="159"/>
      <c r="AN34" s="174"/>
      <c r="AO34" s="169">
        <f t="shared" si="1"/>
        <v>-23052.19</v>
      </c>
      <c r="AP34" s="170">
        <f t="shared" si="2"/>
        <v>43561.5</v>
      </c>
      <c r="AQ34" s="172">
        <f t="shared" si="5"/>
        <v>-66613.69</v>
      </c>
      <c r="AR34" s="173">
        <v>0</v>
      </c>
      <c r="AS34" s="183" t="s">
        <v>96</v>
      </c>
      <c r="AT34" s="182"/>
      <c r="AU34" s="180">
        <v>-94242.19</v>
      </c>
      <c r="AV34" s="180">
        <f t="shared" si="4"/>
        <v>27628.5</v>
      </c>
    </row>
    <row r="35" s="20" customFormat="1" ht="24" customHeight="1" spans="2:48">
      <c r="B35" s="48" t="s">
        <v>81</v>
      </c>
      <c r="C35" s="90" t="s">
        <v>184</v>
      </c>
      <c r="D35" s="126" t="s">
        <v>185</v>
      </c>
      <c r="E35" s="123">
        <v>0</v>
      </c>
      <c r="F35" s="135"/>
      <c r="G35" s="136"/>
      <c r="H35" s="147"/>
      <c r="I35" s="135"/>
      <c r="J35" s="136">
        <v>36869.64</v>
      </c>
      <c r="K35" s="136">
        <v>39302.3</v>
      </c>
      <c r="L35" s="145">
        <f t="shared" si="0"/>
        <v>76171.94</v>
      </c>
      <c r="M35" s="9"/>
      <c r="N35" s="124"/>
      <c r="O35" s="124">
        <v>44791.43</v>
      </c>
      <c r="P35" s="124"/>
      <c r="Q35" s="124">
        <v>53426.4</v>
      </c>
      <c r="R35" s="124">
        <v>15006.4</v>
      </c>
      <c r="S35" s="124">
        <v>11074</v>
      </c>
      <c r="T35" s="124"/>
      <c r="U35" s="124"/>
      <c r="V35" s="124"/>
      <c r="W35" s="124"/>
      <c r="X35" s="124"/>
      <c r="Y35" s="158"/>
      <c r="Z35" s="85"/>
      <c r="AA35" s="85"/>
      <c r="AB35" s="79" t="s">
        <v>84</v>
      </c>
      <c r="AC35" s="159"/>
      <c r="AD35" s="159">
        <v>36869.64</v>
      </c>
      <c r="AE35" s="159"/>
      <c r="AF35" s="159">
        <v>40000</v>
      </c>
      <c r="AG35" s="159"/>
      <c r="AH35" s="159"/>
      <c r="AI35" s="159"/>
      <c r="AJ35" s="159">
        <v>53426.4</v>
      </c>
      <c r="AK35" s="159">
        <v>44093.73</v>
      </c>
      <c r="AL35" s="159"/>
      <c r="AM35" s="159"/>
      <c r="AN35" s="174"/>
      <c r="AO35" s="169">
        <f t="shared" si="1"/>
        <v>200470.17</v>
      </c>
      <c r="AP35" s="170">
        <f t="shared" si="2"/>
        <v>174389.77</v>
      </c>
      <c r="AQ35" s="172">
        <f t="shared" si="5"/>
        <v>26080.4</v>
      </c>
      <c r="AR35" s="173">
        <f t="shared" ref="AR35:AR41" si="8">AQ35-U35-V193</f>
        <v>26080.4</v>
      </c>
      <c r="AS35" s="181"/>
      <c r="AT35" s="182"/>
      <c r="AU35" s="180">
        <f>VLOOKUP(D35,Sheet3!D:O,12,FALSE)</f>
        <v>99231.74</v>
      </c>
      <c r="AV35" s="180">
        <f t="shared" si="4"/>
        <v>-73151.34</v>
      </c>
    </row>
    <row r="36" s="20" customFormat="1" ht="24" customHeight="1" spans="2:48">
      <c r="B36" s="48" t="s">
        <v>81</v>
      </c>
      <c r="C36" s="90" t="s">
        <v>207</v>
      </c>
      <c r="D36" s="126" t="s">
        <v>208</v>
      </c>
      <c r="E36" s="123"/>
      <c r="F36" s="135"/>
      <c r="G36" s="136"/>
      <c r="H36" s="147"/>
      <c r="I36" s="135"/>
      <c r="J36" s="136"/>
      <c r="K36" s="136"/>
      <c r="L36" s="145"/>
      <c r="M36" s="9">
        <v>15800</v>
      </c>
      <c r="N36" s="124"/>
      <c r="O36" s="124"/>
      <c r="P36" s="124"/>
      <c r="Q36" s="124">
        <v>17800</v>
      </c>
      <c r="R36" s="124"/>
      <c r="S36" s="124"/>
      <c r="T36" s="124"/>
      <c r="U36" s="124"/>
      <c r="V36" s="124"/>
      <c r="W36" s="124"/>
      <c r="X36" s="124"/>
      <c r="Y36" s="158"/>
      <c r="Z36" s="85"/>
      <c r="AA36" s="85"/>
      <c r="AB36" s="79"/>
      <c r="AC36" s="159"/>
      <c r="AD36" s="159"/>
      <c r="AE36" s="159"/>
      <c r="AF36" s="159">
        <v>15800</v>
      </c>
      <c r="AG36" s="159"/>
      <c r="AH36" s="159"/>
      <c r="AI36" s="159"/>
      <c r="AJ36" s="159">
        <v>17800</v>
      </c>
      <c r="AK36" s="159"/>
      <c r="AL36" s="159"/>
      <c r="AM36" s="159"/>
      <c r="AN36" s="174"/>
      <c r="AO36" s="169">
        <f t="shared" ref="AO36:AO45" si="9">SUM(L36:X36)</f>
        <v>33600</v>
      </c>
      <c r="AP36" s="170">
        <f t="shared" ref="AP36:AP45" si="10">SUM(AC36:AN36)</f>
        <v>33600</v>
      </c>
      <c r="AQ36" s="172">
        <f t="shared" ref="AQ36:AQ39" si="11">AO36-AP36</f>
        <v>0</v>
      </c>
      <c r="AR36" s="173">
        <f t="shared" si="8"/>
        <v>0</v>
      </c>
      <c r="AS36" s="181"/>
      <c r="AT36" s="182"/>
      <c r="AU36" s="180">
        <f>VLOOKUP(D36,Sheet3!D:O,12,FALSE)</f>
        <v>0</v>
      </c>
      <c r="AV36" s="180">
        <f t="shared" si="4"/>
        <v>0</v>
      </c>
    </row>
    <row r="37" s="20" customFormat="1" ht="24" customHeight="1" spans="2:48">
      <c r="B37" s="48" t="s">
        <v>81</v>
      </c>
      <c r="C37" s="90" t="s">
        <v>209</v>
      </c>
      <c r="D37" s="126" t="s">
        <v>210</v>
      </c>
      <c r="E37" s="123"/>
      <c r="F37" s="135"/>
      <c r="G37" s="136"/>
      <c r="H37" s="147"/>
      <c r="I37" s="135"/>
      <c r="J37" s="136"/>
      <c r="K37" s="136"/>
      <c r="L37" s="145"/>
      <c r="M37" s="9"/>
      <c r="N37" s="124"/>
      <c r="O37" s="124"/>
      <c r="P37" s="124"/>
      <c r="Q37" s="124">
        <f>79100</f>
        <v>79100</v>
      </c>
      <c r="R37" s="124">
        <v>94920</v>
      </c>
      <c r="S37" s="124">
        <f>63280+47460</f>
        <v>110740</v>
      </c>
      <c r="T37" s="124"/>
      <c r="U37" s="124"/>
      <c r="V37" s="124">
        <f>31640+15820+63280+31640</f>
        <v>142380</v>
      </c>
      <c r="W37" s="124"/>
      <c r="X37" s="124"/>
      <c r="Y37" s="158"/>
      <c r="Z37" s="85"/>
      <c r="AA37" s="85"/>
      <c r="AB37" s="79"/>
      <c r="AC37" s="159"/>
      <c r="AD37" s="159"/>
      <c r="AE37" s="159"/>
      <c r="AF37" s="159"/>
      <c r="AG37" s="159"/>
      <c r="AH37" s="159"/>
      <c r="AI37" s="159"/>
      <c r="AJ37" s="159">
        <v>79100</v>
      </c>
      <c r="AK37" s="159"/>
      <c r="AL37" s="159">
        <f>189840+158200</f>
        <v>348040</v>
      </c>
      <c r="AM37" s="159"/>
      <c r="AN37" s="174"/>
      <c r="AO37" s="169">
        <f t="shared" si="9"/>
        <v>427140</v>
      </c>
      <c r="AP37" s="170">
        <f t="shared" si="10"/>
        <v>427140</v>
      </c>
      <c r="AQ37" s="172">
        <f t="shared" si="11"/>
        <v>0</v>
      </c>
      <c r="AR37" s="173">
        <f t="shared" si="8"/>
        <v>0</v>
      </c>
      <c r="AS37" s="181"/>
      <c r="AT37" s="182"/>
      <c r="AU37" s="180">
        <f>VLOOKUP(D37,Sheet3!D:O,12,FALSE)</f>
        <v>0</v>
      </c>
      <c r="AV37" s="180">
        <f t="shared" si="4"/>
        <v>0</v>
      </c>
    </row>
    <row r="38" s="20" customFormat="1" ht="24" customHeight="1" spans="2:48">
      <c r="B38" s="48" t="s">
        <v>81</v>
      </c>
      <c r="C38" s="90" t="s">
        <v>211</v>
      </c>
      <c r="D38" s="126" t="e">
        <f t="array" ref="D38">[2]!'!数据!R319C4'</f>
        <v>#REF!</v>
      </c>
      <c r="E38" s="123"/>
      <c r="F38" s="135"/>
      <c r="G38" s="136"/>
      <c r="H38" s="147"/>
      <c r="I38" s="135"/>
      <c r="J38" s="136"/>
      <c r="K38" s="136"/>
      <c r="L38" s="145"/>
      <c r="M38" s="9"/>
      <c r="N38" s="124"/>
      <c r="O38" s="124"/>
      <c r="P38" s="124">
        <v>33330</v>
      </c>
      <c r="Q38" s="124"/>
      <c r="R38" s="124"/>
      <c r="S38" s="124"/>
      <c r="T38" s="124"/>
      <c r="U38" s="124"/>
      <c r="V38" s="124"/>
      <c r="W38" s="124"/>
      <c r="X38" s="124"/>
      <c r="Y38" s="158"/>
      <c r="Z38" s="85"/>
      <c r="AA38" s="85"/>
      <c r="AB38" s="79"/>
      <c r="AC38" s="159"/>
      <c r="AD38" s="159"/>
      <c r="AE38" s="159"/>
      <c r="AF38" s="159"/>
      <c r="AG38" s="159"/>
      <c r="AH38" s="159"/>
      <c r="AI38" s="159"/>
      <c r="AJ38" s="159">
        <v>33330</v>
      </c>
      <c r="AK38" s="159"/>
      <c r="AL38" s="159"/>
      <c r="AM38" s="159"/>
      <c r="AN38" s="174"/>
      <c r="AO38" s="169">
        <f t="shared" si="9"/>
        <v>33330</v>
      </c>
      <c r="AP38" s="170">
        <f t="shared" si="10"/>
        <v>33330</v>
      </c>
      <c r="AQ38" s="172">
        <f t="shared" si="11"/>
        <v>0</v>
      </c>
      <c r="AR38" s="173">
        <f t="shared" si="8"/>
        <v>0</v>
      </c>
      <c r="AS38" s="181"/>
      <c r="AT38" s="182"/>
      <c r="AU38" s="180" t="e">
        <f>VLOOKUP(D38,Sheet3!D:O,12,FALSE)</f>
        <v>#REF!</v>
      </c>
      <c r="AV38" s="180" t="e">
        <f t="shared" si="4"/>
        <v>#REF!</v>
      </c>
    </row>
    <row r="39" s="20" customFormat="1" ht="24" customHeight="1" spans="2:48">
      <c r="B39" s="48" t="s">
        <v>81</v>
      </c>
      <c r="C39" s="90" t="s">
        <v>212</v>
      </c>
      <c r="D39" s="126" t="s">
        <v>213</v>
      </c>
      <c r="E39" s="123"/>
      <c r="F39" s="135"/>
      <c r="G39" s="136"/>
      <c r="H39" s="147"/>
      <c r="I39" s="135"/>
      <c r="J39" s="136"/>
      <c r="K39" s="136"/>
      <c r="L39" s="145"/>
      <c r="M39" s="9"/>
      <c r="N39" s="124"/>
      <c r="O39" s="124"/>
      <c r="P39" s="124"/>
      <c r="Q39" s="124">
        <f>333353.62+336228.34</f>
        <v>669581.96</v>
      </c>
      <c r="R39" s="124">
        <v>334790.98</v>
      </c>
      <c r="S39" s="124"/>
      <c r="T39" s="124"/>
      <c r="U39" s="124">
        <v>167395.48</v>
      </c>
      <c r="V39" s="124"/>
      <c r="W39" s="124"/>
      <c r="X39" s="124"/>
      <c r="Y39" s="158"/>
      <c r="Z39" s="85"/>
      <c r="AA39" s="85"/>
      <c r="AB39" s="79"/>
      <c r="AC39" s="159"/>
      <c r="AD39" s="159"/>
      <c r="AE39" s="159"/>
      <c r="AF39" s="159"/>
      <c r="AG39" s="159"/>
      <c r="AH39" s="159"/>
      <c r="AI39" s="159">
        <v>333353.62</v>
      </c>
      <c r="AJ39" s="159">
        <f>336228.34+334790.98</f>
        <v>671019.32</v>
      </c>
      <c r="AK39" s="159"/>
      <c r="AL39" s="159"/>
      <c r="AM39" s="159"/>
      <c r="AN39" s="174"/>
      <c r="AO39" s="169">
        <f t="shared" si="9"/>
        <v>1171768.42</v>
      </c>
      <c r="AP39" s="170">
        <f t="shared" si="10"/>
        <v>1004372.94</v>
      </c>
      <c r="AQ39" s="172">
        <f t="shared" si="11"/>
        <v>167395.48</v>
      </c>
      <c r="AR39" s="173">
        <f t="shared" si="8"/>
        <v>-1.45519152283669e-10</v>
      </c>
      <c r="AS39" s="181"/>
      <c r="AT39" s="182"/>
      <c r="AU39" s="180">
        <f>VLOOKUP(D39,Sheet3!D:O,12,FALSE)</f>
        <v>337665.68</v>
      </c>
      <c r="AV39" s="180">
        <f t="shared" si="4"/>
        <v>-170270.2</v>
      </c>
    </row>
    <row r="40" s="20" customFormat="1" ht="24" customHeight="1" spans="2:48">
      <c r="B40" s="48" t="s">
        <v>81</v>
      </c>
      <c r="C40" s="90"/>
      <c r="D40" s="126" t="s">
        <v>214</v>
      </c>
      <c r="E40" s="123"/>
      <c r="F40" s="135"/>
      <c r="G40" s="136"/>
      <c r="H40" s="147"/>
      <c r="I40" s="135"/>
      <c r="J40" s="136"/>
      <c r="K40" s="136"/>
      <c r="L40" s="145"/>
      <c r="M40" s="9"/>
      <c r="N40" s="124"/>
      <c r="O40" s="124"/>
      <c r="P40" s="124"/>
      <c r="Q40" s="124"/>
      <c r="R40" s="124"/>
      <c r="S40" s="124"/>
      <c r="T40" s="124"/>
      <c r="U40" s="124"/>
      <c r="V40" s="124">
        <v>8818.54</v>
      </c>
      <c r="W40" s="124"/>
      <c r="X40" s="124"/>
      <c r="Y40" s="158"/>
      <c r="Z40" s="85"/>
      <c r="AA40" s="85"/>
      <c r="AB40" s="7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74"/>
      <c r="AO40" s="169">
        <f t="shared" ref="AO40:AO41" si="12">SUM(L40:X40)</f>
        <v>8818.54</v>
      </c>
      <c r="AP40" s="170">
        <f t="shared" ref="AP40:AP41" si="13">SUM(AC40:AN40)</f>
        <v>0</v>
      </c>
      <c r="AQ40" s="172">
        <f t="shared" ref="AQ40:AQ41" si="14">AO40-AP40</f>
        <v>8818.54</v>
      </c>
      <c r="AR40" s="173">
        <f t="shared" si="8"/>
        <v>8818.54</v>
      </c>
      <c r="AS40" s="181"/>
      <c r="AT40" s="182"/>
      <c r="AU40" s="180">
        <f>VLOOKUP(D40,Sheet3!D:O,12,FALSE)</f>
        <v>0</v>
      </c>
      <c r="AV40" s="180">
        <f t="shared" ref="AV40" si="15">AQ40-AU40</f>
        <v>8818.54</v>
      </c>
    </row>
    <row r="41" s="20" customFormat="1" ht="24" customHeight="1" spans="2:48">
      <c r="B41" s="129"/>
      <c r="C41" s="90" t="s">
        <v>215</v>
      </c>
      <c r="D41" s="127" t="s">
        <v>216</v>
      </c>
      <c r="E41" s="128"/>
      <c r="F41" s="137"/>
      <c r="G41" s="138"/>
      <c r="H41" s="148"/>
      <c r="I41" s="137"/>
      <c r="J41" s="138"/>
      <c r="K41" s="138"/>
      <c r="L41" s="203"/>
      <c r="M41" s="133"/>
      <c r="N41" s="134"/>
      <c r="O41" s="134"/>
      <c r="P41" s="134">
        <v>21584.03</v>
      </c>
      <c r="Q41" s="134">
        <f>100072.8+18481.78+105347.64</f>
        <v>223902.22</v>
      </c>
      <c r="R41" s="134"/>
      <c r="S41" s="134">
        <v>57132.12</v>
      </c>
      <c r="T41" s="134"/>
      <c r="U41" s="134"/>
      <c r="V41" s="134"/>
      <c r="W41" s="134"/>
      <c r="X41" s="134"/>
      <c r="Y41" s="158"/>
      <c r="Z41" s="85"/>
      <c r="AA41" s="85"/>
      <c r="AB41" s="85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>
        <v>150000</v>
      </c>
      <c r="AM41" s="159"/>
      <c r="AN41" s="174"/>
      <c r="AO41" s="169">
        <f t="shared" si="12"/>
        <v>302618.37</v>
      </c>
      <c r="AP41" s="170">
        <f t="shared" si="13"/>
        <v>150000</v>
      </c>
      <c r="AQ41" s="172">
        <f t="shared" si="14"/>
        <v>152618.37</v>
      </c>
      <c r="AR41" s="173">
        <f t="shared" si="8"/>
        <v>152618.37</v>
      </c>
      <c r="AS41" s="184"/>
      <c r="AT41" s="182"/>
      <c r="AU41" s="180"/>
      <c r="AV41" s="180"/>
    </row>
    <row r="42" s="20" customFormat="1" ht="24" customHeight="1" spans="2:48">
      <c r="B42" s="129"/>
      <c r="C42" s="90" t="s">
        <v>217</v>
      </c>
      <c r="D42" s="127" t="s">
        <v>218</v>
      </c>
      <c r="E42" s="128"/>
      <c r="F42" s="137"/>
      <c r="G42" s="138"/>
      <c r="H42" s="148"/>
      <c r="I42" s="137"/>
      <c r="J42" s="138"/>
      <c r="K42" s="138"/>
      <c r="L42" s="203"/>
      <c r="M42" s="133"/>
      <c r="N42" s="134"/>
      <c r="O42" s="134"/>
      <c r="P42" s="134"/>
      <c r="Q42" s="134"/>
      <c r="R42" s="134"/>
      <c r="S42" s="134"/>
      <c r="T42" s="134"/>
      <c r="U42" s="134"/>
      <c r="V42" s="134">
        <v>25628.4</v>
      </c>
      <c r="W42" s="134"/>
      <c r="X42" s="134"/>
      <c r="Y42" s="158"/>
      <c r="Z42" s="85"/>
      <c r="AA42" s="85"/>
      <c r="AB42" s="85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74"/>
      <c r="AO42" s="169">
        <f t="shared" ref="AO42" si="16">SUM(L42:X42)</f>
        <v>25628.4</v>
      </c>
      <c r="AP42" s="170">
        <f t="shared" ref="AP42" si="17">SUM(AC42:AN42)</f>
        <v>0</v>
      </c>
      <c r="AQ42" s="172">
        <f t="shared" ref="AQ42:AQ45" si="18">AO42-AP42</f>
        <v>25628.4</v>
      </c>
      <c r="AR42" s="173">
        <f t="shared" ref="AR42" si="19">AQ42-U42-V200</f>
        <v>25628.4</v>
      </c>
      <c r="AS42" s="184"/>
      <c r="AT42" s="182"/>
      <c r="AU42" s="180"/>
      <c r="AV42" s="180"/>
    </row>
    <row r="43" s="20" customFormat="1" ht="24" customHeight="1" spans="2:48">
      <c r="B43" s="129"/>
      <c r="C43" s="90"/>
      <c r="D43" s="127" t="s">
        <v>219</v>
      </c>
      <c r="E43" s="128"/>
      <c r="F43" s="137"/>
      <c r="G43" s="138"/>
      <c r="H43" s="148"/>
      <c r="I43" s="137"/>
      <c r="J43" s="138"/>
      <c r="K43" s="138"/>
      <c r="L43" s="203"/>
      <c r="M43" s="133"/>
      <c r="N43" s="134"/>
      <c r="O43" s="134"/>
      <c r="P43" s="134"/>
      <c r="Q43" s="134"/>
      <c r="R43" s="134"/>
      <c r="S43" s="134"/>
      <c r="T43" s="134"/>
      <c r="U43" s="134">
        <v>27400</v>
      </c>
      <c r="V43" s="134"/>
      <c r="W43" s="134"/>
      <c r="X43" s="134"/>
      <c r="Y43" s="158"/>
      <c r="Z43" s="85"/>
      <c r="AA43" s="85"/>
      <c r="AB43" s="85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/>
      <c r="AN43" s="174"/>
      <c r="AO43" s="169">
        <f t="shared" ref="AO43" si="20">SUM(L43:X43)</f>
        <v>27400</v>
      </c>
      <c r="AP43" s="170">
        <f t="shared" ref="AP43" si="21">SUM(AC43:AN43)</f>
        <v>0</v>
      </c>
      <c r="AQ43" s="172">
        <f t="shared" ref="AQ43" si="22">AO43-AP43</f>
        <v>27400</v>
      </c>
      <c r="AR43" s="173">
        <f t="shared" ref="AR43" si="23">AQ43-U43-V201</f>
        <v>0</v>
      </c>
      <c r="AS43" s="184"/>
      <c r="AT43" s="182"/>
      <c r="AU43" s="180"/>
      <c r="AV43" s="180"/>
    </row>
    <row r="44" s="20" customFormat="1" ht="24" customHeight="1" spans="2:48">
      <c r="B44" s="129"/>
      <c r="C44" s="90"/>
      <c r="D44" s="127" t="s">
        <v>220</v>
      </c>
      <c r="E44" s="128"/>
      <c r="F44" s="137"/>
      <c r="G44" s="138"/>
      <c r="H44" s="148"/>
      <c r="I44" s="137"/>
      <c r="J44" s="138"/>
      <c r="K44" s="148"/>
      <c r="L44" s="203"/>
      <c r="M44" s="133"/>
      <c r="N44" s="134"/>
      <c r="O44" s="134"/>
      <c r="P44" s="134"/>
      <c r="Q44" s="134"/>
      <c r="R44" s="134"/>
      <c r="S44" s="134"/>
      <c r="T44" s="139"/>
      <c r="U44" s="134"/>
      <c r="V44" s="134"/>
      <c r="W44" s="134"/>
      <c r="X44" s="134"/>
      <c r="Y44" s="158"/>
      <c r="Z44" s="85"/>
      <c r="AA44" s="85"/>
      <c r="AB44" s="85"/>
      <c r="AC44" s="159"/>
      <c r="AD44" s="159"/>
      <c r="AE44" s="159">
        <v>2542.2</v>
      </c>
      <c r="AF44" s="159"/>
      <c r="AG44" s="159"/>
      <c r="AH44" s="159"/>
      <c r="AI44" s="159"/>
      <c r="AJ44" s="159"/>
      <c r="AK44" s="159"/>
      <c r="AL44" s="159"/>
      <c r="AM44" s="159"/>
      <c r="AN44" s="174"/>
      <c r="AO44" s="169">
        <f t="shared" ref="AO44" si="24">SUM(L44:X44)</f>
        <v>0</v>
      </c>
      <c r="AP44" s="170">
        <f t="shared" ref="AP44" si="25">SUM(AC44:AN44)</f>
        <v>2542.2</v>
      </c>
      <c r="AQ44" s="172">
        <f t="shared" si="18"/>
        <v>-2542.2</v>
      </c>
      <c r="AR44" s="173">
        <v>0</v>
      </c>
      <c r="AS44" s="184"/>
      <c r="AT44" s="182"/>
      <c r="AU44" s="180"/>
      <c r="AV44" s="180"/>
    </row>
    <row r="45" s="20" customFormat="1" ht="24" customHeight="1" spans="2:48">
      <c r="B45" s="129" t="s">
        <v>81</v>
      </c>
      <c r="C45" s="90" t="s">
        <v>186</v>
      </c>
      <c r="D45" s="126" t="s">
        <v>187</v>
      </c>
      <c r="E45" s="123">
        <v>1745182.33</v>
      </c>
      <c r="F45" s="135">
        <v>1040684.8</v>
      </c>
      <c r="G45" s="136">
        <v>289573.8</v>
      </c>
      <c r="H45" s="147">
        <f>16000</f>
        <v>16000</v>
      </c>
      <c r="I45" s="135"/>
      <c r="J45" s="136"/>
      <c r="K45" s="147">
        <v>320129</v>
      </c>
      <c r="L45" s="145">
        <f t="shared" si="0"/>
        <v>2065311.33</v>
      </c>
      <c r="M45" s="9">
        <v>149456.06</v>
      </c>
      <c r="N45" s="124">
        <v>2056724.82</v>
      </c>
      <c r="O45" s="124">
        <v>197945.79</v>
      </c>
      <c r="P45" s="124">
        <v>311102.56</v>
      </c>
      <c r="Q45" s="124">
        <f>443106.62+11186.26</f>
        <v>454292.88</v>
      </c>
      <c r="R45" s="124">
        <f>198972.66+354266.3</f>
        <v>553238.96</v>
      </c>
      <c r="S45" s="124">
        <v>231220.6</v>
      </c>
      <c r="T45" s="124">
        <v>107564.34</v>
      </c>
      <c r="U45" s="124">
        <v>129079.9</v>
      </c>
      <c r="V45" s="124">
        <f>207174.2+538701.01</f>
        <v>745875.21</v>
      </c>
      <c r="W45" s="124"/>
      <c r="X45" s="124"/>
      <c r="Y45" s="158"/>
      <c r="Z45" s="85"/>
      <c r="AA45" s="79" t="s">
        <v>84</v>
      </c>
      <c r="AB45" s="79" t="s">
        <v>84</v>
      </c>
      <c r="AC45" s="159">
        <v>600000</v>
      </c>
      <c r="AD45" s="159"/>
      <c r="AE45" s="159">
        <f>378820-250000</f>
        <v>128820</v>
      </c>
      <c r="AF45" s="159"/>
      <c r="AG45" s="159">
        <v>10500</v>
      </c>
      <c r="AH45" s="159">
        <f>2239.89+12430</f>
        <v>14669.89</v>
      </c>
      <c r="AI45" s="159"/>
      <c r="AJ45" s="159">
        <f>200000+10638.96</f>
        <v>210638.96</v>
      </c>
      <c r="AK45" s="159">
        <v>200000</v>
      </c>
      <c r="AL45" s="159">
        <v>100000</v>
      </c>
      <c r="AM45" s="159"/>
      <c r="AN45" s="174"/>
      <c r="AO45" s="169">
        <f t="shared" si="9"/>
        <v>7001812.45</v>
      </c>
      <c r="AP45" s="170">
        <f t="shared" si="10"/>
        <v>1264628.85</v>
      </c>
      <c r="AQ45" s="172">
        <f t="shared" si="18"/>
        <v>5737183.6</v>
      </c>
      <c r="AR45" s="173">
        <f t="shared" ref="AR45" si="26">AQ45-U45-V201</f>
        <v>5608103.7</v>
      </c>
      <c r="AS45" s="181"/>
      <c r="AT45" s="182"/>
      <c r="AU45" s="180">
        <f>VLOOKUP(D45,Sheet3!D:O,12,FALSE)</f>
        <v>104394.1</v>
      </c>
      <c r="AV45" s="180">
        <f t="shared" si="4"/>
        <v>5632789.5</v>
      </c>
    </row>
    <row r="46" s="21" customFormat="1" ht="24" customHeight="1" spans="2:46">
      <c r="B46" s="92"/>
      <c r="C46" s="93"/>
      <c r="D46" s="94" t="s">
        <v>142</v>
      </c>
      <c r="E46" s="187">
        <f>SUM(E5:E45)</f>
        <v>2758142.22</v>
      </c>
      <c r="F46" s="188"/>
      <c r="G46" s="189">
        <f t="shared" ref="G46:AR46" si="27">SUM(G5:G45)</f>
        <v>333580.75</v>
      </c>
      <c r="H46" s="189">
        <f t="shared" si="27"/>
        <v>26937.5</v>
      </c>
      <c r="I46" s="189">
        <f t="shared" si="27"/>
        <v>755825</v>
      </c>
      <c r="J46" s="189">
        <f t="shared" si="27"/>
        <v>2155642.17</v>
      </c>
      <c r="K46" s="189">
        <f t="shared" si="27"/>
        <v>1552401.86</v>
      </c>
      <c r="L46" s="190">
        <f t="shared" si="27"/>
        <v>7222011.25</v>
      </c>
      <c r="M46" s="185">
        <f t="shared" si="27"/>
        <v>1749253.56</v>
      </c>
      <c r="N46" s="186">
        <f t="shared" si="27"/>
        <v>2509969.68</v>
      </c>
      <c r="O46" s="186">
        <f t="shared" si="27"/>
        <v>576568.25</v>
      </c>
      <c r="P46" s="186">
        <f t="shared" si="27"/>
        <v>2297881.43</v>
      </c>
      <c r="Q46" s="186">
        <f t="shared" si="27"/>
        <v>4769286.35</v>
      </c>
      <c r="R46" s="186">
        <f t="shared" si="27"/>
        <v>2950324.81</v>
      </c>
      <c r="S46" s="186">
        <f t="shared" si="27"/>
        <v>1354112.93</v>
      </c>
      <c r="T46" s="186">
        <f t="shared" si="27"/>
        <v>471784.75</v>
      </c>
      <c r="U46" s="186">
        <f t="shared" si="27"/>
        <v>1648823.32</v>
      </c>
      <c r="V46" s="186">
        <f t="shared" si="27"/>
        <v>2086087.6</v>
      </c>
      <c r="W46" s="186">
        <f t="shared" si="27"/>
        <v>0</v>
      </c>
      <c r="X46" s="186">
        <f t="shared" si="27"/>
        <v>0</v>
      </c>
      <c r="Y46" s="191">
        <f t="shared" si="27"/>
        <v>0</v>
      </c>
      <c r="Z46" s="192">
        <f t="shared" si="27"/>
        <v>0</v>
      </c>
      <c r="AA46" s="192">
        <f t="shared" si="27"/>
        <v>0</v>
      </c>
      <c r="AB46" s="192">
        <f t="shared" si="27"/>
        <v>0</v>
      </c>
      <c r="AC46" s="192">
        <f t="shared" si="27"/>
        <v>603390</v>
      </c>
      <c r="AD46" s="192">
        <f t="shared" si="27"/>
        <v>2159095.6</v>
      </c>
      <c r="AE46" s="192">
        <f t="shared" si="27"/>
        <v>2155410.69</v>
      </c>
      <c r="AF46" s="192">
        <f t="shared" si="27"/>
        <v>1214408.1</v>
      </c>
      <c r="AG46" s="192">
        <f t="shared" si="27"/>
        <v>1195377.39</v>
      </c>
      <c r="AH46" s="192">
        <f t="shared" si="27"/>
        <v>1177304</v>
      </c>
      <c r="AI46" s="192">
        <f t="shared" si="27"/>
        <v>1162488.58</v>
      </c>
      <c r="AJ46" s="192">
        <f t="shared" si="27"/>
        <v>3972454.69</v>
      </c>
      <c r="AK46" s="192">
        <f t="shared" si="27"/>
        <v>2462204.76</v>
      </c>
      <c r="AL46" s="192">
        <f t="shared" si="27"/>
        <v>2236666.65</v>
      </c>
      <c r="AM46" s="192">
        <f t="shared" si="27"/>
        <v>0</v>
      </c>
      <c r="AN46" s="195">
        <f t="shared" si="27"/>
        <v>0</v>
      </c>
      <c r="AO46" s="196">
        <f t="shared" si="27"/>
        <v>27636103.93</v>
      </c>
      <c r="AP46" s="197">
        <f t="shared" si="27"/>
        <v>18338800.46</v>
      </c>
      <c r="AQ46" s="104">
        <f t="shared" si="27"/>
        <v>9297303.47</v>
      </c>
      <c r="AR46" s="209">
        <f t="shared" si="27"/>
        <v>7697382.63</v>
      </c>
      <c r="AS46" s="199"/>
      <c r="AT46" s="200"/>
    </row>
    <row r="47" customHeight="1" spans="5:44">
      <c r="E47" s="99"/>
      <c r="F47" s="99"/>
      <c r="G47" s="99"/>
      <c r="H47" s="99"/>
      <c r="I47" s="99">
        <f>SUM(I5:I44)</f>
        <v>755825</v>
      </c>
      <c r="J47" s="99">
        <f t="shared" ref="J47:AR47" si="28">SUM(J5:J44)</f>
        <v>2155642.17</v>
      </c>
      <c r="K47" s="99">
        <f t="shared" si="28"/>
        <v>1232272.86</v>
      </c>
      <c r="L47" s="99">
        <f t="shared" si="28"/>
        <v>5156699.92</v>
      </c>
      <c r="M47" s="99">
        <f t="shared" si="28"/>
        <v>1599797.5</v>
      </c>
      <c r="N47" s="99">
        <f t="shared" si="28"/>
        <v>453244.86</v>
      </c>
      <c r="O47" s="99">
        <f t="shared" si="28"/>
        <v>378622.46</v>
      </c>
      <c r="P47" s="99">
        <f t="shared" si="28"/>
        <v>1986778.87</v>
      </c>
      <c r="Q47" s="99">
        <f t="shared" si="28"/>
        <v>4314993.47</v>
      </c>
      <c r="R47" s="99">
        <f t="shared" si="28"/>
        <v>2397085.85</v>
      </c>
      <c r="S47" s="99">
        <f t="shared" si="28"/>
        <v>1122892.33</v>
      </c>
      <c r="T47" s="99">
        <f t="shared" si="28"/>
        <v>364220.41</v>
      </c>
      <c r="U47" s="99">
        <f t="shared" si="28"/>
        <v>1519743.42</v>
      </c>
      <c r="V47" s="99">
        <f t="shared" si="28"/>
        <v>1340212.39</v>
      </c>
      <c r="W47" s="99">
        <f t="shared" si="28"/>
        <v>0</v>
      </c>
      <c r="X47" s="99">
        <f t="shared" si="28"/>
        <v>0</v>
      </c>
      <c r="Y47" s="99">
        <f t="shared" si="28"/>
        <v>0</v>
      </c>
      <c r="Z47" s="99">
        <f t="shared" si="28"/>
        <v>0</v>
      </c>
      <c r="AA47" s="99">
        <f t="shared" si="28"/>
        <v>0</v>
      </c>
      <c r="AB47" s="99">
        <f t="shared" si="28"/>
        <v>0</v>
      </c>
      <c r="AC47" s="99">
        <f t="shared" si="28"/>
        <v>3390</v>
      </c>
      <c r="AD47" s="99">
        <f t="shared" si="28"/>
        <v>2159095.6</v>
      </c>
      <c r="AE47" s="99">
        <f t="shared" si="28"/>
        <v>2026590.69</v>
      </c>
      <c r="AF47" s="99">
        <f t="shared" si="28"/>
        <v>1214408.1</v>
      </c>
      <c r="AG47" s="99">
        <f t="shared" si="28"/>
        <v>1184877.39</v>
      </c>
      <c r="AH47" s="99">
        <f t="shared" si="28"/>
        <v>1162634.11</v>
      </c>
      <c r="AI47" s="99">
        <f t="shared" si="28"/>
        <v>1162488.58</v>
      </c>
      <c r="AJ47" s="99">
        <f t="shared" si="28"/>
        <v>3761815.73</v>
      </c>
      <c r="AK47" s="99">
        <f t="shared" si="28"/>
        <v>2262204.76</v>
      </c>
      <c r="AL47" s="99">
        <f t="shared" si="28"/>
        <v>2136666.65</v>
      </c>
      <c r="AM47" s="99">
        <f t="shared" si="28"/>
        <v>0</v>
      </c>
      <c r="AN47" s="99">
        <f t="shared" si="28"/>
        <v>0</v>
      </c>
      <c r="AO47" s="99">
        <f t="shared" si="28"/>
        <v>20634291.48</v>
      </c>
      <c r="AP47" s="99">
        <f t="shared" si="28"/>
        <v>17074171.61</v>
      </c>
      <c r="AQ47" s="99">
        <f t="shared" si="28"/>
        <v>3560119.87</v>
      </c>
      <c r="AR47" s="99">
        <f t="shared" si="28"/>
        <v>2089278.93</v>
      </c>
    </row>
    <row r="48" customHeight="1" spans="5:24"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</row>
    <row r="49" ht="15.6" spans="4:45">
      <c r="D49" s="100" t="s">
        <v>143</v>
      </c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100"/>
      <c r="AP49" s="100"/>
      <c r="AQ49" s="100"/>
      <c r="AR49" s="100"/>
      <c r="AS49" s="100"/>
    </row>
    <row r="60" spans="2:45">
      <c r="B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</row>
    <row r="63" spans="2:45">
      <c r="B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</row>
  </sheetData>
  <autoFilter ref="A4:AV47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4">
    <cfRule type="duplicateValues" dxfId="0" priority="2"/>
  </conditionalFormatting>
  <conditionalFormatting sqref="D42:D43">
    <cfRule type="duplicateValues" dxfId="0" priority="1"/>
  </conditionalFormatting>
  <conditionalFormatting sqref="D1:D41 D45:D1048576">
    <cfRule type="duplicateValues" dxfId="0" priority="5"/>
  </conditionalFormatting>
  <conditionalFormatting sqref="AP1:AR1 AP48:AR1048576">
    <cfRule type="duplicateValues" dxfId="0" priority="3"/>
  </conditionalFormatting>
  <pageMargins left="0.7" right="0.7" top="0.75" bottom="0.75" header="0.3" footer="0.3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62"/>
  <sheetViews>
    <sheetView zoomScale="80" zoomScaleNormal="80" workbookViewId="0">
      <pane xSplit="4" ySplit="4" topLeftCell="AD5" activePane="bottomRight" state="frozen"/>
      <selection/>
      <selection pane="topRight"/>
      <selection pane="bottomLeft"/>
      <selection pane="bottomRight" activeCell="AR44" sqref="AR5:AR44"/>
    </sheetView>
  </sheetViews>
  <sheetFormatPr defaultColWidth="8" defaultRowHeight="15"/>
  <cols>
    <col min="1" max="1" width="1.4537037037037" style="22" customWidth="1"/>
    <col min="2" max="2" width="7.09259259259259" style="23" customWidth="1"/>
    <col min="3" max="3" width="10.6296296296296" style="22" customWidth="1"/>
    <col min="4" max="4" width="27.3611111111111" style="24" customWidth="1"/>
    <col min="5" max="6" width="13.9074074074074" style="111" customWidth="1"/>
    <col min="7" max="8" width="12.2685185185185" style="111" customWidth="1"/>
    <col min="9" max="9" width="13.9074074074074" style="111" customWidth="1"/>
    <col min="10" max="11" width="12.2685185185185" style="111" customWidth="1"/>
    <col min="12" max="22" width="14.2685185185185" style="111" customWidth="1"/>
    <col min="23" max="24" width="14.2685185185185" style="111" hidden="1" customWidth="1"/>
    <col min="25" max="25" width="3.62962962962963" style="22" customWidth="1"/>
    <col min="26" max="26" width="6.72222222222222" style="22" customWidth="1"/>
    <col min="27" max="28" width="4.72222222222222" style="22" customWidth="1"/>
    <col min="29" max="30" width="16.3611111111111" style="112" customWidth="1"/>
    <col min="31" max="38" width="13" style="112" customWidth="1"/>
    <col min="39" max="40" width="13" style="112" hidden="1" customWidth="1"/>
    <col min="41" max="44" width="17.2685185185185" style="24" customWidth="1"/>
    <col min="45" max="45" width="12.9074074074074" style="24" customWidth="1"/>
    <col min="46" max="46" width="15.7222222222222" style="22" customWidth="1"/>
    <col min="47" max="47" width="13.0925925925926" style="22" customWidth="1"/>
    <col min="48" max="48" width="13.9074074074074" style="22" customWidth="1"/>
    <col min="49" max="16384" width="8" style="22"/>
  </cols>
  <sheetData>
    <row r="1" ht="21" customHeight="1" spans="2:46">
      <c r="B1" s="113" t="s">
        <v>188</v>
      </c>
      <c r="C1" s="114"/>
      <c r="D1" s="114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4"/>
      <c r="Z1" s="114"/>
      <c r="AA1" s="114"/>
      <c r="AB1" s="114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4"/>
    </row>
    <row r="2" ht="18" customHeight="1" spans="2:46">
      <c r="B2" s="29" t="s">
        <v>1</v>
      </c>
      <c r="C2" s="30" t="s">
        <v>2</v>
      </c>
      <c r="D2" s="31" t="s">
        <v>3</v>
      </c>
      <c r="E2" s="116" t="s">
        <v>189</v>
      </c>
      <c r="F2" s="117"/>
      <c r="G2" s="117"/>
      <c r="H2" s="117"/>
      <c r="I2" s="140" t="s">
        <v>190</v>
      </c>
      <c r="J2" s="141"/>
      <c r="K2" s="141"/>
      <c r="L2" s="142"/>
      <c r="M2" s="116" t="s">
        <v>191</v>
      </c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51" t="s">
        <v>36</v>
      </c>
      <c r="Z2" s="64" t="s">
        <v>37</v>
      </c>
      <c r="AA2" s="64"/>
      <c r="AB2" s="64"/>
      <c r="AC2" s="152" t="s">
        <v>192</v>
      </c>
      <c r="AD2" s="152" t="s">
        <v>193</v>
      </c>
      <c r="AE2" s="152" t="s">
        <v>158</v>
      </c>
      <c r="AF2" s="152" t="s">
        <v>159</v>
      </c>
      <c r="AG2" s="152" t="s">
        <v>160</v>
      </c>
      <c r="AH2" s="152" t="s">
        <v>161</v>
      </c>
      <c r="AI2" s="152" t="s">
        <v>162</v>
      </c>
      <c r="AJ2" s="152" t="s">
        <v>163</v>
      </c>
      <c r="AK2" s="152" t="s">
        <v>164</v>
      </c>
      <c r="AL2" s="152" t="s">
        <v>165</v>
      </c>
      <c r="AM2" s="152" t="s">
        <v>166</v>
      </c>
      <c r="AN2" s="163" t="s">
        <v>167</v>
      </c>
      <c r="AO2" s="164"/>
      <c r="AP2" s="59"/>
      <c r="AQ2" s="59"/>
      <c r="AR2" s="59"/>
      <c r="AS2" s="175"/>
      <c r="AT2" s="67" t="s">
        <v>36</v>
      </c>
    </row>
    <row r="3" ht="31.5" customHeight="1" spans="2:46">
      <c r="B3" s="34"/>
      <c r="C3" s="35"/>
      <c r="D3" s="36"/>
      <c r="E3" s="118" t="s">
        <v>194</v>
      </c>
      <c r="F3" s="119" t="s">
        <v>195</v>
      </c>
      <c r="G3" s="119" t="s">
        <v>196</v>
      </c>
      <c r="H3" s="119" t="s">
        <v>197</v>
      </c>
      <c r="I3" s="202" t="s">
        <v>195</v>
      </c>
      <c r="J3" s="202" t="s">
        <v>196</v>
      </c>
      <c r="K3" s="202" t="s">
        <v>197</v>
      </c>
      <c r="L3" s="143" t="s">
        <v>198</v>
      </c>
      <c r="M3" s="118" t="s">
        <v>73</v>
      </c>
      <c r="N3" s="119" t="s">
        <v>74</v>
      </c>
      <c r="O3" s="119" t="s">
        <v>169</v>
      </c>
      <c r="P3" s="119" t="s">
        <v>170</v>
      </c>
      <c r="Q3" s="119" t="s">
        <v>171</v>
      </c>
      <c r="R3" s="119" t="s">
        <v>172</v>
      </c>
      <c r="S3" s="119" t="s">
        <v>173</v>
      </c>
      <c r="T3" s="119" t="s">
        <v>174</v>
      </c>
      <c r="U3" s="119" t="s">
        <v>175</v>
      </c>
      <c r="V3" s="119" t="s">
        <v>70</v>
      </c>
      <c r="W3" s="119" t="s">
        <v>71</v>
      </c>
      <c r="X3" s="119" t="s">
        <v>72</v>
      </c>
      <c r="Y3" s="153"/>
      <c r="Z3" s="154" t="s">
        <v>76</v>
      </c>
      <c r="AA3" s="154" t="s">
        <v>77</v>
      </c>
      <c r="AB3" s="154" t="s">
        <v>78</v>
      </c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65"/>
      <c r="AO3" s="166" t="s">
        <v>199</v>
      </c>
      <c r="AP3" s="56" t="s">
        <v>200</v>
      </c>
      <c r="AQ3" s="167" t="s">
        <v>201</v>
      </c>
      <c r="AR3" s="56" t="s">
        <v>202</v>
      </c>
      <c r="AS3" s="176" t="s">
        <v>203</v>
      </c>
      <c r="AT3" s="74"/>
    </row>
    <row r="4" ht="18" customHeight="1" spans="2:46">
      <c r="B4" s="34"/>
      <c r="C4" s="35"/>
      <c r="D4" s="36"/>
      <c r="E4" s="120"/>
      <c r="F4" s="121"/>
      <c r="G4" s="121"/>
      <c r="H4" s="121"/>
      <c r="I4" s="121"/>
      <c r="J4" s="121"/>
      <c r="K4" s="121"/>
      <c r="L4" s="144"/>
      <c r="M4" s="120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53"/>
      <c r="Z4" s="154"/>
      <c r="AA4" s="154"/>
      <c r="AB4" s="154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65"/>
      <c r="AO4" s="166"/>
      <c r="AP4" s="56"/>
      <c r="AQ4" s="167"/>
      <c r="AR4" s="56"/>
      <c r="AS4" s="176"/>
      <c r="AT4" s="74"/>
    </row>
    <row r="5" s="20" customFormat="1" ht="24" customHeight="1" spans="2:48">
      <c r="B5" s="42" t="s">
        <v>81</v>
      </c>
      <c r="C5" s="122" t="s">
        <v>82</v>
      </c>
      <c r="D5" s="43" t="s">
        <v>83</v>
      </c>
      <c r="E5" s="123">
        <v>0</v>
      </c>
      <c r="F5" s="135"/>
      <c r="G5" s="136"/>
      <c r="H5" s="136"/>
      <c r="I5" s="135"/>
      <c r="J5" s="136"/>
      <c r="K5" s="136"/>
      <c r="L5" s="145">
        <f>SUM(I5:K5)+E5</f>
        <v>0</v>
      </c>
      <c r="M5" s="9"/>
      <c r="N5" s="124"/>
      <c r="O5" s="124"/>
      <c r="P5" s="124"/>
      <c r="Q5" s="124">
        <v>41950</v>
      </c>
      <c r="R5" s="124"/>
      <c r="S5" s="124">
        <v>41950</v>
      </c>
      <c r="T5" s="124"/>
      <c r="U5" s="124">
        <v>41950</v>
      </c>
      <c r="V5" s="124"/>
      <c r="W5" s="124"/>
      <c r="X5" s="124"/>
      <c r="Y5" s="156"/>
      <c r="Z5" s="162"/>
      <c r="AA5" s="79"/>
      <c r="AB5" s="79" t="s">
        <v>84</v>
      </c>
      <c r="AC5" s="7"/>
      <c r="AD5" s="7"/>
      <c r="AE5" s="7"/>
      <c r="AF5" s="7"/>
      <c r="AG5" s="7"/>
      <c r="AH5" s="7"/>
      <c r="AI5" s="7"/>
      <c r="AJ5" s="7">
        <v>41950</v>
      </c>
      <c r="AK5" s="7"/>
      <c r="AL5" s="7"/>
      <c r="AM5" s="7"/>
      <c r="AN5" s="168"/>
      <c r="AO5" s="169">
        <f>SUM(L5:X5)</f>
        <v>125850</v>
      </c>
      <c r="AP5" s="170">
        <f>SUM(AC5:AN5)</f>
        <v>41950</v>
      </c>
      <c r="AQ5" s="172">
        <f>AO5-AP5</f>
        <v>83900</v>
      </c>
      <c r="AR5" s="173">
        <f>AQ5-U5-T5</f>
        <v>41950</v>
      </c>
      <c r="AS5" s="177" t="s">
        <v>85</v>
      </c>
      <c r="AT5" s="178"/>
      <c r="AU5" s="180">
        <f>VLOOKUP(D5,Sheet3!D:O,12,FALSE)</f>
        <v>0</v>
      </c>
      <c r="AV5" s="180">
        <f>AQ5-AU5</f>
        <v>83900</v>
      </c>
    </row>
    <row r="6" s="20" customFormat="1" ht="24" customHeight="1" spans="1:48">
      <c r="A6" s="132"/>
      <c r="B6" s="42" t="s">
        <v>81</v>
      </c>
      <c r="C6" s="122" t="s">
        <v>86</v>
      </c>
      <c r="D6" s="43" t="s">
        <v>87</v>
      </c>
      <c r="E6" s="123">
        <v>0</v>
      </c>
      <c r="F6" s="135">
        <v>561530.9</v>
      </c>
      <c r="G6" s="136"/>
      <c r="H6" s="136"/>
      <c r="I6" s="135"/>
      <c r="J6" s="136">
        <v>334593</v>
      </c>
      <c r="K6" s="136"/>
      <c r="L6" s="145">
        <f t="shared" ref="L6:L35" si="0">SUM(I6:K6)+E6</f>
        <v>334593</v>
      </c>
      <c r="M6" s="9">
        <f>191196+131339</f>
        <v>322535</v>
      </c>
      <c r="N6" s="124"/>
      <c r="O6" s="124"/>
      <c r="P6" s="124">
        <v>561985.73</v>
      </c>
      <c r="Q6" s="124">
        <f>120458+193659.4</f>
        <v>314117.4</v>
      </c>
      <c r="R6" s="124">
        <v>43086.9</v>
      </c>
      <c r="S6" s="150"/>
      <c r="T6" s="150"/>
      <c r="U6" s="124"/>
      <c r="V6" s="124"/>
      <c r="W6" s="124"/>
      <c r="X6" s="124"/>
      <c r="Y6" s="156"/>
      <c r="Z6" s="79"/>
      <c r="AA6" s="79"/>
      <c r="AB6" s="79" t="s">
        <v>84</v>
      </c>
      <c r="AC6" s="7"/>
      <c r="AD6" s="7">
        <v>334593</v>
      </c>
      <c r="AE6" s="7">
        <v>322535</v>
      </c>
      <c r="AF6" s="7"/>
      <c r="AG6" s="7"/>
      <c r="AH6" s="7"/>
      <c r="AI6" s="7"/>
      <c r="AJ6" s="7">
        <v>876103.13</v>
      </c>
      <c r="AK6" s="7">
        <v>43086.9</v>
      </c>
      <c r="AL6" s="7"/>
      <c r="AM6" s="7"/>
      <c r="AN6" s="168"/>
      <c r="AO6" s="169">
        <f t="shared" ref="AO6:AO35" si="1">SUM(L6:X6)</f>
        <v>1576318.03</v>
      </c>
      <c r="AP6" s="170">
        <f t="shared" ref="AP6:AP35" si="2">SUM(AC6:AN6)</f>
        <v>1576318.03</v>
      </c>
      <c r="AQ6" s="172">
        <f>AO6-AP6</f>
        <v>0</v>
      </c>
      <c r="AR6" s="173">
        <f t="shared" ref="AR6:AR16" si="3">AQ6-U6-T6</f>
        <v>0</v>
      </c>
      <c r="AS6" s="177" t="s">
        <v>85</v>
      </c>
      <c r="AT6" s="178"/>
      <c r="AU6" s="180">
        <f>VLOOKUP(D6,Sheet3!D:O,12,FALSE)</f>
        <v>0</v>
      </c>
      <c r="AV6" s="180">
        <f t="shared" ref="AV6:AV44" si="4">AQ6-AU6</f>
        <v>0</v>
      </c>
    </row>
    <row r="7" s="20" customFormat="1" ht="24" customHeight="1" spans="2:48">
      <c r="B7" s="42" t="s">
        <v>81</v>
      </c>
      <c r="C7" s="122" t="s">
        <v>88</v>
      </c>
      <c r="D7" s="43" t="s">
        <v>89</v>
      </c>
      <c r="E7" s="123">
        <v>0</v>
      </c>
      <c r="F7" s="135"/>
      <c r="G7" s="136"/>
      <c r="H7" s="136"/>
      <c r="I7" s="135"/>
      <c r="J7" s="136"/>
      <c r="K7" s="136"/>
      <c r="L7" s="145">
        <f t="shared" si="0"/>
        <v>0</v>
      </c>
      <c r="M7" s="9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56"/>
      <c r="Z7" s="79"/>
      <c r="AA7" s="79"/>
      <c r="AB7" s="79" t="s">
        <v>84</v>
      </c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168"/>
      <c r="AO7" s="169">
        <f t="shared" si="1"/>
        <v>0</v>
      </c>
      <c r="AP7" s="170">
        <f t="shared" si="2"/>
        <v>0</v>
      </c>
      <c r="AQ7" s="172">
        <f t="shared" ref="AQ7:AQ39" si="5">AO7-AP7</f>
        <v>0</v>
      </c>
      <c r="AR7" s="173">
        <f t="shared" si="3"/>
        <v>0</v>
      </c>
      <c r="AS7" s="177" t="s">
        <v>85</v>
      </c>
      <c r="AT7" s="178"/>
      <c r="AU7" s="180">
        <f>VLOOKUP(D7,Sheet3!D:O,12,FALSE)</f>
        <v>0</v>
      </c>
      <c r="AV7" s="180">
        <f t="shared" si="4"/>
        <v>0</v>
      </c>
    </row>
    <row r="8" s="20" customFormat="1" ht="24" customHeight="1" spans="2:48">
      <c r="B8" s="42" t="s">
        <v>81</v>
      </c>
      <c r="C8" s="122" t="s">
        <v>90</v>
      </c>
      <c r="D8" s="43" t="s">
        <v>91</v>
      </c>
      <c r="E8" s="123">
        <v>51022.6</v>
      </c>
      <c r="F8" s="135"/>
      <c r="G8" s="136"/>
      <c r="H8" s="136"/>
      <c r="I8" s="135"/>
      <c r="J8" s="136">
        <f>53675+103056</f>
        <v>156731</v>
      </c>
      <c r="K8" s="136"/>
      <c r="L8" s="145">
        <f t="shared" si="0"/>
        <v>207753.6</v>
      </c>
      <c r="M8" s="9"/>
      <c r="N8" s="124"/>
      <c r="O8" s="124">
        <v>40674.58</v>
      </c>
      <c r="P8" s="124"/>
      <c r="Q8" s="124"/>
      <c r="R8" s="124"/>
      <c r="S8" s="124"/>
      <c r="T8" s="124"/>
      <c r="U8" s="124"/>
      <c r="V8" s="124"/>
      <c r="W8" s="124"/>
      <c r="X8" s="124"/>
      <c r="Y8" s="156"/>
      <c r="Z8" s="79"/>
      <c r="AA8" s="79"/>
      <c r="AB8" s="79" t="s">
        <v>84</v>
      </c>
      <c r="AC8" s="7"/>
      <c r="AD8" s="7">
        <v>51022.6</v>
      </c>
      <c r="AE8" s="7"/>
      <c r="AF8" s="7"/>
      <c r="AG8" s="7"/>
      <c r="AH8" s="7"/>
      <c r="AI8" s="7"/>
      <c r="AJ8" s="7">
        <v>40000</v>
      </c>
      <c r="AK8" s="7">
        <v>156731</v>
      </c>
      <c r="AL8" s="7"/>
      <c r="AM8" s="7"/>
      <c r="AN8" s="168"/>
      <c r="AO8" s="169">
        <f t="shared" si="1"/>
        <v>248428.18</v>
      </c>
      <c r="AP8" s="170">
        <f t="shared" si="2"/>
        <v>247753.6</v>
      </c>
      <c r="AQ8" s="172">
        <f t="shared" si="5"/>
        <v>674.579999999987</v>
      </c>
      <c r="AR8" s="173">
        <f t="shared" si="3"/>
        <v>674.579999999987</v>
      </c>
      <c r="AS8" s="177" t="s">
        <v>85</v>
      </c>
      <c r="AT8" s="178"/>
      <c r="AU8" s="180">
        <f>VLOOKUP(D8,Sheet3!D:O,12,FALSE)</f>
        <v>188371</v>
      </c>
      <c r="AV8" s="180">
        <f t="shared" si="4"/>
        <v>-187696.42</v>
      </c>
    </row>
    <row r="9" s="20" customFormat="1" ht="24" customHeight="1" spans="2:48">
      <c r="B9" s="42" t="s">
        <v>81</v>
      </c>
      <c r="C9" s="122" t="s">
        <v>92</v>
      </c>
      <c r="D9" s="43" t="s">
        <v>93</v>
      </c>
      <c r="E9" s="123">
        <v>0</v>
      </c>
      <c r="F9" s="135"/>
      <c r="G9" s="136"/>
      <c r="H9" s="136"/>
      <c r="I9" s="135"/>
      <c r="J9" s="136">
        <v>15959.36</v>
      </c>
      <c r="K9" s="136"/>
      <c r="L9" s="145">
        <f t="shared" si="0"/>
        <v>15959.36</v>
      </c>
      <c r="M9" s="9"/>
      <c r="N9" s="124"/>
      <c r="O9" s="124">
        <v>5243.2</v>
      </c>
      <c r="P9" s="124"/>
      <c r="Q9" s="124"/>
      <c r="R9" s="124"/>
      <c r="S9" s="124"/>
      <c r="T9" s="124"/>
      <c r="U9" s="124"/>
      <c r="V9" s="124"/>
      <c r="W9" s="124"/>
      <c r="X9" s="124"/>
      <c r="Y9" s="156"/>
      <c r="Z9" s="79"/>
      <c r="AA9" s="79"/>
      <c r="AB9" s="79" t="s">
        <v>84</v>
      </c>
      <c r="AC9" s="7"/>
      <c r="AD9" s="7"/>
      <c r="AE9" s="7"/>
      <c r="AF9" s="7"/>
      <c r="AG9" s="7"/>
      <c r="AH9" s="7"/>
      <c r="AI9" s="7"/>
      <c r="AJ9" s="7"/>
      <c r="AK9" s="7"/>
      <c r="AL9" s="7">
        <v>21202.56</v>
      </c>
      <c r="AM9" s="7"/>
      <c r="AN9" s="168"/>
      <c r="AO9" s="169">
        <f t="shared" si="1"/>
        <v>21202.56</v>
      </c>
      <c r="AP9" s="170">
        <f t="shared" si="2"/>
        <v>21202.56</v>
      </c>
      <c r="AQ9" s="172">
        <f t="shared" si="5"/>
        <v>0</v>
      </c>
      <c r="AR9" s="173">
        <f t="shared" si="3"/>
        <v>0</v>
      </c>
      <c r="AS9" s="177" t="s">
        <v>85</v>
      </c>
      <c r="AT9" s="178"/>
      <c r="AU9" s="180">
        <f>VLOOKUP(D9,Sheet3!D:O,12,FALSE)</f>
        <v>49503.04</v>
      </c>
      <c r="AV9" s="180">
        <f t="shared" si="4"/>
        <v>-49503.04</v>
      </c>
    </row>
    <row r="10" s="20" customFormat="1" ht="24" customHeight="1" spans="2:48">
      <c r="B10" s="42" t="s">
        <v>81</v>
      </c>
      <c r="C10" s="122" t="s">
        <v>94</v>
      </c>
      <c r="D10" s="43" t="s">
        <v>95</v>
      </c>
      <c r="E10" s="123">
        <v>0</v>
      </c>
      <c r="F10" s="135"/>
      <c r="G10" s="136"/>
      <c r="H10" s="136"/>
      <c r="I10" s="135"/>
      <c r="J10" s="136"/>
      <c r="K10" s="136"/>
      <c r="L10" s="145">
        <f t="shared" si="0"/>
        <v>0</v>
      </c>
      <c r="M10" s="9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56"/>
      <c r="Z10" s="79"/>
      <c r="AA10" s="79"/>
      <c r="AB10" s="79" t="s">
        <v>84</v>
      </c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168"/>
      <c r="AO10" s="169">
        <f t="shared" si="1"/>
        <v>0</v>
      </c>
      <c r="AP10" s="170">
        <f t="shared" si="2"/>
        <v>0</v>
      </c>
      <c r="AQ10" s="172">
        <f t="shared" si="5"/>
        <v>0</v>
      </c>
      <c r="AR10" s="173">
        <f t="shared" si="3"/>
        <v>0</v>
      </c>
      <c r="AS10" s="177" t="s">
        <v>96</v>
      </c>
      <c r="AT10" s="178"/>
      <c r="AU10" s="180">
        <f>VLOOKUP(D10,Sheet3!D:O,12,FALSE)</f>
        <v>0</v>
      </c>
      <c r="AV10" s="180">
        <f t="shared" si="4"/>
        <v>0</v>
      </c>
    </row>
    <row r="11" s="20" customFormat="1" ht="24" customHeight="1" spans="2:48">
      <c r="B11" s="42" t="s">
        <v>81</v>
      </c>
      <c r="C11" s="122" t="s">
        <v>97</v>
      </c>
      <c r="D11" s="43" t="s">
        <v>98</v>
      </c>
      <c r="E11" s="123">
        <v>0</v>
      </c>
      <c r="F11" s="135"/>
      <c r="G11" s="136"/>
      <c r="H11" s="136"/>
      <c r="I11" s="135">
        <v>39998.95</v>
      </c>
      <c r="J11" s="136"/>
      <c r="K11" s="136"/>
      <c r="L11" s="145">
        <f t="shared" si="0"/>
        <v>39998.95</v>
      </c>
      <c r="M11" s="9"/>
      <c r="N11" s="124"/>
      <c r="O11" s="124"/>
      <c r="P11" s="124"/>
      <c r="Q11" s="124"/>
      <c r="R11" s="124"/>
      <c r="S11" s="124"/>
      <c r="T11" s="124"/>
      <c r="U11" s="124">
        <v>4865.78</v>
      </c>
      <c r="V11" s="124"/>
      <c r="W11" s="124"/>
      <c r="X11" s="124"/>
      <c r="Y11" s="156"/>
      <c r="Z11" s="79"/>
      <c r="AA11" s="79"/>
      <c r="AB11" s="79" t="s">
        <v>84</v>
      </c>
      <c r="AC11" s="7"/>
      <c r="AD11" s="7">
        <v>39998.95</v>
      </c>
      <c r="AE11" s="7"/>
      <c r="AF11" s="7"/>
      <c r="AG11" s="7"/>
      <c r="AH11" s="7"/>
      <c r="AI11" s="7"/>
      <c r="AJ11" s="7"/>
      <c r="AK11" s="7"/>
      <c r="AL11" s="7"/>
      <c r="AM11" s="7"/>
      <c r="AN11" s="168"/>
      <c r="AO11" s="169">
        <f t="shared" si="1"/>
        <v>44864.73</v>
      </c>
      <c r="AP11" s="170">
        <f t="shared" si="2"/>
        <v>39998.95</v>
      </c>
      <c r="AQ11" s="172">
        <f t="shared" si="5"/>
        <v>4865.78</v>
      </c>
      <c r="AR11" s="173">
        <f t="shared" si="3"/>
        <v>-9.09494701772928e-13</v>
      </c>
      <c r="AS11" s="177" t="s">
        <v>85</v>
      </c>
      <c r="AT11" s="178"/>
      <c r="AU11" s="180">
        <f>VLOOKUP(D11,Sheet3!D:O,12,FALSE)</f>
        <v>4520</v>
      </c>
      <c r="AV11" s="180">
        <f t="shared" si="4"/>
        <v>345.779999999999</v>
      </c>
    </row>
    <row r="12" s="20" customFormat="1" ht="24" customHeight="1" spans="2:48">
      <c r="B12" s="42" t="s">
        <v>81</v>
      </c>
      <c r="C12" s="122" t="s">
        <v>99</v>
      </c>
      <c r="D12" s="43" t="s">
        <v>100</v>
      </c>
      <c r="E12" s="123">
        <v>0</v>
      </c>
      <c r="F12" s="135">
        <v>9322.5</v>
      </c>
      <c r="G12" s="136"/>
      <c r="H12" s="136"/>
      <c r="I12" s="135"/>
      <c r="J12" s="136"/>
      <c r="K12" s="136"/>
      <c r="L12" s="145">
        <f t="shared" si="0"/>
        <v>0</v>
      </c>
      <c r="M12" s="9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56"/>
      <c r="Z12" s="79"/>
      <c r="AA12" s="79"/>
      <c r="AB12" s="79" t="s">
        <v>84</v>
      </c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168"/>
      <c r="AO12" s="169">
        <f t="shared" si="1"/>
        <v>0</v>
      </c>
      <c r="AP12" s="170">
        <f t="shared" si="2"/>
        <v>0</v>
      </c>
      <c r="AQ12" s="172">
        <f t="shared" si="5"/>
        <v>0</v>
      </c>
      <c r="AR12" s="173">
        <f t="shared" si="3"/>
        <v>0</v>
      </c>
      <c r="AS12" s="177" t="s">
        <v>101</v>
      </c>
      <c r="AT12" s="178"/>
      <c r="AU12" s="180">
        <f>VLOOKUP(D12,Sheet3!D:O,12,FALSE)</f>
        <v>0</v>
      </c>
      <c r="AV12" s="180">
        <f t="shared" si="4"/>
        <v>0</v>
      </c>
    </row>
    <row r="13" s="20" customFormat="1" ht="24" customHeight="1" spans="2:48">
      <c r="B13" s="42" t="s">
        <v>81</v>
      </c>
      <c r="C13" s="122" t="s">
        <v>105</v>
      </c>
      <c r="D13" s="43" t="s">
        <v>106</v>
      </c>
      <c r="E13" s="123">
        <v>83003.9599999996</v>
      </c>
      <c r="F13" s="135">
        <v>127463.01</v>
      </c>
      <c r="G13" s="136"/>
      <c r="H13" s="136"/>
      <c r="I13" s="135">
        <v>72568.4</v>
      </c>
      <c r="J13" s="136">
        <v>101651.24</v>
      </c>
      <c r="K13" s="136"/>
      <c r="L13" s="145">
        <f t="shared" si="0"/>
        <v>257223.6</v>
      </c>
      <c r="M13" s="9">
        <f>81484.05+157016.28</f>
        <v>238500.33</v>
      </c>
      <c r="N13" s="124"/>
      <c r="O13" s="124">
        <v>44482.97</v>
      </c>
      <c r="P13" s="124">
        <v>105602.27</v>
      </c>
      <c r="Q13" s="124">
        <v>183228.64</v>
      </c>
      <c r="R13" s="124">
        <v>165595.12</v>
      </c>
      <c r="S13" s="124">
        <v>146213.94</v>
      </c>
      <c r="T13" s="124"/>
      <c r="U13" s="124"/>
      <c r="V13" s="124"/>
      <c r="W13" s="124"/>
      <c r="X13" s="124"/>
      <c r="Y13" s="156"/>
      <c r="Z13" s="79"/>
      <c r="AA13" s="79"/>
      <c r="AB13" s="79" t="s">
        <v>84</v>
      </c>
      <c r="AC13" s="7"/>
      <c r="AD13" s="7">
        <v>60000</v>
      </c>
      <c r="AE13" s="7">
        <v>200000</v>
      </c>
      <c r="AF13" s="7"/>
      <c r="AG13" s="7"/>
      <c r="AH13" s="7">
        <v>200000</v>
      </c>
      <c r="AI13" s="7">
        <v>75000</v>
      </c>
      <c r="AJ13" s="7">
        <v>180000</v>
      </c>
      <c r="AK13" s="7">
        <v>150000</v>
      </c>
      <c r="AL13" s="7"/>
      <c r="AM13" s="7"/>
      <c r="AN13" s="168"/>
      <c r="AO13" s="169">
        <f t="shared" si="1"/>
        <v>1140846.87</v>
      </c>
      <c r="AP13" s="170">
        <f t="shared" si="2"/>
        <v>865000</v>
      </c>
      <c r="AQ13" s="172">
        <f t="shared" si="5"/>
        <v>275846.87</v>
      </c>
      <c r="AR13" s="173">
        <f t="shared" si="3"/>
        <v>275846.87</v>
      </c>
      <c r="AS13" s="177" t="s">
        <v>85</v>
      </c>
      <c r="AT13" s="178"/>
      <c r="AU13" s="180">
        <f>VLOOKUP(D13,Sheet3!D:O,12,FALSE)</f>
        <v>310820.26</v>
      </c>
      <c r="AV13" s="180">
        <f t="shared" si="4"/>
        <v>-34973.3900000004</v>
      </c>
    </row>
    <row r="14" s="20" customFormat="1" ht="24" customHeight="1" spans="2:48">
      <c r="B14" s="42" t="s">
        <v>81</v>
      </c>
      <c r="C14" s="122" t="s">
        <v>107</v>
      </c>
      <c r="D14" s="43" t="s">
        <v>108</v>
      </c>
      <c r="E14" s="123">
        <v>0</v>
      </c>
      <c r="F14" s="135">
        <v>274834.08</v>
      </c>
      <c r="G14" s="136"/>
      <c r="H14" s="136"/>
      <c r="I14" s="135"/>
      <c r="J14" s="136">
        <v>275114</v>
      </c>
      <c r="K14" s="136">
        <v>384487.79</v>
      </c>
      <c r="L14" s="145">
        <f t="shared" si="0"/>
        <v>659601.79</v>
      </c>
      <c r="M14" s="9">
        <v>274834.08</v>
      </c>
      <c r="N14" s="124">
        <v>219867.26</v>
      </c>
      <c r="O14" s="124"/>
      <c r="P14" s="124">
        <v>219867.26</v>
      </c>
      <c r="Q14" s="124">
        <v>549668.16</v>
      </c>
      <c r="R14" s="124">
        <v>404006.1</v>
      </c>
      <c r="S14" s="124">
        <v>329800.9</v>
      </c>
      <c r="T14" s="124">
        <v>54966.82</v>
      </c>
      <c r="U14" s="124">
        <v>54966.82</v>
      </c>
      <c r="V14" s="124">
        <v>219867.26</v>
      </c>
      <c r="W14" s="124"/>
      <c r="X14" s="124"/>
      <c r="Y14" s="156"/>
      <c r="Z14" s="79"/>
      <c r="AA14" s="79"/>
      <c r="AB14" s="79" t="s">
        <v>84</v>
      </c>
      <c r="AC14" s="7"/>
      <c r="AD14" s="7">
        <v>200000</v>
      </c>
      <c r="AE14" s="7">
        <v>459601.79</v>
      </c>
      <c r="AF14" s="7">
        <v>274834.08</v>
      </c>
      <c r="AG14" s="7">
        <v>219867.26</v>
      </c>
      <c r="AH14" s="7"/>
      <c r="AI14" s="7">
        <v>219867.26</v>
      </c>
      <c r="AJ14" s="7">
        <v>549668.16</v>
      </c>
      <c r="AK14" s="7">
        <v>458972.92</v>
      </c>
      <c r="AL14" s="7">
        <v>274834.08</v>
      </c>
      <c r="AM14" s="7"/>
      <c r="AN14" s="168"/>
      <c r="AO14" s="169">
        <f t="shared" si="1"/>
        <v>2987446.45</v>
      </c>
      <c r="AP14" s="170">
        <f t="shared" si="2"/>
        <v>2657645.55</v>
      </c>
      <c r="AQ14" s="172">
        <f t="shared" si="5"/>
        <v>329800.9</v>
      </c>
      <c r="AR14" s="173">
        <f t="shared" si="3"/>
        <v>219867.26</v>
      </c>
      <c r="AS14" s="177" t="s">
        <v>85</v>
      </c>
      <c r="AT14" s="178"/>
      <c r="AU14" s="180">
        <f>VLOOKUP(D14,Sheet3!D:O,12,FALSE)</f>
        <v>494786.71</v>
      </c>
      <c r="AV14" s="180">
        <f t="shared" si="4"/>
        <v>-164985.81</v>
      </c>
    </row>
    <row r="15" s="20" customFormat="1" ht="24" customHeight="1" spans="2:48">
      <c r="B15" s="42" t="s">
        <v>81</v>
      </c>
      <c r="C15" s="122" t="s">
        <v>109</v>
      </c>
      <c r="D15" s="43" t="s">
        <v>204</v>
      </c>
      <c r="E15" s="123">
        <v>24.7300000000541</v>
      </c>
      <c r="F15" s="135">
        <v>46967.34</v>
      </c>
      <c r="G15" s="136">
        <v>15405.75</v>
      </c>
      <c r="H15" s="136">
        <v>10937.5</v>
      </c>
      <c r="I15" s="135"/>
      <c r="J15" s="136"/>
      <c r="K15" s="136">
        <v>16455.51</v>
      </c>
      <c r="L15" s="145">
        <f t="shared" si="0"/>
        <v>16480.2400000001</v>
      </c>
      <c r="M15" s="9"/>
      <c r="N15" s="124">
        <f>7685.81-0.99</f>
        <v>7684.82</v>
      </c>
      <c r="O15" s="124">
        <f>16159+17289</f>
        <v>33448</v>
      </c>
      <c r="P15" s="124">
        <v>13901.26</v>
      </c>
      <c r="Q15" s="124">
        <f>11300+13749.84</f>
        <v>25049.84</v>
      </c>
      <c r="R15" s="124">
        <v>33765.53</v>
      </c>
      <c r="S15" s="124"/>
      <c r="T15" s="124">
        <v>22780.8</v>
      </c>
      <c r="U15" s="124"/>
      <c r="V15" s="124"/>
      <c r="W15" s="124"/>
      <c r="X15" s="124"/>
      <c r="Y15" s="156"/>
      <c r="Z15" s="79"/>
      <c r="AA15" s="79"/>
      <c r="AB15" s="79" t="s">
        <v>84</v>
      </c>
      <c r="AC15" s="7"/>
      <c r="AD15" s="7">
        <v>16455.51</v>
      </c>
      <c r="AE15" s="7">
        <v>7684.82</v>
      </c>
      <c r="AF15" s="7">
        <v>33448</v>
      </c>
      <c r="AG15" s="7">
        <v>25201.26</v>
      </c>
      <c r="AH15" s="7">
        <v>13749.84</v>
      </c>
      <c r="AI15" s="7">
        <v>33765.53</v>
      </c>
      <c r="AJ15" s="7"/>
      <c r="AK15" s="7">
        <v>22780.8</v>
      </c>
      <c r="AL15" s="7"/>
      <c r="AM15" s="7"/>
      <c r="AN15" s="168"/>
      <c r="AO15" s="169">
        <f t="shared" si="1"/>
        <v>153110.49</v>
      </c>
      <c r="AP15" s="170">
        <f t="shared" si="2"/>
        <v>153085.76</v>
      </c>
      <c r="AQ15" s="172">
        <f t="shared" si="5"/>
        <v>24.7300000000687</v>
      </c>
      <c r="AR15" s="173">
        <f>AQ15</f>
        <v>24.7300000000687</v>
      </c>
      <c r="AS15" s="177" t="s">
        <v>111</v>
      </c>
      <c r="AT15" s="178"/>
      <c r="AU15" s="180">
        <f>VLOOKUP(D15,Sheet3!D:O,12,FALSE)</f>
        <v>62.7</v>
      </c>
      <c r="AV15" s="180">
        <f t="shared" si="4"/>
        <v>-37.9699999999313</v>
      </c>
    </row>
    <row r="16" s="20" customFormat="1" ht="24" customHeight="1" spans="2:48">
      <c r="B16" s="42" t="s">
        <v>81</v>
      </c>
      <c r="C16" s="122" t="s">
        <v>112</v>
      </c>
      <c r="D16" s="43" t="s">
        <v>113</v>
      </c>
      <c r="E16" s="123">
        <v>379687.2</v>
      </c>
      <c r="F16" s="135">
        <v>173327.19</v>
      </c>
      <c r="G16" s="136"/>
      <c r="H16" s="136"/>
      <c r="I16" s="135"/>
      <c r="J16" s="136">
        <f>44175.26+85444.78</f>
        <v>129620.04</v>
      </c>
      <c r="K16" s="136"/>
      <c r="L16" s="145">
        <f t="shared" si="0"/>
        <v>509307.24</v>
      </c>
      <c r="M16" s="9">
        <v>41693.56</v>
      </c>
      <c r="N16" s="124"/>
      <c r="O16" s="124"/>
      <c r="P16" s="124">
        <v>68983.39</v>
      </c>
      <c r="Q16" s="124">
        <f>93334.56</f>
        <v>93334.56</v>
      </c>
      <c r="R16" s="124">
        <f>95831.35+42720.16</f>
        <v>138551.51</v>
      </c>
      <c r="S16" s="124">
        <v>90801.54</v>
      </c>
      <c r="T16" s="124">
        <v>20924.89</v>
      </c>
      <c r="U16" s="124"/>
      <c r="V16" s="124"/>
      <c r="W16" s="124"/>
      <c r="X16" s="124"/>
      <c r="Y16" s="156"/>
      <c r="Z16" s="79"/>
      <c r="AA16" s="79"/>
      <c r="AB16" s="79" t="s">
        <v>84</v>
      </c>
      <c r="AC16" s="7"/>
      <c r="AD16" s="7">
        <v>300000</v>
      </c>
      <c r="AE16" s="7"/>
      <c r="AF16" s="7"/>
      <c r="AG16" s="7"/>
      <c r="AH16" s="7">
        <v>150000</v>
      </c>
      <c r="AI16" s="7"/>
      <c r="AJ16" s="7"/>
      <c r="AK16" s="7">
        <v>200000</v>
      </c>
      <c r="AL16" s="7"/>
      <c r="AM16" s="7"/>
      <c r="AN16" s="168"/>
      <c r="AO16" s="169">
        <f t="shared" si="1"/>
        <v>963596.69</v>
      </c>
      <c r="AP16" s="170">
        <f t="shared" si="2"/>
        <v>650000</v>
      </c>
      <c r="AQ16" s="172">
        <f t="shared" si="5"/>
        <v>313596.69</v>
      </c>
      <c r="AR16" s="173">
        <f t="shared" si="3"/>
        <v>292671.8</v>
      </c>
      <c r="AS16" s="177" t="s">
        <v>85</v>
      </c>
      <c r="AT16" s="178"/>
      <c r="AU16" s="180">
        <f>VLOOKUP(D16,Sheet3!D:O,12,FALSE)</f>
        <v>205279.13</v>
      </c>
      <c r="AV16" s="180">
        <f t="shared" si="4"/>
        <v>108317.56</v>
      </c>
    </row>
    <row r="17" s="20" customFormat="1" ht="24" customHeight="1" spans="2:48">
      <c r="B17" s="42" t="s">
        <v>81</v>
      </c>
      <c r="C17" s="122" t="s">
        <v>114</v>
      </c>
      <c r="D17" s="43" t="s">
        <v>115</v>
      </c>
      <c r="E17" s="123">
        <v>268.440000000061</v>
      </c>
      <c r="F17" s="135"/>
      <c r="G17" s="136"/>
      <c r="H17" s="136"/>
      <c r="I17" s="135">
        <v>290622.44</v>
      </c>
      <c r="J17" s="136"/>
      <c r="K17" s="136"/>
      <c r="L17" s="145">
        <f t="shared" si="0"/>
        <v>290890.88</v>
      </c>
      <c r="M17" s="9">
        <v>306840.2</v>
      </c>
      <c r="N17" s="124"/>
      <c r="O17" s="124"/>
      <c r="P17" s="124"/>
      <c r="Q17" s="124">
        <v>109158</v>
      </c>
      <c r="R17" s="124"/>
      <c r="S17" s="124"/>
      <c r="T17" s="124"/>
      <c r="U17" s="124"/>
      <c r="V17" s="124"/>
      <c r="W17" s="124"/>
      <c r="X17" s="124"/>
      <c r="Y17" s="156"/>
      <c r="Z17" s="79"/>
      <c r="AA17" s="79"/>
      <c r="AB17" s="79" t="s">
        <v>84</v>
      </c>
      <c r="AC17" s="7"/>
      <c r="AD17" s="7">
        <v>100000</v>
      </c>
      <c r="AE17" s="7">
        <v>297731.38</v>
      </c>
      <c r="AF17" s="7"/>
      <c r="AG17" s="7">
        <v>199999.7</v>
      </c>
      <c r="AH17" s="7"/>
      <c r="AI17" s="7"/>
      <c r="AJ17" s="7">
        <v>109158</v>
      </c>
      <c r="AK17" s="7"/>
      <c r="AL17" s="7"/>
      <c r="AM17" s="7"/>
      <c r="AN17" s="168"/>
      <c r="AO17" s="169">
        <f t="shared" si="1"/>
        <v>706889.08</v>
      </c>
      <c r="AP17" s="170">
        <f t="shared" si="2"/>
        <v>706889.08</v>
      </c>
      <c r="AQ17" s="172">
        <f t="shared" si="5"/>
        <v>0</v>
      </c>
      <c r="AR17" s="173">
        <f t="shared" ref="AR17:AR24" si="6">AQ17-U17-V174</f>
        <v>0</v>
      </c>
      <c r="AS17" s="177" t="s">
        <v>85</v>
      </c>
      <c r="AT17" s="178"/>
      <c r="AU17" s="180">
        <f>VLOOKUP(D17,Sheet3!D:O,12,FALSE)</f>
        <v>193535.11</v>
      </c>
      <c r="AV17" s="180">
        <f t="shared" si="4"/>
        <v>-193535.11</v>
      </c>
    </row>
    <row r="18" s="20" customFormat="1" ht="24" customHeight="1" spans="2:48">
      <c r="B18" s="42" t="s">
        <v>81</v>
      </c>
      <c r="C18" s="122" t="s">
        <v>116</v>
      </c>
      <c r="D18" s="43" t="s">
        <v>205</v>
      </c>
      <c r="E18" s="123">
        <v>36671.4</v>
      </c>
      <c r="F18" s="135"/>
      <c r="G18" s="136">
        <v>28601.2</v>
      </c>
      <c r="H18" s="136"/>
      <c r="I18" s="135"/>
      <c r="J18" s="136"/>
      <c r="K18" s="136"/>
      <c r="L18" s="145">
        <f t="shared" si="0"/>
        <v>36671.4</v>
      </c>
      <c r="M18" s="9">
        <v>19717.03</v>
      </c>
      <c r="N18" s="124"/>
      <c r="O18" s="124"/>
      <c r="P18" s="124"/>
      <c r="Q18" s="124">
        <v>32724.8</v>
      </c>
      <c r="R18" s="124"/>
      <c r="S18" s="124">
        <v>31278.4</v>
      </c>
      <c r="T18" s="124"/>
      <c r="U18" s="124">
        <v>9119.1</v>
      </c>
      <c r="V18" s="124"/>
      <c r="W18" s="124"/>
      <c r="X18" s="124"/>
      <c r="Y18" s="156"/>
      <c r="Z18" s="79"/>
      <c r="AA18" s="79"/>
      <c r="AB18" s="79" t="s">
        <v>84</v>
      </c>
      <c r="AC18" s="7"/>
      <c r="AD18" s="7">
        <f>20000+8070.2</f>
        <v>28070.2</v>
      </c>
      <c r="AE18" s="7"/>
      <c r="AF18" s="7"/>
      <c r="AG18" s="7"/>
      <c r="AH18" s="7"/>
      <c r="AI18" s="7"/>
      <c r="AJ18" s="7">
        <v>61043.03</v>
      </c>
      <c r="AK18" s="7"/>
      <c r="AL18" s="7"/>
      <c r="AM18" s="7"/>
      <c r="AN18" s="168"/>
      <c r="AO18" s="169">
        <f t="shared" si="1"/>
        <v>129510.73</v>
      </c>
      <c r="AP18" s="170">
        <f t="shared" si="2"/>
        <v>89113.23</v>
      </c>
      <c r="AQ18" s="172">
        <f t="shared" si="5"/>
        <v>40397.5</v>
      </c>
      <c r="AR18" s="173">
        <f t="shared" si="6"/>
        <v>31278.4</v>
      </c>
      <c r="AS18" s="177" t="s">
        <v>85</v>
      </c>
      <c r="AT18" s="178"/>
      <c r="AU18" s="180">
        <f>VLOOKUP(D18,Sheet3!D:O,12,FALSE)</f>
        <v>0</v>
      </c>
      <c r="AV18" s="180">
        <f t="shared" si="4"/>
        <v>40397.5</v>
      </c>
    </row>
    <row r="19" s="20" customFormat="1" ht="24" customHeight="1" spans="2:48">
      <c r="B19" s="42" t="s">
        <v>81</v>
      </c>
      <c r="C19" s="122" t="s">
        <v>118</v>
      </c>
      <c r="D19" s="43" t="s">
        <v>119</v>
      </c>
      <c r="E19" s="123">
        <v>283331</v>
      </c>
      <c r="F19" s="135"/>
      <c r="G19" s="136"/>
      <c r="H19" s="136"/>
      <c r="I19" s="135"/>
      <c r="J19" s="136"/>
      <c r="K19" s="136"/>
      <c r="L19" s="145">
        <f t="shared" si="0"/>
        <v>283331</v>
      </c>
      <c r="M19" s="9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56"/>
      <c r="Z19" s="79"/>
      <c r="AA19" s="79"/>
      <c r="AB19" s="79" t="s">
        <v>84</v>
      </c>
      <c r="AC19" s="7"/>
      <c r="AD19" s="7">
        <v>100000</v>
      </c>
      <c r="AE19" s="7">
        <v>100000</v>
      </c>
      <c r="AF19" s="7"/>
      <c r="AG19" s="7"/>
      <c r="AH19" s="7"/>
      <c r="AI19" s="7"/>
      <c r="AJ19" s="7">
        <v>83331</v>
      </c>
      <c r="AK19" s="7"/>
      <c r="AL19" s="7"/>
      <c r="AM19" s="7"/>
      <c r="AN19" s="168"/>
      <c r="AO19" s="169">
        <f t="shared" si="1"/>
        <v>283331</v>
      </c>
      <c r="AP19" s="170">
        <f t="shared" si="2"/>
        <v>283331</v>
      </c>
      <c r="AQ19" s="172">
        <f t="shared" si="5"/>
        <v>0</v>
      </c>
      <c r="AR19" s="173">
        <f t="shared" si="6"/>
        <v>0</v>
      </c>
      <c r="AS19" s="177" t="s">
        <v>85</v>
      </c>
      <c r="AT19" s="178"/>
      <c r="AU19" s="180">
        <f>VLOOKUP(D19,Sheet3!D:O,12,FALSE)</f>
        <v>0</v>
      </c>
      <c r="AV19" s="180">
        <f t="shared" si="4"/>
        <v>0</v>
      </c>
    </row>
    <row r="20" s="20" customFormat="1" ht="24" customHeight="1" spans="2:48">
      <c r="B20" s="48" t="s">
        <v>81</v>
      </c>
      <c r="C20" s="122" t="s">
        <v>120</v>
      </c>
      <c r="D20" s="43" t="s">
        <v>121</v>
      </c>
      <c r="E20" s="123">
        <v>0</v>
      </c>
      <c r="F20" s="135"/>
      <c r="G20" s="136"/>
      <c r="H20" s="136"/>
      <c r="I20" s="135"/>
      <c r="J20" s="136"/>
      <c r="K20" s="136"/>
      <c r="L20" s="145">
        <f t="shared" si="0"/>
        <v>0</v>
      </c>
      <c r="M20" s="9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56"/>
      <c r="Z20" s="79"/>
      <c r="AA20" s="79"/>
      <c r="AB20" s="79" t="s">
        <v>84</v>
      </c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168"/>
      <c r="AO20" s="169">
        <f t="shared" si="1"/>
        <v>0</v>
      </c>
      <c r="AP20" s="170">
        <f t="shared" si="2"/>
        <v>0</v>
      </c>
      <c r="AQ20" s="172">
        <f t="shared" si="5"/>
        <v>0</v>
      </c>
      <c r="AR20" s="173">
        <f t="shared" si="6"/>
        <v>0</v>
      </c>
      <c r="AS20" s="177" t="s">
        <v>85</v>
      </c>
      <c r="AT20" s="178"/>
      <c r="AU20" s="180">
        <f>VLOOKUP(D20,Sheet3!D:O,12,FALSE)</f>
        <v>0</v>
      </c>
      <c r="AV20" s="180">
        <f t="shared" si="4"/>
        <v>0</v>
      </c>
    </row>
    <row r="21" s="20" customFormat="1" ht="24" customHeight="1" spans="2:48">
      <c r="B21" s="48" t="s">
        <v>81</v>
      </c>
      <c r="C21" s="122" t="s">
        <v>122</v>
      </c>
      <c r="D21" s="43" t="s">
        <v>123</v>
      </c>
      <c r="E21" s="123">
        <v>568253.28</v>
      </c>
      <c r="F21" s="135">
        <v>568253.28</v>
      </c>
      <c r="G21" s="136"/>
      <c r="H21" s="136"/>
      <c r="I21" s="135"/>
      <c r="J21" s="136">
        <v>285575.32</v>
      </c>
      <c r="K21" s="136">
        <v>401604.1</v>
      </c>
      <c r="L21" s="145">
        <f t="shared" si="0"/>
        <v>1255432.7</v>
      </c>
      <c r="M21" s="9">
        <v>199090.48</v>
      </c>
      <c r="N21" s="124">
        <v>169506.78</v>
      </c>
      <c r="O21" s="124"/>
      <c r="P21" s="124">
        <v>422660.9</v>
      </c>
      <c r="Q21" s="124">
        <v>819237.83</v>
      </c>
      <c r="R21" s="124">
        <v>486674.09</v>
      </c>
      <c r="S21" s="124">
        <f>108777.24+108777.24+72151.07</f>
        <v>289705.55</v>
      </c>
      <c r="T21" s="124">
        <f>41724.12+92223.82</f>
        <v>133947.94</v>
      </c>
      <c r="U21" s="124">
        <f>91620.4+61839.2+110446.2</f>
        <v>263905.8</v>
      </c>
      <c r="V21" s="124">
        <f>61285.37+108657.35</f>
        <v>169942.72</v>
      </c>
      <c r="W21" s="124"/>
      <c r="X21" s="124"/>
      <c r="Y21" s="156"/>
      <c r="Z21" s="79"/>
      <c r="AA21" s="79"/>
      <c r="AB21" s="79" t="s">
        <v>84</v>
      </c>
      <c r="AC21" s="7"/>
      <c r="AD21" s="7">
        <v>400000</v>
      </c>
      <c r="AE21" s="7">
        <v>453828.6</v>
      </c>
      <c r="AF21" s="7">
        <v>401604.1</v>
      </c>
      <c r="AG21" s="7">
        <v>368597.26</v>
      </c>
      <c r="AH21" s="7">
        <v>401604.1</v>
      </c>
      <c r="AI21" s="7"/>
      <c r="AJ21" s="7">
        <v>500000</v>
      </c>
      <c r="AK21" s="7">
        <v>741898.73</v>
      </c>
      <c r="AL21" s="7">
        <v>374775.54</v>
      </c>
      <c r="AM21" s="7"/>
      <c r="AN21" s="168"/>
      <c r="AO21" s="169">
        <f t="shared" si="1"/>
        <v>4210104.79</v>
      </c>
      <c r="AP21" s="170">
        <f t="shared" si="2"/>
        <v>3642308.33</v>
      </c>
      <c r="AQ21" s="172">
        <f t="shared" si="5"/>
        <v>567796.46</v>
      </c>
      <c r="AR21" s="173">
        <f t="shared" si="6"/>
        <v>303890.66</v>
      </c>
      <c r="AS21" s="177" t="s">
        <v>85</v>
      </c>
      <c r="AT21" s="178"/>
      <c r="AU21" s="180">
        <f>VLOOKUP(D21,Sheet3!D:O,12,FALSE)</f>
        <v>355657.92</v>
      </c>
      <c r="AV21" s="180">
        <f t="shared" si="4"/>
        <v>212138.54</v>
      </c>
    </row>
    <row r="22" s="20" customFormat="1" ht="24" customHeight="1" spans="2:48">
      <c r="B22" s="48" t="s">
        <v>81</v>
      </c>
      <c r="C22" s="122" t="s">
        <v>124</v>
      </c>
      <c r="D22" s="43" t="s">
        <v>125</v>
      </c>
      <c r="E22" s="123">
        <v>7726.19999999992</v>
      </c>
      <c r="F22" s="135">
        <v>38917.2</v>
      </c>
      <c r="G22" s="136"/>
      <c r="H22" s="136"/>
      <c r="I22" s="135">
        <v>22401.12</v>
      </c>
      <c r="J22" s="136"/>
      <c r="K22" s="136"/>
      <c r="L22" s="145">
        <f t="shared" si="0"/>
        <v>30127.3199999999</v>
      </c>
      <c r="M22" s="9"/>
      <c r="N22" s="124"/>
      <c r="O22" s="124">
        <f>25248.72+13288.8</f>
        <v>38537.52</v>
      </c>
      <c r="P22" s="124"/>
      <c r="Q22" s="124"/>
      <c r="R22" s="124">
        <v>53060.28</v>
      </c>
      <c r="S22" s="124"/>
      <c r="T22" s="124"/>
      <c r="U22" s="124"/>
      <c r="V22" s="124"/>
      <c r="W22" s="124"/>
      <c r="X22" s="124"/>
      <c r="Y22" s="156"/>
      <c r="Z22" s="79"/>
      <c r="AA22" s="79"/>
      <c r="AB22" s="79" t="s">
        <v>84</v>
      </c>
      <c r="AC22" s="7"/>
      <c r="AD22" s="7">
        <v>23000</v>
      </c>
      <c r="AE22" s="7"/>
      <c r="AF22" s="7"/>
      <c r="AG22" s="7"/>
      <c r="AH22" s="7"/>
      <c r="AI22" s="7"/>
      <c r="AJ22" s="7">
        <v>60938.64</v>
      </c>
      <c r="AK22" s="7"/>
      <c r="AL22" s="7"/>
      <c r="AM22" s="7"/>
      <c r="AN22" s="168"/>
      <c r="AO22" s="169">
        <f t="shared" si="1"/>
        <v>121725.12</v>
      </c>
      <c r="AP22" s="170">
        <f t="shared" si="2"/>
        <v>83938.64</v>
      </c>
      <c r="AQ22" s="172">
        <f t="shared" si="5"/>
        <v>37786.4799999999</v>
      </c>
      <c r="AR22" s="173">
        <f t="shared" si="6"/>
        <v>37786.4799999999</v>
      </c>
      <c r="AS22" s="177" t="s">
        <v>85</v>
      </c>
      <c r="AT22" s="178"/>
      <c r="AU22" s="180">
        <f>VLOOKUP(D22,Sheet3!D:O,12,FALSE)</f>
        <v>43378.44</v>
      </c>
      <c r="AV22" s="180">
        <f t="shared" si="4"/>
        <v>-5591.96000000008</v>
      </c>
    </row>
    <row r="23" s="20" customFormat="1" ht="24" customHeight="1" spans="2:48">
      <c r="B23" s="48" t="s">
        <v>81</v>
      </c>
      <c r="C23" s="122" t="s">
        <v>126</v>
      </c>
      <c r="D23" s="43" t="s">
        <v>127</v>
      </c>
      <c r="E23" s="123">
        <v>0</v>
      </c>
      <c r="F23" s="135">
        <v>5455.64</v>
      </c>
      <c r="G23" s="136"/>
      <c r="H23" s="136"/>
      <c r="I23" s="135"/>
      <c r="J23" s="136"/>
      <c r="K23" s="136"/>
      <c r="L23" s="145">
        <f t="shared" si="0"/>
        <v>0</v>
      </c>
      <c r="M23" s="9"/>
      <c r="N23" s="124"/>
      <c r="O23" s="124"/>
      <c r="P23" s="124"/>
      <c r="Q23" s="124">
        <v>5455.64</v>
      </c>
      <c r="R23" s="124"/>
      <c r="S23" s="124"/>
      <c r="T23" s="124"/>
      <c r="U23" s="124"/>
      <c r="V23" s="124"/>
      <c r="W23" s="124"/>
      <c r="X23" s="124"/>
      <c r="Y23" s="156"/>
      <c r="Z23" s="79"/>
      <c r="AA23" s="79"/>
      <c r="AB23" s="79" t="s">
        <v>84</v>
      </c>
      <c r="AC23" s="7"/>
      <c r="AD23" s="7"/>
      <c r="AE23" s="7"/>
      <c r="AF23" s="7">
        <v>5455.64</v>
      </c>
      <c r="AG23" s="7"/>
      <c r="AH23" s="7"/>
      <c r="AI23" s="7"/>
      <c r="AJ23" s="7"/>
      <c r="AK23" s="7"/>
      <c r="AL23" s="7"/>
      <c r="AM23" s="7"/>
      <c r="AN23" s="168"/>
      <c r="AO23" s="169">
        <f t="shared" si="1"/>
        <v>5455.64</v>
      </c>
      <c r="AP23" s="170">
        <f t="shared" si="2"/>
        <v>5455.64</v>
      </c>
      <c r="AQ23" s="172">
        <f t="shared" si="5"/>
        <v>0</v>
      </c>
      <c r="AR23" s="173">
        <f t="shared" si="6"/>
        <v>0</v>
      </c>
      <c r="AS23" s="177" t="s">
        <v>96</v>
      </c>
      <c r="AT23" s="178"/>
      <c r="AU23" s="180">
        <f>VLOOKUP(D23,Sheet3!D:O,12,FALSE)</f>
        <v>0</v>
      </c>
      <c r="AV23" s="180">
        <f t="shared" si="4"/>
        <v>0</v>
      </c>
    </row>
    <row r="24" s="20" customFormat="1" ht="24" customHeight="1" spans="2:48">
      <c r="B24" s="48" t="s">
        <v>81</v>
      </c>
      <c r="C24" s="122" t="s">
        <v>128</v>
      </c>
      <c r="D24" s="43" t="s">
        <v>129</v>
      </c>
      <c r="E24" s="123">
        <v>74904.3</v>
      </c>
      <c r="F24" s="135">
        <v>72360.68</v>
      </c>
      <c r="G24" s="136"/>
      <c r="H24" s="136"/>
      <c r="I24" s="135"/>
      <c r="J24" s="136"/>
      <c r="K24" s="146"/>
      <c r="L24" s="145">
        <f t="shared" si="0"/>
        <v>74904.3</v>
      </c>
      <c r="M24" s="9"/>
      <c r="N24" s="124"/>
      <c r="O24" s="124"/>
      <c r="P24" s="124">
        <v>34952.03</v>
      </c>
      <c r="Q24" s="124">
        <v>60294.54</v>
      </c>
      <c r="R24" s="124"/>
      <c r="S24" s="124"/>
      <c r="T24" s="124"/>
      <c r="U24" s="124"/>
      <c r="V24" s="124"/>
      <c r="W24" s="124"/>
      <c r="X24" s="124"/>
      <c r="Y24" s="156"/>
      <c r="Z24" s="79"/>
      <c r="AA24" s="79"/>
      <c r="AB24" s="79" t="s">
        <v>84</v>
      </c>
      <c r="AC24" s="7"/>
      <c r="AD24" s="7">
        <v>74904.3</v>
      </c>
      <c r="AE24" s="7"/>
      <c r="AF24" s="7"/>
      <c r="AG24" s="7">
        <v>34952.03</v>
      </c>
      <c r="AH24" s="7"/>
      <c r="AI24" s="7"/>
      <c r="AJ24" s="7">
        <v>60294.54</v>
      </c>
      <c r="AK24" s="7"/>
      <c r="AL24" s="7"/>
      <c r="AM24" s="7"/>
      <c r="AN24" s="168"/>
      <c r="AO24" s="169">
        <f t="shared" si="1"/>
        <v>170150.87</v>
      </c>
      <c r="AP24" s="170">
        <f t="shared" si="2"/>
        <v>170150.87</v>
      </c>
      <c r="AQ24" s="172">
        <f t="shared" si="5"/>
        <v>0</v>
      </c>
      <c r="AR24" s="173">
        <f t="shared" si="6"/>
        <v>0</v>
      </c>
      <c r="AS24" s="177" t="s">
        <v>85</v>
      </c>
      <c r="AT24" s="178"/>
      <c r="AU24" s="180">
        <f>VLOOKUP(D24,Sheet3!D:O,12,FALSE)</f>
        <v>112483.76</v>
      </c>
      <c r="AV24" s="180">
        <f t="shared" si="4"/>
        <v>-112483.76</v>
      </c>
    </row>
    <row r="25" s="20" customFormat="1" ht="24" customHeight="1" spans="2:48">
      <c r="B25" s="48" t="s">
        <v>81</v>
      </c>
      <c r="C25" s="122" t="s">
        <v>130</v>
      </c>
      <c r="D25" s="43" t="s">
        <v>131</v>
      </c>
      <c r="E25" s="123">
        <v>-15576.8</v>
      </c>
      <c r="F25" s="135"/>
      <c r="G25" s="136"/>
      <c r="H25" s="136"/>
      <c r="I25" s="135">
        <v>2500</v>
      </c>
      <c r="J25" s="136">
        <v>1000</v>
      </c>
      <c r="K25" s="136"/>
      <c r="L25" s="145">
        <f t="shared" si="0"/>
        <v>-12076.8</v>
      </c>
      <c r="M25" s="9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56"/>
      <c r="Z25" s="79"/>
      <c r="AA25" s="79"/>
      <c r="AB25" s="79" t="s">
        <v>84</v>
      </c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168"/>
      <c r="AO25" s="169">
        <f t="shared" si="1"/>
        <v>-12076.8</v>
      </c>
      <c r="AP25" s="170">
        <f t="shared" si="2"/>
        <v>0</v>
      </c>
      <c r="AQ25" s="172">
        <f t="shared" si="5"/>
        <v>-12076.8</v>
      </c>
      <c r="AR25" s="173">
        <v>0</v>
      </c>
      <c r="AS25" s="177" t="s">
        <v>85</v>
      </c>
      <c r="AT25" s="178"/>
      <c r="AU25" s="180">
        <f>VLOOKUP(D25,Sheet3!D:O,12,FALSE)</f>
        <v>2000</v>
      </c>
      <c r="AV25" s="180">
        <f t="shared" si="4"/>
        <v>-14076.8</v>
      </c>
    </row>
    <row r="26" s="20" customFormat="1" ht="24" customHeight="1" spans="2:48">
      <c r="B26" s="42" t="s">
        <v>81</v>
      </c>
      <c r="C26" s="122" t="s">
        <v>102</v>
      </c>
      <c r="D26" s="50" t="s">
        <v>103</v>
      </c>
      <c r="E26" s="123">
        <v>-818228.05</v>
      </c>
      <c r="F26" s="135"/>
      <c r="G26" s="136"/>
      <c r="H26" s="136"/>
      <c r="I26" s="135">
        <v>327734.09</v>
      </c>
      <c r="J26" s="136">
        <v>216787.22</v>
      </c>
      <c r="K26" s="136">
        <v>273706.82</v>
      </c>
      <c r="L26" s="145">
        <f t="shared" si="0"/>
        <v>0.0800000000745058</v>
      </c>
      <c r="M26" s="9">
        <v>56034.82</v>
      </c>
      <c r="N26" s="9">
        <v>51304.4</v>
      </c>
      <c r="O26" s="124">
        <v>63529.76</v>
      </c>
      <c r="P26" s="124">
        <v>243381.98</v>
      </c>
      <c r="Q26" s="124">
        <v>377470.62</v>
      </c>
      <c r="R26" s="124">
        <v>353804.17</v>
      </c>
      <c r="S26" s="124">
        <v>14195.88</v>
      </c>
      <c r="T26" s="124">
        <v>47482.76</v>
      </c>
      <c r="U26" s="124"/>
      <c r="V26" s="124"/>
      <c r="W26" s="124"/>
      <c r="X26" s="124"/>
      <c r="Y26" s="156"/>
      <c r="Z26" s="79"/>
      <c r="AA26" s="79"/>
      <c r="AB26" s="79" t="s">
        <v>84</v>
      </c>
      <c r="AC26" s="7"/>
      <c r="AD26" s="7">
        <v>56034.8</v>
      </c>
      <c r="AE26" s="7">
        <v>51304.4</v>
      </c>
      <c r="AF26" s="7">
        <v>63529.78</v>
      </c>
      <c r="AG26" s="7">
        <v>243382</v>
      </c>
      <c r="AH26" s="7">
        <v>377470.59</v>
      </c>
      <c r="AI26" s="7">
        <v>353804.19</v>
      </c>
      <c r="AJ26" s="7">
        <v>14195.87</v>
      </c>
      <c r="AK26" s="7">
        <v>47482.78</v>
      </c>
      <c r="AL26" s="7"/>
      <c r="AM26" s="7"/>
      <c r="AN26" s="168"/>
      <c r="AO26" s="169">
        <f t="shared" si="1"/>
        <v>1207204.47</v>
      </c>
      <c r="AP26" s="170">
        <f t="shared" si="2"/>
        <v>1207204.41</v>
      </c>
      <c r="AQ26" s="172">
        <f t="shared" si="5"/>
        <v>0.0599999998230487</v>
      </c>
      <c r="AR26" s="173">
        <f t="shared" ref="AR26:AR33" si="7">AQ26-U26-V183</f>
        <v>0.0599999998230487</v>
      </c>
      <c r="AS26" s="177" t="s">
        <v>104</v>
      </c>
      <c r="AT26" s="178"/>
      <c r="AU26" s="180">
        <f>VLOOKUP(D26,Sheet3!D:O,12,FALSE)</f>
        <v>79072.23</v>
      </c>
      <c r="AV26" s="180">
        <f t="shared" si="4"/>
        <v>-79072.1700000002</v>
      </c>
    </row>
    <row r="27" s="20" customFormat="1" ht="24" customHeight="1" spans="2:48">
      <c r="B27" s="48" t="s">
        <v>81</v>
      </c>
      <c r="C27" s="122" t="s">
        <v>132</v>
      </c>
      <c r="D27" s="50" t="s">
        <v>133</v>
      </c>
      <c r="E27" s="123">
        <v>341946.18</v>
      </c>
      <c r="F27" s="135">
        <v>160618.2</v>
      </c>
      <c r="G27" s="136"/>
      <c r="H27" s="136"/>
      <c r="I27" s="135"/>
      <c r="J27" s="136">
        <v>4283.15</v>
      </c>
      <c r="K27" s="136"/>
      <c r="L27" s="145">
        <f t="shared" si="0"/>
        <v>346229.33</v>
      </c>
      <c r="M27" s="9"/>
      <c r="N27" s="124"/>
      <c r="O27" s="124"/>
      <c r="P27" s="124"/>
      <c r="Q27" s="124">
        <v>256989.12</v>
      </c>
      <c r="R27" s="124">
        <v>224865.48</v>
      </c>
      <c r="S27" s="124"/>
      <c r="T27" s="124"/>
      <c r="U27" s="124"/>
      <c r="V27" s="124"/>
      <c r="W27" s="124"/>
      <c r="X27" s="124"/>
      <c r="Y27" s="156"/>
      <c r="Z27" s="79"/>
      <c r="AA27" s="79"/>
      <c r="AB27" s="79" t="s">
        <v>84</v>
      </c>
      <c r="AC27" s="7"/>
      <c r="AD27" s="7">
        <v>535.4</v>
      </c>
      <c r="AE27" s="7"/>
      <c r="AF27" s="7"/>
      <c r="AG27" s="7">
        <v>3212.38</v>
      </c>
      <c r="AH27" s="7">
        <v>19809.58</v>
      </c>
      <c r="AI27" s="7">
        <v>146697.98</v>
      </c>
      <c r="AJ27" s="7">
        <v>4283.14</v>
      </c>
      <c r="AK27" s="7">
        <v>535.4</v>
      </c>
      <c r="AL27" s="7"/>
      <c r="AM27" s="7"/>
      <c r="AN27" s="168"/>
      <c r="AO27" s="169">
        <f t="shared" si="1"/>
        <v>828083.93</v>
      </c>
      <c r="AP27" s="170">
        <f t="shared" si="2"/>
        <v>175073.88</v>
      </c>
      <c r="AQ27" s="172">
        <f t="shared" si="5"/>
        <v>653010.05</v>
      </c>
      <c r="AR27" s="173">
        <f t="shared" si="7"/>
        <v>653010.05</v>
      </c>
      <c r="AS27" s="177" t="s">
        <v>104</v>
      </c>
      <c r="AT27" s="178"/>
      <c r="AU27" s="180">
        <f>VLOOKUP(D27,Sheet3!D:O,12,FALSE)</f>
        <v>0</v>
      </c>
      <c r="AV27" s="180">
        <f t="shared" si="4"/>
        <v>653010.05</v>
      </c>
    </row>
    <row r="28" s="20" customFormat="1" ht="24" customHeight="1" spans="2:48">
      <c r="B28" s="48" t="s">
        <v>134</v>
      </c>
      <c r="C28" s="122">
        <v>1951024</v>
      </c>
      <c r="D28" s="43" t="s">
        <v>206</v>
      </c>
      <c r="E28" s="123">
        <v>0</v>
      </c>
      <c r="F28" s="135"/>
      <c r="G28" s="136"/>
      <c r="H28" s="136"/>
      <c r="I28" s="135"/>
      <c r="J28" s="136"/>
      <c r="K28" s="136"/>
      <c r="L28" s="145">
        <f t="shared" si="0"/>
        <v>0</v>
      </c>
      <c r="M28" s="9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56"/>
      <c r="Z28" s="79"/>
      <c r="AA28" s="79"/>
      <c r="AB28" s="79" t="s">
        <v>84</v>
      </c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168"/>
      <c r="AO28" s="169">
        <f t="shared" si="1"/>
        <v>0</v>
      </c>
      <c r="AP28" s="170">
        <f t="shared" si="2"/>
        <v>0</v>
      </c>
      <c r="AQ28" s="172">
        <f t="shared" si="5"/>
        <v>0</v>
      </c>
      <c r="AR28" s="173">
        <f t="shared" si="7"/>
        <v>0</v>
      </c>
      <c r="AS28" s="177" t="s">
        <v>111</v>
      </c>
      <c r="AT28" s="178"/>
      <c r="AU28" s="180">
        <f>VLOOKUP(D28,Sheet3!D:O,12,FALSE)</f>
        <v>0</v>
      </c>
      <c r="AV28" s="180">
        <f t="shared" si="4"/>
        <v>0</v>
      </c>
    </row>
    <row r="29" s="20" customFormat="1" ht="24" customHeight="1" spans="2:48">
      <c r="B29" s="48" t="s">
        <v>81</v>
      </c>
      <c r="C29" s="125" t="s">
        <v>136</v>
      </c>
      <c r="D29" s="126" t="s">
        <v>137</v>
      </c>
      <c r="E29" s="123">
        <v>44955.1399999999</v>
      </c>
      <c r="F29" s="135">
        <v>91703.4</v>
      </c>
      <c r="G29" s="136"/>
      <c r="H29" s="136"/>
      <c r="I29" s="135"/>
      <c r="J29" s="136"/>
      <c r="K29" s="136"/>
      <c r="L29" s="145">
        <f t="shared" si="0"/>
        <v>44955.1399999999</v>
      </c>
      <c r="M29" s="9"/>
      <c r="N29" s="124"/>
      <c r="O29" s="124"/>
      <c r="P29" s="124"/>
      <c r="Q29" s="124">
        <f>92579.77+96240.97</f>
        <v>188820.74</v>
      </c>
      <c r="R29" s="124">
        <v>48959.29</v>
      </c>
      <c r="S29" s="124"/>
      <c r="T29" s="124"/>
      <c r="U29" s="124">
        <f>90144.65+73031.61+49069.12</f>
        <v>212245.38</v>
      </c>
      <c r="V29" s="124">
        <v>58699</v>
      </c>
      <c r="W29" s="124"/>
      <c r="X29" s="124"/>
      <c r="Y29" s="158"/>
      <c r="Z29" s="85"/>
      <c r="AA29" s="85"/>
      <c r="AB29" s="79" t="s">
        <v>84</v>
      </c>
      <c r="AC29" s="159"/>
      <c r="AD29" s="159">
        <v>70000</v>
      </c>
      <c r="AE29" s="7"/>
      <c r="AF29" s="7"/>
      <c r="AG29" s="7"/>
      <c r="AH29" s="7"/>
      <c r="AI29" s="7"/>
      <c r="AJ29" s="7"/>
      <c r="AK29" s="7">
        <v>150000</v>
      </c>
      <c r="AL29" s="7"/>
      <c r="AM29" s="7"/>
      <c r="AN29" s="168"/>
      <c r="AO29" s="169">
        <f t="shared" si="1"/>
        <v>553679.55</v>
      </c>
      <c r="AP29" s="170">
        <f t="shared" si="2"/>
        <v>220000</v>
      </c>
      <c r="AQ29" s="172">
        <f t="shared" si="5"/>
        <v>333679.55</v>
      </c>
      <c r="AR29" s="173">
        <f t="shared" si="7"/>
        <v>121434.17</v>
      </c>
      <c r="AS29" s="181" t="s">
        <v>85</v>
      </c>
      <c r="AT29" s="182"/>
      <c r="AU29" s="180">
        <f>VLOOKUP(D29,Sheet3!D:O,12,FALSE)</f>
        <v>341680.9</v>
      </c>
      <c r="AV29" s="180">
        <f t="shared" si="4"/>
        <v>-8001.35000000021</v>
      </c>
    </row>
    <row r="30" s="20" customFormat="1" ht="24" customHeight="1" spans="2:48">
      <c r="B30" s="48" t="s">
        <v>81</v>
      </c>
      <c r="C30" s="125" t="s">
        <v>138</v>
      </c>
      <c r="D30" s="126" t="s">
        <v>139</v>
      </c>
      <c r="E30" s="123">
        <v>0</v>
      </c>
      <c r="F30" s="135"/>
      <c r="G30" s="136"/>
      <c r="H30" s="147"/>
      <c r="I30" s="135"/>
      <c r="J30" s="136"/>
      <c r="K30" s="147"/>
      <c r="L30" s="145">
        <f t="shared" si="0"/>
        <v>0</v>
      </c>
      <c r="M30" s="9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58"/>
      <c r="Z30" s="85"/>
      <c r="AA30" s="85"/>
      <c r="AB30" s="79" t="s">
        <v>84</v>
      </c>
      <c r="AC30" s="159"/>
      <c r="AD30" s="159"/>
      <c r="AE30" s="7"/>
      <c r="AF30" s="7"/>
      <c r="AG30" s="7"/>
      <c r="AH30" s="7"/>
      <c r="AI30" s="7"/>
      <c r="AJ30" s="7"/>
      <c r="AK30" s="7"/>
      <c r="AL30" s="7"/>
      <c r="AM30" s="7"/>
      <c r="AN30" s="168"/>
      <c r="AO30" s="169">
        <f t="shared" si="1"/>
        <v>0</v>
      </c>
      <c r="AP30" s="170">
        <f t="shared" si="2"/>
        <v>0</v>
      </c>
      <c r="AQ30" s="172">
        <f t="shared" si="5"/>
        <v>0</v>
      </c>
      <c r="AR30" s="173">
        <f t="shared" si="7"/>
        <v>0</v>
      </c>
      <c r="AS30" s="181" t="s">
        <v>101</v>
      </c>
      <c r="AT30" s="182"/>
      <c r="AU30" s="180">
        <f>VLOOKUP(D30,Sheet3!D:O,12,FALSE)</f>
        <v>0</v>
      </c>
      <c r="AV30" s="180">
        <f t="shared" si="4"/>
        <v>0</v>
      </c>
    </row>
    <row r="31" s="20" customFormat="1" ht="24" customHeight="1" spans="2:48">
      <c r="B31" s="48" t="s">
        <v>81</v>
      </c>
      <c r="C31" s="125" t="s">
        <v>140</v>
      </c>
      <c r="D31" s="126" t="s">
        <v>141</v>
      </c>
      <c r="E31" s="123">
        <v>0</v>
      </c>
      <c r="F31" s="135"/>
      <c r="G31" s="136"/>
      <c r="H31" s="147"/>
      <c r="I31" s="135"/>
      <c r="J31" s="136"/>
      <c r="K31" s="147"/>
      <c r="L31" s="145">
        <f t="shared" si="0"/>
        <v>0</v>
      </c>
      <c r="M31" s="9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58"/>
      <c r="Z31" s="85"/>
      <c r="AA31" s="85"/>
      <c r="AB31" s="79" t="s">
        <v>84</v>
      </c>
      <c r="AC31" s="159"/>
      <c r="AD31" s="159"/>
      <c r="AE31" s="7"/>
      <c r="AF31" s="7"/>
      <c r="AG31" s="7"/>
      <c r="AH31" s="7"/>
      <c r="AI31" s="7"/>
      <c r="AJ31" s="7"/>
      <c r="AK31" s="7"/>
      <c r="AL31" s="7"/>
      <c r="AM31" s="7"/>
      <c r="AN31" s="168"/>
      <c r="AO31" s="169">
        <f t="shared" si="1"/>
        <v>0</v>
      </c>
      <c r="AP31" s="170">
        <f t="shared" si="2"/>
        <v>0</v>
      </c>
      <c r="AQ31" s="172">
        <f t="shared" si="5"/>
        <v>0</v>
      </c>
      <c r="AR31" s="173">
        <f t="shared" si="7"/>
        <v>0</v>
      </c>
      <c r="AS31" s="181" t="s">
        <v>101</v>
      </c>
      <c r="AT31" s="182"/>
      <c r="AU31" s="180">
        <f>VLOOKUP(D31,Sheet3!D:O,12,FALSE)</f>
        <v>0</v>
      </c>
      <c r="AV31" s="180">
        <f t="shared" si="4"/>
        <v>0</v>
      </c>
    </row>
    <row r="32" s="20" customFormat="1" ht="24" customHeight="1" spans="2:48">
      <c r="B32" s="48" t="s">
        <v>81</v>
      </c>
      <c r="C32" s="90" t="s">
        <v>177</v>
      </c>
      <c r="D32" s="126" t="s">
        <v>178</v>
      </c>
      <c r="E32" s="123">
        <v>0</v>
      </c>
      <c r="F32" s="135"/>
      <c r="G32" s="136"/>
      <c r="H32" s="147"/>
      <c r="I32" s="135"/>
      <c r="J32" s="136">
        <v>660</v>
      </c>
      <c r="K32" s="136"/>
      <c r="L32" s="145">
        <f t="shared" si="0"/>
        <v>660</v>
      </c>
      <c r="M32" s="9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58"/>
      <c r="Z32" s="85"/>
      <c r="AA32" s="85"/>
      <c r="AB32" s="79" t="s">
        <v>84</v>
      </c>
      <c r="AC32" s="159"/>
      <c r="AD32" s="159">
        <v>660</v>
      </c>
      <c r="AE32" s="159"/>
      <c r="AF32" s="159"/>
      <c r="AG32" s="159"/>
      <c r="AH32" s="159"/>
      <c r="AI32" s="159"/>
      <c r="AJ32" s="159"/>
      <c r="AK32" s="159"/>
      <c r="AL32" s="159"/>
      <c r="AM32" s="159"/>
      <c r="AN32" s="174"/>
      <c r="AO32" s="169">
        <f t="shared" si="1"/>
        <v>660</v>
      </c>
      <c r="AP32" s="170">
        <f t="shared" si="2"/>
        <v>660</v>
      </c>
      <c r="AQ32" s="172">
        <f t="shared" si="5"/>
        <v>0</v>
      </c>
      <c r="AR32" s="173">
        <f t="shared" si="7"/>
        <v>0</v>
      </c>
      <c r="AS32" s="181"/>
      <c r="AT32" s="182"/>
      <c r="AU32" s="180">
        <f>VLOOKUP(D32,Sheet3!D:O,12,FALSE)</f>
        <v>0</v>
      </c>
      <c r="AV32" s="180">
        <f t="shared" si="4"/>
        <v>0</v>
      </c>
    </row>
    <row r="33" s="20" customFormat="1" ht="24" customHeight="1" spans="2:48">
      <c r="B33" s="48" t="s">
        <v>81</v>
      </c>
      <c r="C33" s="90" t="s">
        <v>179</v>
      </c>
      <c r="D33" s="126" t="s">
        <v>180</v>
      </c>
      <c r="E33" s="123">
        <v>41584</v>
      </c>
      <c r="F33" s="135"/>
      <c r="G33" s="136"/>
      <c r="H33" s="147"/>
      <c r="I33" s="135"/>
      <c r="J33" s="136">
        <f>225367.2+371431</f>
        <v>596798.2</v>
      </c>
      <c r="K33" s="136">
        <v>80343</v>
      </c>
      <c r="L33" s="145">
        <f t="shared" si="0"/>
        <v>718725.2</v>
      </c>
      <c r="M33" s="9">
        <v>124752</v>
      </c>
      <c r="N33" s="124"/>
      <c r="O33" s="124">
        <v>107915</v>
      </c>
      <c r="P33" s="124">
        <f>107915+107915+19436</f>
        <v>235266</v>
      </c>
      <c r="Q33" s="124">
        <f>105768+107915</f>
        <v>213683</v>
      </c>
      <c r="R33" s="124"/>
      <c r="S33" s="124"/>
      <c r="T33" s="124">
        <v>64184</v>
      </c>
      <c r="U33" s="124"/>
      <c r="V33" s="124"/>
      <c r="W33" s="124"/>
      <c r="X33" s="124"/>
      <c r="Y33" s="158"/>
      <c r="Z33" s="85"/>
      <c r="AA33" s="85"/>
      <c r="AB33" s="79" t="s">
        <v>84</v>
      </c>
      <c r="AC33" s="159"/>
      <c r="AD33" s="159">
        <v>266951.2</v>
      </c>
      <c r="AE33" s="159">
        <v>124752</v>
      </c>
      <c r="AF33" s="159">
        <v>371431</v>
      </c>
      <c r="AG33" s="159">
        <v>80343</v>
      </c>
      <c r="AH33" s="159"/>
      <c r="AI33" s="159"/>
      <c r="AJ33" s="159">
        <v>321598</v>
      </c>
      <c r="AK33" s="159">
        <v>235266</v>
      </c>
      <c r="AL33" s="159"/>
      <c r="AM33" s="159"/>
      <c r="AN33" s="174"/>
      <c r="AO33" s="169">
        <f t="shared" si="1"/>
        <v>1464525.2</v>
      </c>
      <c r="AP33" s="170">
        <f t="shared" si="2"/>
        <v>1400341.2</v>
      </c>
      <c r="AQ33" s="172">
        <f t="shared" si="5"/>
        <v>64184</v>
      </c>
      <c r="AR33" s="173">
        <f t="shared" si="7"/>
        <v>64184</v>
      </c>
      <c r="AS33" s="181"/>
      <c r="AT33" s="182"/>
      <c r="AU33" s="180">
        <f>VLOOKUP(D33,Sheet3!D:O,12,FALSE)</f>
        <v>0</v>
      </c>
      <c r="AV33" s="180">
        <f t="shared" si="4"/>
        <v>64184</v>
      </c>
    </row>
    <row r="34" s="20" customFormat="1" ht="24" customHeight="1" spans="2:48">
      <c r="B34" s="48" t="s">
        <v>81</v>
      </c>
      <c r="C34" s="90" t="s">
        <v>181</v>
      </c>
      <c r="D34" s="126" t="s">
        <v>182</v>
      </c>
      <c r="E34" s="123">
        <v>-66613.69</v>
      </c>
      <c r="F34" s="135"/>
      <c r="G34" s="136"/>
      <c r="H34" s="147"/>
      <c r="I34" s="135"/>
      <c r="J34" s="136"/>
      <c r="K34" s="136"/>
      <c r="L34" s="145">
        <f t="shared" si="0"/>
        <v>-66613.69</v>
      </c>
      <c r="M34" s="9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58"/>
      <c r="Z34" s="85"/>
      <c r="AA34" s="85"/>
      <c r="AB34" s="79" t="s">
        <v>84</v>
      </c>
      <c r="AC34" s="159">
        <v>3390</v>
      </c>
      <c r="AD34" s="159"/>
      <c r="AE34" s="159">
        <v>6610.5</v>
      </c>
      <c r="AF34" s="159">
        <f>5424+2881.5</f>
        <v>8305.5</v>
      </c>
      <c r="AG34" s="159">
        <v>9322.5</v>
      </c>
      <c r="AH34" s="159"/>
      <c r="AI34" s="159"/>
      <c r="AJ34" s="159">
        <v>4576.5</v>
      </c>
      <c r="AK34" s="159">
        <v>11356.5</v>
      </c>
      <c r="AL34" s="159"/>
      <c r="AM34" s="159"/>
      <c r="AN34" s="174"/>
      <c r="AO34" s="169">
        <f t="shared" si="1"/>
        <v>-66613.69</v>
      </c>
      <c r="AP34" s="170">
        <f t="shared" si="2"/>
        <v>43561.5</v>
      </c>
      <c r="AQ34" s="172">
        <f t="shared" si="5"/>
        <v>-110175.19</v>
      </c>
      <c r="AR34" s="173">
        <v>0</v>
      </c>
      <c r="AS34" s="183" t="s">
        <v>96</v>
      </c>
      <c r="AT34" s="182"/>
      <c r="AU34" s="180">
        <v>-94242.19</v>
      </c>
      <c r="AV34" s="180">
        <f t="shared" si="4"/>
        <v>-15933</v>
      </c>
    </row>
    <row r="35" s="20" customFormat="1" ht="24" customHeight="1" spans="2:48">
      <c r="B35" s="48" t="s">
        <v>81</v>
      </c>
      <c r="C35" s="90" t="s">
        <v>184</v>
      </c>
      <c r="D35" s="126" t="s">
        <v>185</v>
      </c>
      <c r="E35" s="123">
        <v>0</v>
      </c>
      <c r="F35" s="135"/>
      <c r="G35" s="136"/>
      <c r="H35" s="147"/>
      <c r="I35" s="135"/>
      <c r="J35" s="136">
        <v>36869.64</v>
      </c>
      <c r="K35" s="136">
        <v>39302.3</v>
      </c>
      <c r="L35" s="145">
        <f t="shared" si="0"/>
        <v>76171.94</v>
      </c>
      <c r="M35" s="9"/>
      <c r="N35" s="124"/>
      <c r="O35" s="124">
        <v>44791.43</v>
      </c>
      <c r="P35" s="124"/>
      <c r="Q35" s="124">
        <v>53426.4</v>
      </c>
      <c r="R35" s="124"/>
      <c r="S35" s="124"/>
      <c r="T35" s="124"/>
      <c r="U35" s="124"/>
      <c r="V35" s="124"/>
      <c r="W35" s="124"/>
      <c r="X35" s="124"/>
      <c r="Y35" s="158"/>
      <c r="Z35" s="85"/>
      <c r="AA35" s="85"/>
      <c r="AB35" s="79" t="s">
        <v>84</v>
      </c>
      <c r="AC35" s="159"/>
      <c r="AD35" s="159">
        <v>36869.64</v>
      </c>
      <c r="AE35" s="159"/>
      <c r="AF35" s="159">
        <v>40000</v>
      </c>
      <c r="AG35" s="159"/>
      <c r="AH35" s="159"/>
      <c r="AI35" s="159"/>
      <c r="AJ35" s="159">
        <v>53426.4</v>
      </c>
      <c r="AK35" s="159">
        <v>44093.73</v>
      </c>
      <c r="AL35" s="159"/>
      <c r="AM35" s="159"/>
      <c r="AN35" s="174"/>
      <c r="AO35" s="169">
        <f t="shared" si="1"/>
        <v>174389.77</v>
      </c>
      <c r="AP35" s="170">
        <f t="shared" si="2"/>
        <v>174389.77</v>
      </c>
      <c r="AQ35" s="172">
        <f t="shared" si="5"/>
        <v>0</v>
      </c>
      <c r="AR35" s="173">
        <f t="shared" ref="AR35:AR39" si="8">AQ35-U35-V192</f>
        <v>0</v>
      </c>
      <c r="AS35" s="181"/>
      <c r="AT35" s="182"/>
      <c r="AU35" s="180">
        <f>VLOOKUP(D35,Sheet3!D:O,12,FALSE)</f>
        <v>99231.74</v>
      </c>
      <c r="AV35" s="180">
        <f t="shared" si="4"/>
        <v>-99231.74</v>
      </c>
    </row>
    <row r="36" s="20" customFormat="1" ht="24" customHeight="1" spans="2:48">
      <c r="B36" s="48" t="s">
        <v>81</v>
      </c>
      <c r="C36" s="90" t="s">
        <v>207</v>
      </c>
      <c r="D36" s="126" t="s">
        <v>208</v>
      </c>
      <c r="E36" s="123"/>
      <c r="F36" s="135"/>
      <c r="G36" s="136"/>
      <c r="H36" s="147"/>
      <c r="I36" s="135"/>
      <c r="J36" s="136"/>
      <c r="K36" s="136"/>
      <c r="L36" s="145"/>
      <c r="M36" s="9">
        <v>15800</v>
      </c>
      <c r="N36" s="124"/>
      <c r="O36" s="124"/>
      <c r="P36" s="124"/>
      <c r="Q36" s="124">
        <v>17800</v>
      </c>
      <c r="R36" s="124"/>
      <c r="S36" s="124"/>
      <c r="T36" s="124"/>
      <c r="U36" s="124"/>
      <c r="V36" s="124"/>
      <c r="W36" s="124"/>
      <c r="X36" s="124"/>
      <c r="Y36" s="158"/>
      <c r="Z36" s="85"/>
      <c r="AA36" s="85"/>
      <c r="AB36" s="79"/>
      <c r="AC36" s="159"/>
      <c r="AD36" s="159"/>
      <c r="AE36" s="159"/>
      <c r="AF36" s="159">
        <v>15800</v>
      </c>
      <c r="AG36" s="159"/>
      <c r="AH36" s="159"/>
      <c r="AI36" s="159"/>
      <c r="AJ36" s="159">
        <v>17800</v>
      </c>
      <c r="AK36" s="159"/>
      <c r="AL36" s="159"/>
      <c r="AM36" s="159"/>
      <c r="AN36" s="174"/>
      <c r="AO36" s="169">
        <f t="shared" ref="AO36:AO44" si="9">SUM(L36:X36)</f>
        <v>33600</v>
      </c>
      <c r="AP36" s="170">
        <f t="shared" ref="AP36:AP44" si="10">SUM(AC36:AN36)</f>
        <v>33600</v>
      </c>
      <c r="AQ36" s="172">
        <f t="shared" si="5"/>
        <v>0</v>
      </c>
      <c r="AR36" s="173">
        <f t="shared" si="8"/>
        <v>0</v>
      </c>
      <c r="AS36" s="181"/>
      <c r="AT36" s="182"/>
      <c r="AU36" s="180">
        <f>VLOOKUP(D36,Sheet3!D:O,12,FALSE)</f>
        <v>0</v>
      </c>
      <c r="AV36" s="180">
        <f t="shared" si="4"/>
        <v>0</v>
      </c>
    </row>
    <row r="37" s="20" customFormat="1" ht="24" customHeight="1" spans="2:48">
      <c r="B37" s="48" t="s">
        <v>81</v>
      </c>
      <c r="C37" s="90" t="s">
        <v>209</v>
      </c>
      <c r="D37" s="126" t="s">
        <v>210</v>
      </c>
      <c r="E37" s="123"/>
      <c r="F37" s="135"/>
      <c r="G37" s="136"/>
      <c r="H37" s="147"/>
      <c r="I37" s="135"/>
      <c r="J37" s="136"/>
      <c r="K37" s="136"/>
      <c r="L37" s="145"/>
      <c r="M37" s="9"/>
      <c r="N37" s="124"/>
      <c r="O37" s="124"/>
      <c r="P37" s="124"/>
      <c r="Q37" s="124">
        <f>79100</f>
        <v>79100</v>
      </c>
      <c r="R37" s="124">
        <v>94920</v>
      </c>
      <c r="S37" s="124">
        <f>63280+47460</f>
        <v>110740</v>
      </c>
      <c r="T37" s="124"/>
      <c r="U37" s="124"/>
      <c r="V37" s="124">
        <f>31640+15820+63280+31640</f>
        <v>142380</v>
      </c>
      <c r="W37" s="124"/>
      <c r="X37" s="124"/>
      <c r="Y37" s="158"/>
      <c r="Z37" s="85"/>
      <c r="AA37" s="85"/>
      <c r="AB37" s="79"/>
      <c r="AC37" s="159"/>
      <c r="AD37" s="159"/>
      <c r="AE37" s="159"/>
      <c r="AF37" s="159"/>
      <c r="AG37" s="159"/>
      <c r="AH37" s="159"/>
      <c r="AI37" s="159"/>
      <c r="AJ37" s="159">
        <v>79100</v>
      </c>
      <c r="AK37" s="159"/>
      <c r="AL37" s="159">
        <v>158200</v>
      </c>
      <c r="AM37" s="159"/>
      <c r="AN37" s="174"/>
      <c r="AO37" s="169">
        <f t="shared" si="9"/>
        <v>427140</v>
      </c>
      <c r="AP37" s="170">
        <f t="shared" si="10"/>
        <v>237300</v>
      </c>
      <c r="AQ37" s="172">
        <f t="shared" si="5"/>
        <v>189840</v>
      </c>
      <c r="AR37" s="173">
        <f t="shared" si="8"/>
        <v>189840</v>
      </c>
      <c r="AS37" s="181"/>
      <c r="AT37" s="182"/>
      <c r="AU37" s="180">
        <f>VLOOKUP(D37,Sheet3!D:O,12,FALSE)</f>
        <v>0</v>
      </c>
      <c r="AV37" s="180">
        <f t="shared" si="4"/>
        <v>189840</v>
      </c>
    </row>
    <row r="38" s="20" customFormat="1" ht="24" customHeight="1" spans="2:48">
      <c r="B38" s="48" t="s">
        <v>81</v>
      </c>
      <c r="C38" s="90" t="s">
        <v>211</v>
      </c>
      <c r="D38" s="126" t="e">
        <f t="array" ref="D38">[2]!'!数据!R319C4'</f>
        <v>#REF!</v>
      </c>
      <c r="E38" s="123"/>
      <c r="F38" s="135"/>
      <c r="G38" s="136"/>
      <c r="H38" s="147"/>
      <c r="I38" s="135"/>
      <c r="J38" s="136"/>
      <c r="K38" s="136"/>
      <c r="L38" s="145"/>
      <c r="M38" s="9"/>
      <c r="N38" s="124"/>
      <c r="O38" s="124"/>
      <c r="P38" s="124">
        <v>33330</v>
      </c>
      <c r="Q38" s="124"/>
      <c r="R38" s="124"/>
      <c r="S38" s="124"/>
      <c r="T38" s="124"/>
      <c r="U38" s="124"/>
      <c r="V38" s="124"/>
      <c r="W38" s="124"/>
      <c r="X38" s="124"/>
      <c r="Y38" s="158"/>
      <c r="Z38" s="85"/>
      <c r="AA38" s="85"/>
      <c r="AB38" s="79"/>
      <c r="AC38" s="159"/>
      <c r="AD38" s="159"/>
      <c r="AE38" s="159"/>
      <c r="AF38" s="159"/>
      <c r="AG38" s="159"/>
      <c r="AH38" s="159"/>
      <c r="AI38" s="159"/>
      <c r="AJ38" s="159">
        <v>33330</v>
      </c>
      <c r="AK38" s="159"/>
      <c r="AL38" s="159"/>
      <c r="AM38" s="159"/>
      <c r="AN38" s="174"/>
      <c r="AO38" s="169">
        <f t="shared" si="9"/>
        <v>33330</v>
      </c>
      <c r="AP38" s="170">
        <f t="shared" si="10"/>
        <v>33330</v>
      </c>
      <c r="AQ38" s="172">
        <f t="shared" si="5"/>
        <v>0</v>
      </c>
      <c r="AR38" s="173">
        <f t="shared" si="8"/>
        <v>0</v>
      </c>
      <c r="AS38" s="181"/>
      <c r="AT38" s="182"/>
      <c r="AU38" s="180" t="e">
        <f>VLOOKUP(D38,Sheet3!D:O,12,FALSE)</f>
        <v>#REF!</v>
      </c>
      <c r="AV38" s="180" t="e">
        <f t="shared" si="4"/>
        <v>#REF!</v>
      </c>
    </row>
    <row r="39" s="20" customFormat="1" ht="24" customHeight="1" spans="2:48">
      <c r="B39" s="48" t="s">
        <v>81</v>
      </c>
      <c r="C39" s="90" t="s">
        <v>212</v>
      </c>
      <c r="D39" s="126" t="s">
        <v>213</v>
      </c>
      <c r="E39" s="123"/>
      <c r="F39" s="135"/>
      <c r="G39" s="136"/>
      <c r="H39" s="147"/>
      <c r="I39" s="135"/>
      <c r="J39" s="136"/>
      <c r="K39" s="136"/>
      <c r="L39" s="145"/>
      <c r="M39" s="9"/>
      <c r="N39" s="124"/>
      <c r="O39" s="124"/>
      <c r="P39" s="124"/>
      <c r="Q39" s="124">
        <f>333353.62+336228.34</f>
        <v>669581.96</v>
      </c>
      <c r="R39" s="124">
        <v>334790.98</v>
      </c>
      <c r="S39" s="124"/>
      <c r="T39" s="124"/>
      <c r="U39" s="124">
        <v>167395.48</v>
      </c>
      <c r="V39" s="124"/>
      <c r="W39" s="124"/>
      <c r="X39" s="124"/>
      <c r="Y39" s="158"/>
      <c r="Z39" s="85"/>
      <c r="AA39" s="85"/>
      <c r="AB39" s="79"/>
      <c r="AC39" s="159"/>
      <c r="AD39" s="159"/>
      <c r="AE39" s="159"/>
      <c r="AF39" s="159"/>
      <c r="AG39" s="159"/>
      <c r="AH39" s="159"/>
      <c r="AI39" s="159">
        <v>333353.62</v>
      </c>
      <c r="AJ39" s="159">
        <f>336228.34+334790.98</f>
        <v>671019.32</v>
      </c>
      <c r="AK39" s="159"/>
      <c r="AL39" s="159"/>
      <c r="AM39" s="159"/>
      <c r="AN39" s="174"/>
      <c r="AO39" s="169">
        <f t="shared" si="9"/>
        <v>1171768.42</v>
      </c>
      <c r="AP39" s="170">
        <f t="shared" si="10"/>
        <v>1004372.94</v>
      </c>
      <c r="AQ39" s="172">
        <f t="shared" si="5"/>
        <v>167395.48</v>
      </c>
      <c r="AR39" s="173">
        <f t="shared" si="8"/>
        <v>-1.45519152283669e-10</v>
      </c>
      <c r="AS39" s="181"/>
      <c r="AT39" s="182"/>
      <c r="AU39" s="180">
        <f>VLOOKUP(D39,Sheet3!D:O,12,FALSE)</f>
        <v>337665.68</v>
      </c>
      <c r="AV39" s="180">
        <f t="shared" si="4"/>
        <v>-170270.2</v>
      </c>
    </row>
    <row r="40" s="20" customFormat="1" ht="24" customHeight="1" spans="2:48">
      <c r="B40" s="48" t="s">
        <v>81</v>
      </c>
      <c r="C40" s="90"/>
      <c r="D40" s="126" t="s">
        <v>214</v>
      </c>
      <c r="E40" s="123"/>
      <c r="F40" s="135"/>
      <c r="G40" s="136"/>
      <c r="H40" s="147"/>
      <c r="I40" s="135"/>
      <c r="J40" s="136"/>
      <c r="K40" s="136"/>
      <c r="L40" s="145"/>
      <c r="M40" s="9"/>
      <c r="N40" s="124"/>
      <c r="O40" s="124">
        <v>1344.7</v>
      </c>
      <c r="P40" s="124"/>
      <c r="Q40" s="124"/>
      <c r="R40" s="124"/>
      <c r="S40" s="124"/>
      <c r="T40" s="124"/>
      <c r="U40" s="124"/>
      <c r="V40" s="124"/>
      <c r="W40" s="124"/>
      <c r="X40" s="124"/>
      <c r="Y40" s="158"/>
      <c r="Z40" s="85"/>
      <c r="AA40" s="85"/>
      <c r="AB40" s="7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74"/>
      <c r="AO40" s="169">
        <f t="shared" ref="AO40:AO42" si="11">SUM(L40:X40)</f>
        <v>1344.7</v>
      </c>
      <c r="AP40" s="170">
        <f t="shared" ref="AP40:AP42" si="12">SUM(AC40:AN40)</f>
        <v>0</v>
      </c>
      <c r="AQ40" s="172">
        <f t="shared" ref="AQ40:AQ42" si="13">AO40-AP40</f>
        <v>1344.7</v>
      </c>
      <c r="AR40" s="173">
        <f t="shared" ref="AR40:AR42" si="14">AQ40-U40-V197</f>
        <v>1344.7</v>
      </c>
      <c r="AS40" s="181"/>
      <c r="AT40" s="182"/>
      <c r="AU40" s="180">
        <f>VLOOKUP(D40,Sheet3!D:O,12,FALSE)</f>
        <v>0</v>
      </c>
      <c r="AV40" s="180">
        <f t="shared" si="4"/>
        <v>1344.7</v>
      </c>
    </row>
    <row r="41" s="20" customFormat="1" ht="24" customHeight="1" spans="2:48">
      <c r="B41" s="129"/>
      <c r="C41" s="90" t="s">
        <v>215</v>
      </c>
      <c r="D41" s="127" t="s">
        <v>216</v>
      </c>
      <c r="E41" s="128"/>
      <c r="F41" s="137"/>
      <c r="G41" s="138"/>
      <c r="H41" s="148"/>
      <c r="I41" s="137"/>
      <c r="J41" s="138"/>
      <c r="K41" s="138"/>
      <c r="L41" s="203"/>
      <c r="M41" s="133"/>
      <c r="N41" s="134"/>
      <c r="O41" s="134"/>
      <c r="P41" s="134">
        <v>21584.03</v>
      </c>
      <c r="Q41" s="134">
        <f>100072.8+18481.78+105347.64</f>
        <v>223902.22</v>
      </c>
      <c r="R41" s="134"/>
      <c r="S41" s="134">
        <v>57132.12</v>
      </c>
      <c r="T41" s="134"/>
      <c r="U41" s="134"/>
      <c r="V41" s="134"/>
      <c r="W41" s="134"/>
      <c r="X41" s="134"/>
      <c r="Y41" s="158"/>
      <c r="Z41" s="85"/>
      <c r="AA41" s="85"/>
      <c r="AB41" s="85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>
        <v>150000</v>
      </c>
      <c r="AM41" s="159"/>
      <c r="AN41" s="174"/>
      <c r="AO41" s="169">
        <f t="shared" si="11"/>
        <v>302618.37</v>
      </c>
      <c r="AP41" s="170">
        <f t="shared" si="12"/>
        <v>150000</v>
      </c>
      <c r="AQ41" s="172">
        <f t="shared" si="13"/>
        <v>152618.37</v>
      </c>
      <c r="AR41" s="173">
        <f t="shared" si="14"/>
        <v>152618.37</v>
      </c>
      <c r="AS41" s="184"/>
      <c r="AT41" s="182"/>
      <c r="AU41" s="180"/>
      <c r="AV41" s="180"/>
    </row>
    <row r="42" s="20" customFormat="1" ht="24" customHeight="1" spans="2:48">
      <c r="B42" s="129"/>
      <c r="C42" s="90" t="s">
        <v>217</v>
      </c>
      <c r="D42" s="127" t="s">
        <v>218</v>
      </c>
      <c r="E42" s="128"/>
      <c r="F42" s="137"/>
      <c r="G42" s="138"/>
      <c r="H42" s="148"/>
      <c r="I42" s="137"/>
      <c r="J42" s="138"/>
      <c r="K42" s="138"/>
      <c r="L42" s="203"/>
      <c r="M42" s="133"/>
      <c r="N42" s="134"/>
      <c r="O42" s="134"/>
      <c r="P42" s="134"/>
      <c r="Q42" s="134"/>
      <c r="R42" s="134"/>
      <c r="S42" s="134"/>
      <c r="T42" s="134"/>
      <c r="U42" s="134"/>
      <c r="V42" s="134">
        <v>25628.4</v>
      </c>
      <c r="W42" s="134"/>
      <c r="X42" s="134"/>
      <c r="Y42" s="158"/>
      <c r="Z42" s="85"/>
      <c r="AA42" s="85"/>
      <c r="AB42" s="85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74"/>
      <c r="AO42" s="169">
        <f t="shared" si="11"/>
        <v>25628.4</v>
      </c>
      <c r="AP42" s="170">
        <f t="shared" si="12"/>
        <v>0</v>
      </c>
      <c r="AQ42" s="172">
        <f t="shared" si="13"/>
        <v>25628.4</v>
      </c>
      <c r="AR42" s="173">
        <f t="shared" si="14"/>
        <v>25628.4</v>
      </c>
      <c r="AS42" s="184"/>
      <c r="AT42" s="182"/>
      <c r="AU42" s="180"/>
      <c r="AV42" s="180"/>
    </row>
    <row r="43" s="20" customFormat="1" ht="24" customHeight="1" spans="2:48">
      <c r="B43" s="129"/>
      <c r="C43" s="90"/>
      <c r="D43" s="127" t="s">
        <v>220</v>
      </c>
      <c r="E43" s="128"/>
      <c r="F43" s="137"/>
      <c r="G43" s="138"/>
      <c r="H43" s="148"/>
      <c r="I43" s="137"/>
      <c r="J43" s="138"/>
      <c r="K43" s="148"/>
      <c r="L43" s="203"/>
      <c r="M43" s="133"/>
      <c r="N43" s="134"/>
      <c r="O43" s="134"/>
      <c r="P43" s="134"/>
      <c r="Q43" s="134"/>
      <c r="R43" s="134"/>
      <c r="S43" s="134"/>
      <c r="T43" s="139"/>
      <c r="U43" s="134"/>
      <c r="V43" s="134"/>
      <c r="W43" s="134"/>
      <c r="X43" s="134"/>
      <c r="Y43" s="158"/>
      <c r="Z43" s="85"/>
      <c r="AA43" s="85"/>
      <c r="AB43" s="85"/>
      <c r="AC43" s="159"/>
      <c r="AD43" s="159"/>
      <c r="AE43" s="159">
        <v>2542.2</v>
      </c>
      <c r="AF43" s="159"/>
      <c r="AG43" s="159"/>
      <c r="AH43" s="159"/>
      <c r="AI43" s="159"/>
      <c r="AJ43" s="159"/>
      <c r="AK43" s="159"/>
      <c r="AL43" s="159"/>
      <c r="AM43" s="159"/>
      <c r="AN43" s="174"/>
      <c r="AO43" s="169">
        <f t="shared" ref="AO43" si="15">SUM(L43:X43)</f>
        <v>0</v>
      </c>
      <c r="AP43" s="170">
        <f t="shared" ref="AP43" si="16">SUM(AC43:AN43)</f>
        <v>2542.2</v>
      </c>
      <c r="AQ43" s="208"/>
      <c r="AR43" s="173">
        <f t="shared" ref="AR43:AR44" si="17">AQ43-U43-V199</f>
        <v>0</v>
      </c>
      <c r="AS43" s="184"/>
      <c r="AT43" s="182"/>
      <c r="AU43" s="180"/>
      <c r="AV43" s="180"/>
    </row>
    <row r="44" s="20" customFormat="1" ht="24" customHeight="1" spans="2:48">
      <c r="B44" s="129" t="s">
        <v>81</v>
      </c>
      <c r="C44" s="90" t="s">
        <v>186</v>
      </c>
      <c r="D44" s="126" t="s">
        <v>187</v>
      </c>
      <c r="E44" s="123">
        <v>1745182.33</v>
      </c>
      <c r="F44" s="135">
        <v>1040684.8</v>
      </c>
      <c r="G44" s="136">
        <v>289573.8</v>
      </c>
      <c r="H44" s="147">
        <f>16000</f>
        <v>16000</v>
      </c>
      <c r="I44" s="135"/>
      <c r="J44" s="136"/>
      <c r="K44" s="147">
        <v>320129</v>
      </c>
      <c r="L44" s="145">
        <f t="shared" ref="L44" si="18">SUM(I44:K44)+E44</f>
        <v>2065311.33</v>
      </c>
      <c r="M44" s="9">
        <v>149456.06</v>
      </c>
      <c r="N44" s="124">
        <v>2056724.82</v>
      </c>
      <c r="O44" s="124">
        <v>197945.79</v>
      </c>
      <c r="P44" s="124">
        <v>311102.56</v>
      </c>
      <c r="Q44" s="124">
        <f>443106.62+11186.26</f>
        <v>454292.88</v>
      </c>
      <c r="R44" s="124">
        <f>198972.66+354266.3</f>
        <v>553238.96</v>
      </c>
      <c r="S44" s="124">
        <v>231220.6</v>
      </c>
      <c r="T44" s="124">
        <v>107564.34</v>
      </c>
      <c r="U44" s="124">
        <v>129079.9</v>
      </c>
      <c r="V44" s="124">
        <f>207174.2+538701.01</f>
        <v>745875.21</v>
      </c>
      <c r="W44" s="124"/>
      <c r="X44" s="124"/>
      <c r="Y44" s="158"/>
      <c r="Z44" s="85"/>
      <c r="AA44" s="79" t="s">
        <v>84</v>
      </c>
      <c r="AB44" s="79" t="s">
        <v>84</v>
      </c>
      <c r="AC44" s="159">
        <v>600000</v>
      </c>
      <c r="AD44" s="159"/>
      <c r="AE44" s="159">
        <f>378820-250000</f>
        <v>128820</v>
      </c>
      <c r="AF44" s="159"/>
      <c r="AG44" s="159">
        <v>10500</v>
      </c>
      <c r="AH44" s="159">
        <f>2239.89+12430</f>
        <v>14669.89</v>
      </c>
      <c r="AI44" s="159"/>
      <c r="AJ44" s="159">
        <f>200000+10638.96</f>
        <v>210638.96</v>
      </c>
      <c r="AK44" s="159">
        <v>200000</v>
      </c>
      <c r="AL44" s="159">
        <v>100000</v>
      </c>
      <c r="AM44" s="159"/>
      <c r="AN44" s="174"/>
      <c r="AO44" s="169">
        <f t="shared" si="9"/>
        <v>7001812.45</v>
      </c>
      <c r="AP44" s="170">
        <f t="shared" si="10"/>
        <v>1264628.85</v>
      </c>
      <c r="AQ44" s="172">
        <f>AO44-AP44</f>
        <v>5737183.6</v>
      </c>
      <c r="AR44" s="173">
        <f t="shared" si="17"/>
        <v>5608103.7</v>
      </c>
      <c r="AS44" s="181"/>
      <c r="AT44" s="182"/>
      <c r="AU44" s="180">
        <f>VLOOKUP(D44,Sheet3!D:O,12,FALSE)</f>
        <v>104394.1</v>
      </c>
      <c r="AV44" s="180">
        <f t="shared" si="4"/>
        <v>5632789.5</v>
      </c>
    </row>
    <row r="45" s="21" customFormat="1" ht="24" customHeight="1" spans="2:46">
      <c r="B45" s="92"/>
      <c r="C45" s="93"/>
      <c r="D45" s="94" t="s">
        <v>142</v>
      </c>
      <c r="E45" s="187">
        <f>SUM(E5:E44)</f>
        <v>2758142.22</v>
      </c>
      <c r="F45" s="188"/>
      <c r="G45" s="189">
        <f t="shared" ref="G45:AR45" si="19">SUM(G5:G44)</f>
        <v>333580.75</v>
      </c>
      <c r="H45" s="189">
        <f t="shared" si="19"/>
        <v>26937.5</v>
      </c>
      <c r="I45" s="189">
        <f t="shared" si="19"/>
        <v>755825</v>
      </c>
      <c r="J45" s="189">
        <f t="shared" si="19"/>
        <v>2155642.17</v>
      </c>
      <c r="K45" s="189">
        <f t="shared" si="19"/>
        <v>1516028.52</v>
      </c>
      <c r="L45" s="190">
        <f t="shared" si="19"/>
        <v>7185637.91</v>
      </c>
      <c r="M45" s="185">
        <f t="shared" si="19"/>
        <v>1749253.56</v>
      </c>
      <c r="N45" s="186">
        <f t="shared" si="19"/>
        <v>2505088.08</v>
      </c>
      <c r="O45" s="186">
        <f t="shared" si="19"/>
        <v>577912.95</v>
      </c>
      <c r="P45" s="186">
        <f t="shared" si="19"/>
        <v>2272617.41</v>
      </c>
      <c r="Q45" s="186">
        <f t="shared" si="19"/>
        <v>4769286.35</v>
      </c>
      <c r="R45" s="186">
        <f t="shared" si="19"/>
        <v>2935318.41</v>
      </c>
      <c r="S45" s="186">
        <f t="shared" si="19"/>
        <v>1343038.93</v>
      </c>
      <c r="T45" s="186">
        <f t="shared" si="19"/>
        <v>451851.55</v>
      </c>
      <c r="U45" s="186">
        <f t="shared" si="19"/>
        <v>883528.26</v>
      </c>
      <c r="V45" s="186">
        <f t="shared" si="19"/>
        <v>1362392.59</v>
      </c>
      <c r="W45" s="186">
        <f t="shared" si="19"/>
        <v>0</v>
      </c>
      <c r="X45" s="186">
        <f t="shared" si="19"/>
        <v>0</v>
      </c>
      <c r="Y45" s="191">
        <f t="shared" si="19"/>
        <v>0</v>
      </c>
      <c r="Z45" s="192">
        <f t="shared" si="19"/>
        <v>0</v>
      </c>
      <c r="AA45" s="192">
        <f t="shared" si="19"/>
        <v>0</v>
      </c>
      <c r="AB45" s="192">
        <f t="shared" si="19"/>
        <v>0</v>
      </c>
      <c r="AC45" s="192">
        <f t="shared" si="19"/>
        <v>603390</v>
      </c>
      <c r="AD45" s="192">
        <f t="shared" si="19"/>
        <v>2159095.6</v>
      </c>
      <c r="AE45" s="192">
        <f t="shared" si="19"/>
        <v>2155410.69</v>
      </c>
      <c r="AF45" s="192">
        <f t="shared" si="19"/>
        <v>1214408.1</v>
      </c>
      <c r="AG45" s="192">
        <f t="shared" si="19"/>
        <v>1195377.39</v>
      </c>
      <c r="AH45" s="192">
        <f t="shared" si="19"/>
        <v>1177304</v>
      </c>
      <c r="AI45" s="192">
        <f t="shared" si="19"/>
        <v>1162488.58</v>
      </c>
      <c r="AJ45" s="192">
        <f t="shared" si="19"/>
        <v>3972454.69</v>
      </c>
      <c r="AK45" s="192">
        <f t="shared" si="19"/>
        <v>2462204.76</v>
      </c>
      <c r="AL45" s="192">
        <f t="shared" si="19"/>
        <v>1079012.18</v>
      </c>
      <c r="AM45" s="192">
        <f t="shared" si="19"/>
        <v>0</v>
      </c>
      <c r="AN45" s="195">
        <f t="shared" si="19"/>
        <v>0</v>
      </c>
      <c r="AO45" s="196">
        <f t="shared" si="19"/>
        <v>26035926</v>
      </c>
      <c r="AP45" s="197">
        <f t="shared" si="19"/>
        <v>17181145.99</v>
      </c>
      <c r="AQ45" s="104">
        <f t="shared" si="19"/>
        <v>8857322.21</v>
      </c>
      <c r="AR45" s="209">
        <f t="shared" si="19"/>
        <v>8020154.23</v>
      </c>
      <c r="AS45" s="199"/>
      <c r="AT45" s="200"/>
    </row>
    <row r="46" customHeight="1" spans="5:44">
      <c r="E46" s="99"/>
      <c r="F46" s="99"/>
      <c r="G46" s="99"/>
      <c r="H46" s="99"/>
      <c r="I46" s="99">
        <f>SUM(I5:I43)</f>
        <v>755825</v>
      </c>
      <c r="J46" s="99">
        <f t="shared" ref="J46:AR46" si="20">SUM(J5:J43)</f>
        <v>2155642.17</v>
      </c>
      <c r="K46" s="99">
        <f t="shared" si="20"/>
        <v>1195899.52</v>
      </c>
      <c r="L46" s="99">
        <f t="shared" si="20"/>
        <v>5120326.58</v>
      </c>
      <c r="M46" s="99">
        <f t="shared" si="20"/>
        <v>1599797.5</v>
      </c>
      <c r="N46" s="99">
        <f t="shared" si="20"/>
        <v>448363.26</v>
      </c>
      <c r="O46" s="99">
        <f t="shared" si="20"/>
        <v>379967.16</v>
      </c>
      <c r="P46" s="99">
        <f t="shared" si="20"/>
        <v>1961514.85</v>
      </c>
      <c r="Q46" s="99">
        <f t="shared" si="20"/>
        <v>4314993.47</v>
      </c>
      <c r="R46" s="99">
        <f t="shared" si="20"/>
        <v>2382079.45</v>
      </c>
      <c r="S46" s="99">
        <f t="shared" si="20"/>
        <v>1111818.33</v>
      </c>
      <c r="T46" s="99">
        <f t="shared" si="20"/>
        <v>344287.21</v>
      </c>
      <c r="U46" s="99">
        <f t="shared" si="20"/>
        <v>754448.36</v>
      </c>
      <c r="V46" s="99">
        <f t="shared" si="20"/>
        <v>616517.38</v>
      </c>
      <c r="W46" s="99">
        <f t="shared" si="20"/>
        <v>0</v>
      </c>
      <c r="X46" s="99">
        <f t="shared" si="20"/>
        <v>0</v>
      </c>
      <c r="Y46" s="99">
        <f t="shared" si="20"/>
        <v>0</v>
      </c>
      <c r="Z46" s="99">
        <f t="shared" si="20"/>
        <v>0</v>
      </c>
      <c r="AA46" s="99">
        <f t="shared" si="20"/>
        <v>0</v>
      </c>
      <c r="AB46" s="99">
        <f t="shared" si="20"/>
        <v>0</v>
      </c>
      <c r="AC46" s="99">
        <f t="shared" si="20"/>
        <v>3390</v>
      </c>
      <c r="AD46" s="99">
        <f t="shared" si="20"/>
        <v>2159095.6</v>
      </c>
      <c r="AE46" s="99">
        <f t="shared" si="20"/>
        <v>2026590.69</v>
      </c>
      <c r="AF46" s="99">
        <f t="shared" si="20"/>
        <v>1214408.1</v>
      </c>
      <c r="AG46" s="99">
        <f t="shared" si="20"/>
        <v>1184877.39</v>
      </c>
      <c r="AH46" s="99">
        <f t="shared" si="20"/>
        <v>1162634.11</v>
      </c>
      <c r="AI46" s="99">
        <f t="shared" si="20"/>
        <v>1162488.58</v>
      </c>
      <c r="AJ46" s="99">
        <f t="shared" si="20"/>
        <v>3761815.73</v>
      </c>
      <c r="AK46" s="99">
        <f t="shared" si="20"/>
        <v>2262204.76</v>
      </c>
      <c r="AL46" s="99">
        <f t="shared" si="20"/>
        <v>979012.18</v>
      </c>
      <c r="AM46" s="99">
        <f t="shared" si="20"/>
        <v>0</v>
      </c>
      <c r="AN46" s="99">
        <f t="shared" si="20"/>
        <v>0</v>
      </c>
      <c r="AO46" s="99">
        <f t="shared" si="20"/>
        <v>19034113.55</v>
      </c>
      <c r="AP46" s="99">
        <f t="shared" si="20"/>
        <v>15916517.14</v>
      </c>
      <c r="AQ46" s="99">
        <f t="shared" si="20"/>
        <v>3120138.61</v>
      </c>
      <c r="AR46" s="99">
        <f t="shared" si="20"/>
        <v>2412050.53</v>
      </c>
    </row>
    <row r="47" customHeight="1" spans="5:24"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</row>
    <row r="48" ht="15.6" spans="4:45">
      <c r="D48" s="100" t="s">
        <v>143</v>
      </c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100"/>
      <c r="AP48" s="100"/>
      <c r="AQ48" s="100"/>
      <c r="AR48" s="100"/>
      <c r="AS48" s="100"/>
    </row>
    <row r="59" s="22" customFormat="1"/>
    <row r="62" s="22" customFormat="1"/>
  </sheetData>
  <autoFilter ref="A4:AV46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3">
    <cfRule type="duplicateValues" dxfId="0" priority="1"/>
  </conditionalFormatting>
  <conditionalFormatting sqref="D1:D42 D44:D1048576">
    <cfRule type="duplicateValues" dxfId="0" priority="3"/>
  </conditionalFormatting>
  <conditionalFormatting sqref="AP1:AR1 AP47:AR1048576">
    <cfRule type="duplicateValues" dxfId="0" priority="2"/>
  </conditionalFormatting>
  <pageMargins left="0.7" right="0.7" top="0.75" bottom="0.75" header="0.3" footer="0.3"/>
  <pageSetup paperSize="9" orientation="portrait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82"/>
  <sheetViews>
    <sheetView zoomScale="80" zoomScaleNormal="80" workbookViewId="0">
      <pane xSplit="4" ySplit="4" topLeftCell="AG29" activePane="bottomRight" state="frozen"/>
      <selection/>
      <selection pane="topRight"/>
      <selection pane="bottomLeft"/>
      <selection pane="bottomRight" activeCell="AR48" sqref="AR48"/>
    </sheetView>
  </sheetViews>
  <sheetFormatPr defaultColWidth="8" defaultRowHeight="15"/>
  <cols>
    <col min="1" max="1" width="1.4537037037037" style="22" customWidth="1"/>
    <col min="2" max="2" width="7.09259259259259" style="23" customWidth="1"/>
    <col min="3" max="3" width="10.6296296296296" style="22" customWidth="1"/>
    <col min="4" max="4" width="27.3611111111111" style="24" customWidth="1"/>
    <col min="5" max="6" width="13.9074074074074" style="111" customWidth="1"/>
    <col min="7" max="8" width="12.2685185185185" style="111" customWidth="1"/>
    <col min="9" max="9" width="13.9074074074074" style="111" customWidth="1"/>
    <col min="10" max="11" width="12.2685185185185" style="111" customWidth="1"/>
    <col min="12" max="24" width="14.2685185185185" style="111" customWidth="1"/>
    <col min="25" max="25" width="3.62962962962963" style="22" customWidth="1"/>
    <col min="26" max="26" width="6.72222222222222" style="22" customWidth="1"/>
    <col min="27" max="28" width="4.72222222222222" style="22" customWidth="1"/>
    <col min="29" max="30" width="16.3611111111111" style="112" customWidth="1"/>
    <col min="31" max="40" width="13" style="112" customWidth="1"/>
    <col min="41" max="44" width="17.2685185185185" style="24" customWidth="1"/>
    <col min="45" max="45" width="12.9074074074074" style="24" customWidth="1"/>
    <col min="46" max="46" width="15.7222222222222" style="22" customWidth="1"/>
    <col min="47" max="47" width="13.0925925925926" style="22" customWidth="1"/>
    <col min="48" max="48" width="13.9074074074074" style="22" customWidth="1"/>
    <col min="49" max="49" width="9" style="22" customWidth="1"/>
    <col min="50" max="50" width="11.2685185185185" style="22" customWidth="1"/>
    <col min="51" max="52" width="8" style="22"/>
    <col min="53" max="53" width="12" style="22" customWidth="1"/>
    <col min="54" max="16384" width="8" style="22"/>
  </cols>
  <sheetData>
    <row r="1" ht="21" customHeight="1" spans="2:46">
      <c r="B1" s="113" t="s">
        <v>221</v>
      </c>
      <c r="C1" s="114"/>
      <c r="D1" s="114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4"/>
      <c r="Z1" s="114"/>
      <c r="AA1" s="114"/>
      <c r="AB1" s="114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4"/>
    </row>
    <row r="2" ht="18" customHeight="1" spans="2:46">
      <c r="B2" s="29" t="s">
        <v>1</v>
      </c>
      <c r="C2" s="30" t="s">
        <v>2</v>
      </c>
      <c r="D2" s="31" t="s">
        <v>3</v>
      </c>
      <c r="E2" s="116" t="s">
        <v>189</v>
      </c>
      <c r="F2" s="117"/>
      <c r="G2" s="117"/>
      <c r="H2" s="117"/>
      <c r="I2" s="140" t="s">
        <v>190</v>
      </c>
      <c r="J2" s="141"/>
      <c r="K2" s="141"/>
      <c r="L2" s="142"/>
      <c r="M2" s="116" t="s">
        <v>191</v>
      </c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51" t="s">
        <v>36</v>
      </c>
      <c r="Z2" s="64" t="s">
        <v>37</v>
      </c>
      <c r="AA2" s="64"/>
      <c r="AB2" s="64"/>
      <c r="AC2" s="152" t="s">
        <v>192</v>
      </c>
      <c r="AD2" s="152" t="s">
        <v>193</v>
      </c>
      <c r="AE2" s="152" t="s">
        <v>158</v>
      </c>
      <c r="AF2" s="152" t="s">
        <v>159</v>
      </c>
      <c r="AG2" s="152" t="s">
        <v>160</v>
      </c>
      <c r="AH2" s="152" t="s">
        <v>161</v>
      </c>
      <c r="AI2" s="152" t="s">
        <v>162</v>
      </c>
      <c r="AJ2" s="152" t="s">
        <v>163</v>
      </c>
      <c r="AK2" s="152" t="s">
        <v>164</v>
      </c>
      <c r="AL2" s="152" t="s">
        <v>165</v>
      </c>
      <c r="AM2" s="152" t="s">
        <v>166</v>
      </c>
      <c r="AN2" s="163" t="s">
        <v>167</v>
      </c>
      <c r="AO2" s="164"/>
      <c r="AP2" s="59"/>
      <c r="AQ2" s="59"/>
      <c r="AR2" s="59"/>
      <c r="AS2" s="175"/>
      <c r="AT2" s="67" t="s">
        <v>36</v>
      </c>
    </row>
    <row r="3" ht="31.5" customHeight="1" spans="2:46">
      <c r="B3" s="34"/>
      <c r="C3" s="35"/>
      <c r="D3" s="36"/>
      <c r="E3" s="118" t="s">
        <v>194</v>
      </c>
      <c r="F3" s="119" t="s">
        <v>195</v>
      </c>
      <c r="G3" s="119" t="s">
        <v>196</v>
      </c>
      <c r="H3" s="119" t="s">
        <v>197</v>
      </c>
      <c r="I3" s="202" t="s">
        <v>195</v>
      </c>
      <c r="J3" s="202" t="s">
        <v>196</v>
      </c>
      <c r="K3" s="202" t="s">
        <v>197</v>
      </c>
      <c r="L3" s="143" t="s">
        <v>198</v>
      </c>
      <c r="M3" s="118" t="s">
        <v>73</v>
      </c>
      <c r="N3" s="119" t="s">
        <v>74</v>
      </c>
      <c r="O3" s="119" t="s">
        <v>169</v>
      </c>
      <c r="P3" s="119" t="s">
        <v>170</v>
      </c>
      <c r="Q3" s="119" t="s">
        <v>171</v>
      </c>
      <c r="R3" s="119" t="s">
        <v>172</v>
      </c>
      <c r="S3" s="119" t="s">
        <v>173</v>
      </c>
      <c r="T3" s="119" t="s">
        <v>174</v>
      </c>
      <c r="U3" s="119" t="s">
        <v>175</v>
      </c>
      <c r="V3" s="119" t="s">
        <v>70</v>
      </c>
      <c r="W3" s="119" t="s">
        <v>71</v>
      </c>
      <c r="X3" s="119" t="s">
        <v>72</v>
      </c>
      <c r="Y3" s="153"/>
      <c r="Z3" s="154" t="s">
        <v>76</v>
      </c>
      <c r="AA3" s="154" t="s">
        <v>77</v>
      </c>
      <c r="AB3" s="154" t="s">
        <v>78</v>
      </c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65"/>
      <c r="AO3" s="166" t="s">
        <v>199</v>
      </c>
      <c r="AP3" s="56" t="s">
        <v>200</v>
      </c>
      <c r="AQ3" s="167" t="s">
        <v>201</v>
      </c>
      <c r="AR3" s="56" t="s">
        <v>202</v>
      </c>
      <c r="AS3" s="176" t="s">
        <v>203</v>
      </c>
      <c r="AT3" s="74"/>
    </row>
    <row r="4" ht="18" customHeight="1" spans="2:46">
      <c r="B4" s="34"/>
      <c r="C4" s="35"/>
      <c r="D4" s="36"/>
      <c r="E4" s="120"/>
      <c r="F4" s="121"/>
      <c r="G4" s="121"/>
      <c r="H4" s="121"/>
      <c r="I4" s="121"/>
      <c r="J4" s="121"/>
      <c r="K4" s="121"/>
      <c r="L4" s="144"/>
      <c r="M4" s="120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53"/>
      <c r="Z4" s="154"/>
      <c r="AA4" s="154"/>
      <c r="AB4" s="154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65"/>
      <c r="AO4" s="166"/>
      <c r="AP4" s="56"/>
      <c r="AQ4" s="167"/>
      <c r="AR4" s="56"/>
      <c r="AS4" s="176"/>
      <c r="AT4" s="74"/>
    </row>
    <row r="5" s="20" customFormat="1" ht="24" customHeight="1" spans="2:50">
      <c r="B5" s="42" t="s">
        <v>81</v>
      </c>
      <c r="C5" s="122" t="s">
        <v>82</v>
      </c>
      <c r="D5" s="43" t="s">
        <v>83</v>
      </c>
      <c r="E5" s="123">
        <v>0</v>
      </c>
      <c r="F5" s="135"/>
      <c r="G5" s="136"/>
      <c r="H5" s="136"/>
      <c r="I5" s="135"/>
      <c r="J5" s="136"/>
      <c r="K5" s="136"/>
      <c r="L5" s="145">
        <f>SUM(I5:K5)+E5</f>
        <v>0</v>
      </c>
      <c r="M5" s="9"/>
      <c r="N5" s="124"/>
      <c r="O5" s="124"/>
      <c r="P5" s="124"/>
      <c r="Q5" s="124">
        <v>41950</v>
      </c>
      <c r="R5" s="124"/>
      <c r="S5" s="124">
        <v>41950</v>
      </c>
      <c r="T5" s="124"/>
      <c r="U5" s="124">
        <v>41950</v>
      </c>
      <c r="V5" s="124"/>
      <c r="W5" s="124"/>
      <c r="X5" s="124"/>
      <c r="Y5" s="156"/>
      <c r="Z5" s="162"/>
      <c r="AA5" s="79"/>
      <c r="AB5" s="79" t="s">
        <v>84</v>
      </c>
      <c r="AC5" s="7"/>
      <c r="AD5" s="7"/>
      <c r="AE5" s="7"/>
      <c r="AF5" s="7"/>
      <c r="AG5" s="7"/>
      <c r="AH5" s="7"/>
      <c r="AI5" s="7"/>
      <c r="AJ5" s="7">
        <v>41950</v>
      </c>
      <c r="AK5" s="7"/>
      <c r="AL5" s="7">
        <v>41950</v>
      </c>
      <c r="AM5" s="7">
        <v>41950</v>
      </c>
      <c r="AN5" s="168"/>
      <c r="AO5" s="169">
        <f>SUM(L5:X5)</f>
        <v>125850</v>
      </c>
      <c r="AP5" s="170">
        <f>SUM(AC5:AN5)</f>
        <v>125850</v>
      </c>
      <c r="AQ5" s="172">
        <f>AO5-AP5</f>
        <v>0</v>
      </c>
      <c r="AR5" s="173">
        <f>AQ5-V5-W5</f>
        <v>0</v>
      </c>
      <c r="AS5" s="177" t="s">
        <v>85</v>
      </c>
      <c r="AT5" s="178"/>
      <c r="AU5" s="180">
        <f>VLOOKUP(D5,Sheet3!D:O,12,FALSE)</f>
        <v>0</v>
      </c>
      <c r="AV5" s="180">
        <f>AQ5-AU5</f>
        <v>0</v>
      </c>
      <c r="AX5" s="180"/>
    </row>
    <row r="6" s="20" customFormat="1" ht="24" customHeight="1" spans="1:53">
      <c r="A6" s="132"/>
      <c r="B6" s="42" t="s">
        <v>81</v>
      </c>
      <c r="C6" s="122" t="s">
        <v>86</v>
      </c>
      <c r="D6" s="43" t="s">
        <v>87</v>
      </c>
      <c r="E6" s="123">
        <v>0</v>
      </c>
      <c r="F6" s="135">
        <v>561530.9</v>
      </c>
      <c r="G6" s="136"/>
      <c r="H6" s="136"/>
      <c r="I6" s="135"/>
      <c r="J6" s="136">
        <v>334593</v>
      </c>
      <c r="K6" s="136"/>
      <c r="L6" s="145">
        <f t="shared" ref="L6:L35" si="0">SUM(I6:K6)+E6</f>
        <v>334593</v>
      </c>
      <c r="M6" s="9">
        <f>191196+131339</f>
        <v>322535</v>
      </c>
      <c r="N6" s="124"/>
      <c r="O6" s="124"/>
      <c r="P6" s="124">
        <v>561985.73</v>
      </c>
      <c r="Q6" s="124">
        <f>120458+193659.4</f>
        <v>314117.4</v>
      </c>
      <c r="R6" s="124">
        <v>43086.9</v>
      </c>
      <c r="S6" s="150"/>
      <c r="T6" s="150"/>
      <c r="U6" s="124"/>
      <c r="V6" s="124">
        <v>60229</v>
      </c>
      <c r="W6" s="124"/>
      <c r="X6" s="124"/>
      <c r="Y6" s="156"/>
      <c r="Z6" s="79"/>
      <c r="AA6" s="79"/>
      <c r="AB6" s="79" t="s">
        <v>84</v>
      </c>
      <c r="AC6" s="7"/>
      <c r="AD6" s="7">
        <v>334593</v>
      </c>
      <c r="AE6" s="7">
        <v>322535</v>
      </c>
      <c r="AF6" s="7"/>
      <c r="AG6" s="7"/>
      <c r="AH6" s="7"/>
      <c r="AI6" s="7"/>
      <c r="AJ6" s="7">
        <v>876103.13</v>
      </c>
      <c r="AK6" s="7">
        <v>43086.9</v>
      </c>
      <c r="AL6" s="7"/>
      <c r="AM6" s="7"/>
      <c r="AN6" s="168"/>
      <c r="AO6" s="169">
        <f t="shared" ref="AO6:AO35" si="1">SUM(L6:X6)</f>
        <v>1636547.03</v>
      </c>
      <c r="AP6" s="170">
        <f t="shared" ref="AP6:AP35" si="2">SUM(AC6:AN6)</f>
        <v>1576318.03</v>
      </c>
      <c r="AQ6" s="172">
        <f>AO6-AP6</f>
        <v>60229</v>
      </c>
      <c r="AR6" s="173">
        <f t="shared" ref="AR6:AR50" si="3">AQ6-V6-W6</f>
        <v>0</v>
      </c>
      <c r="AS6" s="177" t="s">
        <v>85</v>
      </c>
      <c r="AT6" s="178"/>
      <c r="AU6" s="180">
        <f>VLOOKUP(D6,Sheet3!D:O,12,FALSE)</f>
        <v>0</v>
      </c>
      <c r="AV6" s="180">
        <f t="shared" ref="AV6:AV40" si="4">AQ6-AU6</f>
        <v>60229</v>
      </c>
      <c r="AX6" s="180"/>
      <c r="BA6" s="206"/>
    </row>
    <row r="7" s="20" customFormat="1" ht="24" customHeight="1" spans="2:50">
      <c r="B7" s="42" t="s">
        <v>81</v>
      </c>
      <c r="C7" s="122" t="s">
        <v>88</v>
      </c>
      <c r="D7" s="43" t="s">
        <v>89</v>
      </c>
      <c r="E7" s="123">
        <v>0</v>
      </c>
      <c r="F7" s="135"/>
      <c r="G7" s="136"/>
      <c r="H7" s="136"/>
      <c r="I7" s="135"/>
      <c r="J7" s="136"/>
      <c r="K7" s="136"/>
      <c r="L7" s="145">
        <f t="shared" si="0"/>
        <v>0</v>
      </c>
      <c r="M7" s="9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56"/>
      <c r="Z7" s="79"/>
      <c r="AA7" s="79"/>
      <c r="AB7" s="79" t="s">
        <v>84</v>
      </c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168"/>
      <c r="AO7" s="169">
        <f t="shared" si="1"/>
        <v>0</v>
      </c>
      <c r="AP7" s="170">
        <f t="shared" si="2"/>
        <v>0</v>
      </c>
      <c r="AQ7" s="172">
        <f t="shared" ref="AQ7:AQ44" si="5">AO7-AP7</f>
        <v>0</v>
      </c>
      <c r="AR7" s="173">
        <f t="shared" si="3"/>
        <v>0</v>
      </c>
      <c r="AS7" s="177" t="s">
        <v>85</v>
      </c>
      <c r="AT7" s="178"/>
      <c r="AU7" s="180">
        <f>VLOOKUP(D7,Sheet3!D:O,12,FALSE)</f>
        <v>0</v>
      </c>
      <c r="AV7" s="180">
        <f t="shared" si="4"/>
        <v>0</v>
      </c>
      <c r="AX7" s="180"/>
    </row>
    <row r="8" s="20" customFormat="1" ht="24" customHeight="1" spans="2:50">
      <c r="B8" s="42" t="s">
        <v>81</v>
      </c>
      <c r="C8" s="122" t="s">
        <v>90</v>
      </c>
      <c r="D8" s="43" t="s">
        <v>91</v>
      </c>
      <c r="E8" s="123">
        <v>51022.6</v>
      </c>
      <c r="F8" s="135"/>
      <c r="G8" s="136"/>
      <c r="H8" s="136"/>
      <c r="I8" s="135"/>
      <c r="J8" s="136">
        <f>53675+103056</f>
        <v>156731</v>
      </c>
      <c r="K8" s="136"/>
      <c r="L8" s="145">
        <f t="shared" si="0"/>
        <v>207753.6</v>
      </c>
      <c r="M8" s="9"/>
      <c r="N8" s="124"/>
      <c r="O8" s="124">
        <v>40674.58</v>
      </c>
      <c r="P8" s="124"/>
      <c r="Q8" s="124"/>
      <c r="R8" s="124"/>
      <c r="S8" s="124"/>
      <c r="T8" s="124"/>
      <c r="U8" s="124"/>
      <c r="V8" s="124">
        <f>110627+91421.52+64726.4</f>
        <v>266774.92</v>
      </c>
      <c r="W8" s="124"/>
      <c r="X8" s="124"/>
      <c r="Y8" s="156"/>
      <c r="Z8" s="79"/>
      <c r="AA8" s="79"/>
      <c r="AB8" s="79" t="s">
        <v>84</v>
      </c>
      <c r="AC8" s="7"/>
      <c r="AD8" s="7">
        <v>51022.6</v>
      </c>
      <c r="AE8" s="7"/>
      <c r="AF8" s="7"/>
      <c r="AG8" s="7"/>
      <c r="AH8" s="7"/>
      <c r="AI8" s="7"/>
      <c r="AJ8" s="7">
        <v>40000</v>
      </c>
      <c r="AK8" s="7">
        <v>156731</v>
      </c>
      <c r="AL8" s="7"/>
      <c r="AM8" s="7"/>
      <c r="AN8" s="168"/>
      <c r="AO8" s="169">
        <f t="shared" si="1"/>
        <v>515203.1</v>
      </c>
      <c r="AP8" s="170">
        <f t="shared" si="2"/>
        <v>247753.6</v>
      </c>
      <c r="AQ8" s="172">
        <f t="shared" si="5"/>
        <v>267449.5</v>
      </c>
      <c r="AR8" s="173">
        <f t="shared" si="3"/>
        <v>674.579999999958</v>
      </c>
      <c r="AS8" s="177" t="s">
        <v>85</v>
      </c>
      <c r="AT8" s="178"/>
      <c r="AU8" s="180">
        <f>VLOOKUP(D8,Sheet3!D:O,12,FALSE)</f>
        <v>188371</v>
      </c>
      <c r="AV8" s="180">
        <f t="shared" si="4"/>
        <v>79078.5</v>
      </c>
      <c r="AX8" s="180"/>
    </row>
    <row r="9" s="20" customFormat="1" ht="24" customHeight="1" spans="2:50">
      <c r="B9" s="42" t="s">
        <v>81</v>
      </c>
      <c r="C9" s="122" t="s">
        <v>92</v>
      </c>
      <c r="D9" s="43" t="s">
        <v>93</v>
      </c>
      <c r="E9" s="123">
        <v>0</v>
      </c>
      <c r="F9" s="135"/>
      <c r="G9" s="136"/>
      <c r="H9" s="136"/>
      <c r="I9" s="135"/>
      <c r="J9" s="136">
        <v>15959.36</v>
      </c>
      <c r="K9" s="136"/>
      <c r="L9" s="145">
        <f t="shared" si="0"/>
        <v>15959.36</v>
      </c>
      <c r="M9" s="9"/>
      <c r="N9" s="124"/>
      <c r="O9" s="124">
        <v>5243.2</v>
      </c>
      <c r="P9" s="124"/>
      <c r="Q9" s="124"/>
      <c r="R9" s="124"/>
      <c r="S9" s="124"/>
      <c r="T9" s="124"/>
      <c r="U9" s="124"/>
      <c r="V9" s="124"/>
      <c r="W9" s="124"/>
      <c r="X9" s="124"/>
      <c r="Y9" s="156"/>
      <c r="Z9" s="79"/>
      <c r="AA9" s="79"/>
      <c r="AB9" s="79" t="s">
        <v>84</v>
      </c>
      <c r="AC9" s="7"/>
      <c r="AD9" s="7"/>
      <c r="AE9" s="7"/>
      <c r="AF9" s="7"/>
      <c r="AG9" s="7"/>
      <c r="AH9" s="7"/>
      <c r="AI9" s="7"/>
      <c r="AJ9" s="7"/>
      <c r="AK9" s="7"/>
      <c r="AL9" s="7">
        <v>21202.56</v>
      </c>
      <c r="AM9" s="7"/>
      <c r="AN9" s="168"/>
      <c r="AO9" s="169">
        <f t="shared" si="1"/>
        <v>21202.56</v>
      </c>
      <c r="AP9" s="170">
        <f t="shared" si="2"/>
        <v>21202.56</v>
      </c>
      <c r="AQ9" s="172">
        <f t="shared" si="5"/>
        <v>0</v>
      </c>
      <c r="AR9" s="173">
        <f t="shared" si="3"/>
        <v>0</v>
      </c>
      <c r="AS9" s="177" t="s">
        <v>85</v>
      </c>
      <c r="AT9" s="178"/>
      <c r="AU9" s="180">
        <f>VLOOKUP(D9,Sheet3!D:O,12,FALSE)</f>
        <v>49503.04</v>
      </c>
      <c r="AV9" s="180">
        <f t="shared" si="4"/>
        <v>-49503.04</v>
      </c>
      <c r="AX9" s="180"/>
    </row>
    <row r="10" s="20" customFormat="1" ht="24" customHeight="1" spans="2:50">
      <c r="B10" s="42" t="s">
        <v>81</v>
      </c>
      <c r="C10" s="122" t="s">
        <v>94</v>
      </c>
      <c r="D10" s="43" t="s">
        <v>95</v>
      </c>
      <c r="E10" s="123">
        <v>0</v>
      </c>
      <c r="F10" s="135"/>
      <c r="G10" s="136"/>
      <c r="H10" s="136"/>
      <c r="I10" s="135"/>
      <c r="J10" s="136"/>
      <c r="K10" s="136"/>
      <c r="L10" s="145">
        <f t="shared" si="0"/>
        <v>0</v>
      </c>
      <c r="M10" s="9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56"/>
      <c r="Z10" s="79"/>
      <c r="AA10" s="79"/>
      <c r="AB10" s="79" t="s">
        <v>84</v>
      </c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168"/>
      <c r="AO10" s="169">
        <f t="shared" si="1"/>
        <v>0</v>
      </c>
      <c r="AP10" s="170">
        <f t="shared" si="2"/>
        <v>0</v>
      </c>
      <c r="AQ10" s="172">
        <f t="shared" si="5"/>
        <v>0</v>
      </c>
      <c r="AR10" s="173">
        <f t="shared" si="3"/>
        <v>0</v>
      </c>
      <c r="AS10" s="177" t="s">
        <v>96</v>
      </c>
      <c r="AT10" s="178"/>
      <c r="AU10" s="180">
        <f>VLOOKUP(D10,Sheet3!D:O,12,FALSE)</f>
        <v>0</v>
      </c>
      <c r="AV10" s="180">
        <f t="shared" si="4"/>
        <v>0</v>
      </c>
      <c r="AX10" s="180"/>
    </row>
    <row r="11" s="20" customFormat="1" ht="24" customHeight="1" spans="2:50">
      <c r="B11" s="42" t="s">
        <v>81</v>
      </c>
      <c r="C11" s="122" t="s">
        <v>97</v>
      </c>
      <c r="D11" s="43" t="s">
        <v>98</v>
      </c>
      <c r="E11" s="123">
        <v>0</v>
      </c>
      <c r="F11" s="135"/>
      <c r="G11" s="136"/>
      <c r="H11" s="136"/>
      <c r="I11" s="135">
        <v>39998.95</v>
      </c>
      <c r="J11" s="136"/>
      <c r="K11" s="136"/>
      <c r="L11" s="145">
        <f t="shared" si="0"/>
        <v>39998.95</v>
      </c>
      <c r="M11" s="9">
        <f>36433.22-8.68</f>
        <v>36424.54</v>
      </c>
      <c r="N11" s="124">
        <v>4881.6</v>
      </c>
      <c r="O11" s="124"/>
      <c r="P11" s="124">
        <v>16659.36</v>
      </c>
      <c r="Q11" s="124"/>
      <c r="R11" s="124"/>
      <c r="S11" s="124">
        <v>32325.68</v>
      </c>
      <c r="T11" s="124"/>
      <c r="U11" s="124">
        <v>4865.78</v>
      </c>
      <c r="V11" s="124">
        <v>16012.1</v>
      </c>
      <c r="W11" s="124"/>
      <c r="X11" s="124"/>
      <c r="Y11" s="156"/>
      <c r="Z11" s="79"/>
      <c r="AA11" s="79"/>
      <c r="AB11" s="79" t="s">
        <v>84</v>
      </c>
      <c r="AC11" s="7"/>
      <c r="AD11" s="7">
        <v>39998.95</v>
      </c>
      <c r="AE11" s="7"/>
      <c r="AF11" s="7"/>
      <c r="AG11" s="7"/>
      <c r="AH11" s="7"/>
      <c r="AI11" s="7"/>
      <c r="AJ11" s="7"/>
      <c r="AK11" s="7"/>
      <c r="AL11" s="7">
        <v>4881.6</v>
      </c>
      <c r="AM11" s="7">
        <v>80000</v>
      </c>
      <c r="AN11" s="168"/>
      <c r="AO11" s="169">
        <f t="shared" si="1"/>
        <v>151168.01</v>
      </c>
      <c r="AP11" s="170">
        <f t="shared" si="2"/>
        <v>124880.55</v>
      </c>
      <c r="AQ11" s="172">
        <f t="shared" si="5"/>
        <v>26287.46</v>
      </c>
      <c r="AR11" s="173">
        <f t="shared" si="3"/>
        <v>10275.36</v>
      </c>
      <c r="AS11" s="177" t="s">
        <v>85</v>
      </c>
      <c r="AT11" s="178"/>
      <c r="AU11" s="180">
        <f>VLOOKUP(D11,Sheet3!D:O,12,FALSE)</f>
        <v>4520</v>
      </c>
      <c r="AV11" s="180">
        <f t="shared" si="4"/>
        <v>21767.46</v>
      </c>
      <c r="AX11" s="180"/>
    </row>
    <row r="12" s="20" customFormat="1" ht="24" customHeight="1" spans="2:53">
      <c r="B12" s="42" t="s">
        <v>81</v>
      </c>
      <c r="C12" s="122" t="s">
        <v>99</v>
      </c>
      <c r="D12" s="43" t="s">
        <v>100</v>
      </c>
      <c r="E12" s="123">
        <v>0</v>
      </c>
      <c r="F12" s="135">
        <v>9322.5</v>
      </c>
      <c r="G12" s="136"/>
      <c r="H12" s="136"/>
      <c r="I12" s="135"/>
      <c r="J12" s="136"/>
      <c r="K12" s="136"/>
      <c r="L12" s="145">
        <f t="shared" si="0"/>
        <v>0</v>
      </c>
      <c r="M12" s="9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56"/>
      <c r="Z12" s="79"/>
      <c r="AA12" s="79"/>
      <c r="AB12" s="79" t="s">
        <v>84</v>
      </c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168"/>
      <c r="AO12" s="169">
        <f t="shared" si="1"/>
        <v>0</v>
      </c>
      <c r="AP12" s="170">
        <f t="shared" si="2"/>
        <v>0</v>
      </c>
      <c r="AQ12" s="172">
        <f t="shared" si="5"/>
        <v>0</v>
      </c>
      <c r="AR12" s="173">
        <f t="shared" si="3"/>
        <v>0</v>
      </c>
      <c r="AS12" s="177" t="s">
        <v>101</v>
      </c>
      <c r="AT12" s="178"/>
      <c r="AU12" s="180">
        <f>VLOOKUP(D12,Sheet3!D:O,12,FALSE)</f>
        <v>0</v>
      </c>
      <c r="AV12" s="180">
        <f t="shared" si="4"/>
        <v>0</v>
      </c>
      <c r="AX12" s="180"/>
      <c r="BA12" s="206"/>
    </row>
    <row r="13" s="20" customFormat="1" ht="24" customHeight="1" spans="2:50">
      <c r="B13" s="42" t="s">
        <v>81</v>
      </c>
      <c r="C13" s="122" t="s">
        <v>105</v>
      </c>
      <c r="D13" s="43" t="s">
        <v>106</v>
      </c>
      <c r="E13" s="123">
        <v>83003.9599999996</v>
      </c>
      <c r="F13" s="135">
        <v>127463.01</v>
      </c>
      <c r="G13" s="136"/>
      <c r="H13" s="136"/>
      <c r="I13" s="135">
        <v>72568.4</v>
      </c>
      <c r="J13" s="136">
        <v>101651.24</v>
      </c>
      <c r="K13" s="136"/>
      <c r="L13" s="145">
        <f t="shared" si="0"/>
        <v>257223.6</v>
      </c>
      <c r="M13" s="9">
        <f>81484.05+157016.28</f>
        <v>238500.33</v>
      </c>
      <c r="N13" s="124"/>
      <c r="O13" s="124">
        <v>44482.97</v>
      </c>
      <c r="P13" s="124">
        <v>105602.27</v>
      </c>
      <c r="Q13" s="124">
        <v>183228.64</v>
      </c>
      <c r="R13" s="124">
        <v>165595.12</v>
      </c>
      <c r="S13" s="124">
        <v>146213.94</v>
      </c>
      <c r="T13" s="124"/>
      <c r="U13" s="124">
        <v>83031.36</v>
      </c>
      <c r="V13" s="124">
        <v>135057.46</v>
      </c>
      <c r="W13" s="124"/>
      <c r="X13" s="124"/>
      <c r="Y13" s="156"/>
      <c r="Z13" s="79"/>
      <c r="AA13" s="79"/>
      <c r="AB13" s="79" t="s">
        <v>84</v>
      </c>
      <c r="AC13" s="7"/>
      <c r="AD13" s="7">
        <v>60000</v>
      </c>
      <c r="AE13" s="7">
        <v>200000</v>
      </c>
      <c r="AF13" s="7"/>
      <c r="AG13" s="7"/>
      <c r="AH13" s="7">
        <v>200000</v>
      </c>
      <c r="AI13" s="7">
        <v>75000</v>
      </c>
      <c r="AJ13" s="7">
        <v>180000</v>
      </c>
      <c r="AK13" s="7">
        <v>150000</v>
      </c>
      <c r="AL13" s="7">
        <v>150000</v>
      </c>
      <c r="AM13" s="7">
        <v>125846.87</v>
      </c>
      <c r="AN13" s="168"/>
      <c r="AO13" s="169">
        <f t="shared" si="1"/>
        <v>1358935.69</v>
      </c>
      <c r="AP13" s="170">
        <f t="shared" si="2"/>
        <v>1140846.87</v>
      </c>
      <c r="AQ13" s="172">
        <f t="shared" si="5"/>
        <v>218088.82</v>
      </c>
      <c r="AR13" s="173">
        <f t="shared" si="3"/>
        <v>83031.3599999996</v>
      </c>
      <c r="AS13" s="177" t="s">
        <v>85</v>
      </c>
      <c r="AT13" s="178"/>
      <c r="AU13" s="180">
        <f>VLOOKUP(D13,Sheet3!D:O,12,FALSE)</f>
        <v>310820.26</v>
      </c>
      <c r="AV13" s="180">
        <f t="shared" si="4"/>
        <v>-92731.4400000004</v>
      </c>
      <c r="AX13" s="180"/>
    </row>
    <row r="14" s="20" customFormat="1" ht="24" customHeight="1" spans="2:53">
      <c r="B14" s="42" t="s">
        <v>81</v>
      </c>
      <c r="C14" s="122" t="s">
        <v>107</v>
      </c>
      <c r="D14" s="43" t="s">
        <v>108</v>
      </c>
      <c r="E14" s="123">
        <v>0</v>
      </c>
      <c r="F14" s="135">
        <v>274834.08</v>
      </c>
      <c r="G14" s="136"/>
      <c r="H14" s="136"/>
      <c r="I14" s="135"/>
      <c r="J14" s="136">
        <v>275114</v>
      </c>
      <c r="K14" s="136">
        <v>384487.79</v>
      </c>
      <c r="L14" s="145">
        <f t="shared" si="0"/>
        <v>659601.79</v>
      </c>
      <c r="M14" s="9">
        <v>274834.08</v>
      </c>
      <c r="N14" s="124">
        <v>219867.26</v>
      </c>
      <c r="O14" s="124"/>
      <c r="P14" s="124">
        <v>219867.26</v>
      </c>
      <c r="Q14" s="124">
        <v>549668.16</v>
      </c>
      <c r="R14" s="124">
        <v>404006.1</v>
      </c>
      <c r="S14" s="124">
        <v>329800.9</v>
      </c>
      <c r="T14" s="124">
        <v>54966.82</v>
      </c>
      <c r="U14" s="124">
        <v>54966.82</v>
      </c>
      <c r="V14" s="124">
        <v>219867.26</v>
      </c>
      <c r="W14" s="124"/>
      <c r="X14" s="124"/>
      <c r="Y14" s="156"/>
      <c r="Z14" s="79"/>
      <c r="AA14" s="79"/>
      <c r="AB14" s="79" t="s">
        <v>84</v>
      </c>
      <c r="AC14" s="7"/>
      <c r="AD14" s="7">
        <v>200000</v>
      </c>
      <c r="AE14" s="7">
        <v>459601.79</v>
      </c>
      <c r="AF14" s="7">
        <v>274834.08</v>
      </c>
      <c r="AG14" s="7">
        <v>219867.26</v>
      </c>
      <c r="AH14" s="7"/>
      <c r="AI14" s="7">
        <v>219867.26</v>
      </c>
      <c r="AJ14" s="7">
        <v>549668.16</v>
      </c>
      <c r="AK14" s="7">
        <v>458972.92</v>
      </c>
      <c r="AL14" s="7">
        <v>274834.08</v>
      </c>
      <c r="AM14" s="7">
        <v>54966.82</v>
      </c>
      <c r="AN14" s="168"/>
      <c r="AO14" s="169">
        <f t="shared" si="1"/>
        <v>2987446.45</v>
      </c>
      <c r="AP14" s="170">
        <f t="shared" si="2"/>
        <v>2712612.37</v>
      </c>
      <c r="AQ14" s="172">
        <f t="shared" si="5"/>
        <v>274834.08</v>
      </c>
      <c r="AR14" s="173">
        <f t="shared" si="3"/>
        <v>54966.8200000001</v>
      </c>
      <c r="AS14" s="177" t="s">
        <v>85</v>
      </c>
      <c r="AT14" s="178"/>
      <c r="AU14" s="180">
        <f>VLOOKUP(D14,Sheet3!D:O,12,FALSE)</f>
        <v>494786.71</v>
      </c>
      <c r="AV14" s="180">
        <f t="shared" si="4"/>
        <v>-219952.63</v>
      </c>
      <c r="AX14" s="180"/>
      <c r="BA14" s="206"/>
    </row>
    <row r="15" s="20" customFormat="1" ht="24" customHeight="1" spans="2:50">
      <c r="B15" s="42" t="s">
        <v>81</v>
      </c>
      <c r="C15" s="122" t="s">
        <v>109</v>
      </c>
      <c r="D15" s="43" t="s">
        <v>204</v>
      </c>
      <c r="E15" s="123">
        <v>24.7300000000541</v>
      </c>
      <c r="F15" s="135">
        <v>46967.34</v>
      </c>
      <c r="G15" s="136">
        <v>15405.75</v>
      </c>
      <c r="H15" s="136">
        <v>10937.5</v>
      </c>
      <c r="I15" s="135"/>
      <c r="J15" s="136"/>
      <c r="K15" s="136">
        <v>16455.51</v>
      </c>
      <c r="L15" s="145">
        <f t="shared" si="0"/>
        <v>16480.2400000001</v>
      </c>
      <c r="M15" s="9"/>
      <c r="N15" s="124">
        <f>7685.81-0.99</f>
        <v>7684.82</v>
      </c>
      <c r="O15" s="124">
        <f>16159+17289</f>
        <v>33448</v>
      </c>
      <c r="P15" s="124">
        <v>13901.26</v>
      </c>
      <c r="Q15" s="124">
        <f>11300+13749.84</f>
        <v>25049.84</v>
      </c>
      <c r="R15" s="124">
        <v>33765.53</v>
      </c>
      <c r="S15" s="124"/>
      <c r="T15" s="124">
        <v>22780.8</v>
      </c>
      <c r="U15" s="124"/>
      <c r="V15" s="124">
        <v>6597.88</v>
      </c>
      <c r="W15" s="124">
        <v>37.97</v>
      </c>
      <c r="X15" s="124"/>
      <c r="Y15" s="156"/>
      <c r="Z15" s="79"/>
      <c r="AA15" s="79"/>
      <c r="AB15" s="79" t="s">
        <v>84</v>
      </c>
      <c r="AC15" s="7"/>
      <c r="AD15" s="7">
        <v>16455.51</v>
      </c>
      <c r="AE15" s="7">
        <v>7684.82</v>
      </c>
      <c r="AF15" s="7">
        <v>33448</v>
      </c>
      <c r="AG15" s="7">
        <v>25201.26</v>
      </c>
      <c r="AH15" s="7">
        <v>13749.84</v>
      </c>
      <c r="AI15" s="7">
        <v>33765.53</v>
      </c>
      <c r="AJ15" s="7"/>
      <c r="AK15" s="7">
        <v>22780.8</v>
      </c>
      <c r="AL15" s="7">
        <v>6597.88</v>
      </c>
      <c r="AM15" s="7"/>
      <c r="AN15" s="168"/>
      <c r="AO15" s="169">
        <f t="shared" si="1"/>
        <v>159746.34</v>
      </c>
      <c r="AP15" s="170">
        <f t="shared" si="2"/>
        <v>159683.64</v>
      </c>
      <c r="AQ15" s="172">
        <f t="shared" si="5"/>
        <v>62.7000000000698</v>
      </c>
      <c r="AR15" s="173">
        <v>0</v>
      </c>
      <c r="AS15" s="177" t="s">
        <v>111</v>
      </c>
      <c r="AT15" s="178"/>
      <c r="AU15" s="180">
        <f>VLOOKUP(D15,Sheet3!D:O,12,FALSE)</f>
        <v>62.7</v>
      </c>
      <c r="AV15" s="180">
        <f t="shared" si="4"/>
        <v>6.98463509252178e-11</v>
      </c>
      <c r="AX15" s="180"/>
    </row>
    <row r="16" s="20" customFormat="1" ht="24" customHeight="1" spans="2:50">
      <c r="B16" s="42" t="s">
        <v>81</v>
      </c>
      <c r="C16" s="122" t="s">
        <v>112</v>
      </c>
      <c r="D16" s="43" t="s">
        <v>113</v>
      </c>
      <c r="E16" s="123">
        <v>379687.2</v>
      </c>
      <c r="F16" s="135">
        <v>173327.19</v>
      </c>
      <c r="G16" s="136"/>
      <c r="H16" s="136"/>
      <c r="I16" s="135"/>
      <c r="J16" s="136">
        <f>44175.26+85444.78</f>
        <v>129620.04</v>
      </c>
      <c r="K16" s="136">
        <v>108012.24</v>
      </c>
      <c r="L16" s="145">
        <f t="shared" si="0"/>
        <v>617319.48</v>
      </c>
      <c r="M16" s="9">
        <v>41693.56</v>
      </c>
      <c r="N16" s="124">
        <v>29584.08</v>
      </c>
      <c r="O16" s="124"/>
      <c r="P16" s="124">
        <v>68983.39</v>
      </c>
      <c r="Q16" s="124">
        <f>93334.56</f>
        <v>93334.56</v>
      </c>
      <c r="R16" s="124">
        <f>95831.35+42720.16</f>
        <v>138551.51</v>
      </c>
      <c r="S16" s="124">
        <v>90801.54</v>
      </c>
      <c r="T16" s="124">
        <v>20924.89</v>
      </c>
      <c r="U16" s="124"/>
      <c r="V16" s="124">
        <v>64055.69</v>
      </c>
      <c r="W16" s="124">
        <v>21990.53</v>
      </c>
      <c r="X16" s="124"/>
      <c r="Y16" s="156"/>
      <c r="Z16" s="79"/>
      <c r="AA16" s="79"/>
      <c r="AB16" s="79" t="s">
        <v>84</v>
      </c>
      <c r="AC16" s="7"/>
      <c r="AD16" s="7">
        <v>300000</v>
      </c>
      <c r="AE16" s="7"/>
      <c r="AF16" s="7"/>
      <c r="AG16" s="7"/>
      <c r="AH16" s="7">
        <v>150000</v>
      </c>
      <c r="AI16" s="7"/>
      <c r="AJ16" s="7"/>
      <c r="AK16" s="7">
        <v>200000</v>
      </c>
      <c r="AL16" s="7">
        <v>200000</v>
      </c>
      <c r="AM16" s="7"/>
      <c r="AN16" s="168"/>
      <c r="AO16" s="169">
        <f t="shared" si="1"/>
        <v>1187239.23</v>
      </c>
      <c r="AP16" s="170">
        <f t="shared" si="2"/>
        <v>850000</v>
      </c>
      <c r="AQ16" s="172">
        <f t="shared" si="5"/>
        <v>337239.23</v>
      </c>
      <c r="AR16" s="173">
        <f t="shared" si="3"/>
        <v>251193.01</v>
      </c>
      <c r="AS16" s="177" t="s">
        <v>85</v>
      </c>
      <c r="AT16" s="178"/>
      <c r="AU16" s="180">
        <f>VLOOKUP(D16,Sheet3!D:O,12,FALSE)</f>
        <v>205279.13</v>
      </c>
      <c r="AV16" s="180">
        <f t="shared" si="4"/>
        <v>131960.1</v>
      </c>
      <c r="AX16" s="180"/>
    </row>
    <row r="17" s="20" customFormat="1" ht="24" customHeight="1" spans="2:50">
      <c r="B17" s="42" t="s">
        <v>81</v>
      </c>
      <c r="C17" s="122" t="s">
        <v>114</v>
      </c>
      <c r="D17" s="43" t="s">
        <v>115</v>
      </c>
      <c r="E17" s="123">
        <v>268.440000000061</v>
      </c>
      <c r="F17" s="135"/>
      <c r="G17" s="136"/>
      <c r="H17" s="136"/>
      <c r="I17" s="135">
        <v>290622.44</v>
      </c>
      <c r="J17" s="136"/>
      <c r="K17" s="136"/>
      <c r="L17" s="145">
        <f t="shared" si="0"/>
        <v>290890.88</v>
      </c>
      <c r="M17" s="9">
        <v>306840.2</v>
      </c>
      <c r="N17" s="124"/>
      <c r="O17" s="124"/>
      <c r="P17" s="124">
        <v>70814.84</v>
      </c>
      <c r="Q17" s="124">
        <v>109158</v>
      </c>
      <c r="R17" s="124">
        <v>102111.32</v>
      </c>
      <c r="S17" s="124">
        <v>109560.28</v>
      </c>
      <c r="T17" s="124"/>
      <c r="U17" s="124"/>
      <c r="V17" s="124"/>
      <c r="W17" s="124">
        <f>18193+8176.68+48219.36+77671.68</f>
        <v>152260.72</v>
      </c>
      <c r="X17" s="124"/>
      <c r="Y17" s="156"/>
      <c r="Z17" s="79"/>
      <c r="AA17" s="79"/>
      <c r="AB17" s="79" t="s">
        <v>84</v>
      </c>
      <c r="AC17" s="7"/>
      <c r="AD17" s="7">
        <v>100000</v>
      </c>
      <c r="AE17" s="7">
        <v>297731.38</v>
      </c>
      <c r="AF17" s="7"/>
      <c r="AG17" s="7">
        <v>199999.7</v>
      </c>
      <c r="AH17" s="7"/>
      <c r="AI17" s="7"/>
      <c r="AJ17" s="7">
        <v>109158</v>
      </c>
      <c r="AK17" s="7"/>
      <c r="AL17" s="7"/>
      <c r="AM17" s="7">
        <v>70814.84</v>
      </c>
      <c r="AN17" s="168"/>
      <c r="AO17" s="169">
        <f t="shared" si="1"/>
        <v>1141636.24</v>
      </c>
      <c r="AP17" s="170">
        <f t="shared" si="2"/>
        <v>777703.92</v>
      </c>
      <c r="AQ17" s="172">
        <f t="shared" si="5"/>
        <v>363932.32</v>
      </c>
      <c r="AR17" s="173">
        <f t="shared" si="3"/>
        <v>211671.6</v>
      </c>
      <c r="AS17" s="177" t="s">
        <v>85</v>
      </c>
      <c r="AT17" s="178"/>
      <c r="AU17" s="180">
        <f>VLOOKUP(D17,Sheet3!D:O,12,FALSE)</f>
        <v>193535.11</v>
      </c>
      <c r="AV17" s="180">
        <f t="shared" si="4"/>
        <v>170397.21</v>
      </c>
      <c r="AX17" s="180"/>
    </row>
    <row r="18" s="20" customFormat="1" ht="24" customHeight="1" spans="2:53">
      <c r="B18" s="42" t="s">
        <v>81</v>
      </c>
      <c r="C18" s="122" t="s">
        <v>116</v>
      </c>
      <c r="D18" s="43" t="s">
        <v>205</v>
      </c>
      <c r="E18" s="123">
        <v>36671.4</v>
      </c>
      <c r="F18" s="135"/>
      <c r="G18" s="136">
        <v>28601.2</v>
      </c>
      <c r="H18" s="136"/>
      <c r="I18" s="135"/>
      <c r="J18" s="136"/>
      <c r="K18" s="136"/>
      <c r="L18" s="145">
        <f t="shared" si="0"/>
        <v>36671.4</v>
      </c>
      <c r="M18" s="9">
        <v>19717.03</v>
      </c>
      <c r="N18" s="124"/>
      <c r="O18" s="124"/>
      <c r="P18" s="124">
        <v>25264.02</v>
      </c>
      <c r="Q18" s="124">
        <v>32724.8</v>
      </c>
      <c r="R18" s="124"/>
      <c r="S18" s="124">
        <v>31278.4</v>
      </c>
      <c r="T18" s="124"/>
      <c r="U18" s="124">
        <v>9119.1</v>
      </c>
      <c r="V18" s="124">
        <v>8203.8</v>
      </c>
      <c r="W18" s="124"/>
      <c r="X18" s="124"/>
      <c r="Y18" s="156"/>
      <c r="Z18" s="79"/>
      <c r="AA18" s="79"/>
      <c r="AB18" s="79" t="s">
        <v>84</v>
      </c>
      <c r="AC18" s="7"/>
      <c r="AD18" s="7">
        <f>20000+8070.2</f>
        <v>28070.2</v>
      </c>
      <c r="AE18" s="7"/>
      <c r="AF18" s="7"/>
      <c r="AG18" s="7"/>
      <c r="AH18" s="7"/>
      <c r="AI18" s="7"/>
      <c r="AJ18" s="7">
        <v>61043.03</v>
      </c>
      <c r="AK18" s="7"/>
      <c r="AL18" s="7">
        <v>31278.4</v>
      </c>
      <c r="AM18" s="7">
        <v>25264.02</v>
      </c>
      <c r="AN18" s="168"/>
      <c r="AO18" s="169">
        <f t="shared" si="1"/>
        <v>162978.55</v>
      </c>
      <c r="AP18" s="170">
        <f t="shared" si="2"/>
        <v>145655.65</v>
      </c>
      <c r="AQ18" s="172">
        <f t="shared" si="5"/>
        <v>17322.9</v>
      </c>
      <c r="AR18" s="173">
        <f t="shared" si="3"/>
        <v>9119.09999999999</v>
      </c>
      <c r="AS18" s="177" t="s">
        <v>85</v>
      </c>
      <c r="AT18" s="178"/>
      <c r="AU18" s="180">
        <f>VLOOKUP(D18,Sheet3!D:O,12,FALSE)</f>
        <v>0</v>
      </c>
      <c r="AV18" s="180">
        <f t="shared" si="4"/>
        <v>17322.9</v>
      </c>
      <c r="AX18" s="180"/>
      <c r="BA18" s="206"/>
    </row>
    <row r="19" s="20" customFormat="1" ht="24" customHeight="1" spans="2:50">
      <c r="B19" s="42" t="s">
        <v>81</v>
      </c>
      <c r="C19" s="122" t="s">
        <v>118</v>
      </c>
      <c r="D19" s="43" t="s">
        <v>119</v>
      </c>
      <c r="E19" s="123">
        <v>283331</v>
      </c>
      <c r="F19" s="135"/>
      <c r="G19" s="136"/>
      <c r="H19" s="136"/>
      <c r="I19" s="135"/>
      <c r="J19" s="136"/>
      <c r="K19" s="136"/>
      <c r="L19" s="145">
        <f t="shared" si="0"/>
        <v>283331</v>
      </c>
      <c r="M19" s="9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56"/>
      <c r="Z19" s="79"/>
      <c r="AA19" s="79"/>
      <c r="AB19" s="79" t="s">
        <v>84</v>
      </c>
      <c r="AC19" s="7"/>
      <c r="AD19" s="7">
        <v>100000</v>
      </c>
      <c r="AE19" s="7">
        <v>100000</v>
      </c>
      <c r="AF19" s="7"/>
      <c r="AG19" s="7"/>
      <c r="AH19" s="7"/>
      <c r="AI19" s="7"/>
      <c r="AJ19" s="7">
        <v>83331</v>
      </c>
      <c r="AK19" s="7"/>
      <c r="AL19" s="7"/>
      <c r="AM19" s="7"/>
      <c r="AN19" s="168"/>
      <c r="AO19" s="169">
        <f t="shared" si="1"/>
        <v>283331</v>
      </c>
      <c r="AP19" s="170">
        <f t="shared" si="2"/>
        <v>283331</v>
      </c>
      <c r="AQ19" s="172">
        <f t="shared" si="5"/>
        <v>0</v>
      </c>
      <c r="AR19" s="173">
        <f t="shared" si="3"/>
        <v>0</v>
      </c>
      <c r="AS19" s="177" t="s">
        <v>85</v>
      </c>
      <c r="AT19" s="178"/>
      <c r="AU19" s="180">
        <f>VLOOKUP(D19,Sheet3!D:O,12,FALSE)</f>
        <v>0</v>
      </c>
      <c r="AV19" s="180">
        <f t="shared" si="4"/>
        <v>0</v>
      </c>
      <c r="AX19" s="180"/>
    </row>
    <row r="20" s="20" customFormat="1" ht="24" customHeight="1" spans="2:50">
      <c r="B20" s="48" t="s">
        <v>81</v>
      </c>
      <c r="C20" s="122" t="s">
        <v>120</v>
      </c>
      <c r="D20" s="43" t="s">
        <v>121</v>
      </c>
      <c r="E20" s="123">
        <v>0</v>
      </c>
      <c r="F20" s="135"/>
      <c r="G20" s="136"/>
      <c r="H20" s="136"/>
      <c r="I20" s="135"/>
      <c r="J20" s="136"/>
      <c r="K20" s="136"/>
      <c r="L20" s="145">
        <f t="shared" si="0"/>
        <v>0</v>
      </c>
      <c r="M20" s="9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56"/>
      <c r="Z20" s="79"/>
      <c r="AA20" s="79"/>
      <c r="AB20" s="79" t="s">
        <v>84</v>
      </c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168"/>
      <c r="AO20" s="169">
        <f t="shared" si="1"/>
        <v>0</v>
      </c>
      <c r="AP20" s="170">
        <f t="shared" si="2"/>
        <v>0</v>
      </c>
      <c r="AQ20" s="172">
        <f t="shared" si="5"/>
        <v>0</v>
      </c>
      <c r="AR20" s="173">
        <f t="shared" si="3"/>
        <v>0</v>
      </c>
      <c r="AS20" s="177" t="s">
        <v>85</v>
      </c>
      <c r="AT20" s="178"/>
      <c r="AU20" s="180">
        <f>VLOOKUP(D20,Sheet3!D:O,12,FALSE)</f>
        <v>0</v>
      </c>
      <c r="AV20" s="180">
        <f t="shared" si="4"/>
        <v>0</v>
      </c>
      <c r="AX20" s="180"/>
    </row>
    <row r="21" s="20" customFormat="1" ht="24" customHeight="1" spans="2:50">
      <c r="B21" s="48" t="s">
        <v>81</v>
      </c>
      <c r="C21" s="122" t="s">
        <v>122</v>
      </c>
      <c r="D21" s="43" t="s">
        <v>123</v>
      </c>
      <c r="E21" s="123">
        <v>568253.28</v>
      </c>
      <c r="F21" s="135">
        <v>568253.28</v>
      </c>
      <c r="G21" s="136"/>
      <c r="H21" s="136"/>
      <c r="I21" s="135"/>
      <c r="J21" s="136">
        <v>285575.32</v>
      </c>
      <c r="K21" s="136">
        <v>401604.1</v>
      </c>
      <c r="L21" s="145">
        <f t="shared" si="0"/>
        <v>1255432.7</v>
      </c>
      <c r="M21" s="9">
        <v>199090.48</v>
      </c>
      <c r="N21" s="124">
        <v>169506.78</v>
      </c>
      <c r="O21" s="124"/>
      <c r="P21" s="124">
        <v>422660.9</v>
      </c>
      <c r="Q21" s="124">
        <v>819237.83</v>
      </c>
      <c r="R21" s="124">
        <v>486674.09</v>
      </c>
      <c r="S21" s="124">
        <f>108777.24+108777.24+72151.07</f>
        <v>289705.55</v>
      </c>
      <c r="T21" s="124">
        <f>41724.12+92223.82</f>
        <v>133947.94</v>
      </c>
      <c r="U21" s="124">
        <f>91620.4+61839.2+110446.2</f>
        <v>263905.8</v>
      </c>
      <c r="V21" s="124">
        <f>61285.37+108657.35</f>
        <v>169942.72</v>
      </c>
      <c r="W21" s="124">
        <f>110446.2+11854.56+3850</f>
        <v>126150.76</v>
      </c>
      <c r="X21" s="124"/>
      <c r="Y21" s="156"/>
      <c r="Z21" s="79"/>
      <c r="AA21" s="79"/>
      <c r="AB21" s="79" t="s">
        <v>84</v>
      </c>
      <c r="AC21" s="7"/>
      <c r="AD21" s="7">
        <v>400000</v>
      </c>
      <c r="AE21" s="7">
        <v>453828.6</v>
      </c>
      <c r="AF21" s="7">
        <v>401604.1</v>
      </c>
      <c r="AG21" s="7">
        <v>368597.26</v>
      </c>
      <c r="AH21" s="7">
        <v>401604.1</v>
      </c>
      <c r="AI21" s="7"/>
      <c r="AJ21" s="7">
        <v>500000</v>
      </c>
      <c r="AK21" s="7">
        <v>741898.73</v>
      </c>
      <c r="AL21" s="7">
        <v>374775.54</v>
      </c>
      <c r="AM21" s="7">
        <v>303890.66</v>
      </c>
      <c r="AN21" s="168"/>
      <c r="AO21" s="169">
        <f t="shared" si="1"/>
        <v>4336255.55</v>
      </c>
      <c r="AP21" s="170">
        <f t="shared" si="2"/>
        <v>3946198.99</v>
      </c>
      <c r="AQ21" s="172">
        <f t="shared" si="5"/>
        <v>390056.56</v>
      </c>
      <c r="AR21" s="173">
        <f t="shared" si="3"/>
        <v>93963.0799999996</v>
      </c>
      <c r="AS21" s="177" t="s">
        <v>85</v>
      </c>
      <c r="AT21" s="178"/>
      <c r="AU21" s="180">
        <f>VLOOKUP(D21,Sheet3!D:O,12,FALSE)</f>
        <v>355657.92</v>
      </c>
      <c r="AV21" s="180">
        <f t="shared" si="4"/>
        <v>34398.6399999996</v>
      </c>
      <c r="AX21" s="180"/>
    </row>
    <row r="22" s="20" customFormat="1" ht="24" customHeight="1" spans="2:53">
      <c r="B22" s="48" t="s">
        <v>81</v>
      </c>
      <c r="C22" s="122" t="s">
        <v>124</v>
      </c>
      <c r="D22" s="43" t="s">
        <v>125</v>
      </c>
      <c r="E22" s="123">
        <v>7726.19999999992</v>
      </c>
      <c r="F22" s="135">
        <v>38917.2</v>
      </c>
      <c r="G22" s="136"/>
      <c r="H22" s="136"/>
      <c r="I22" s="135">
        <v>22401.12</v>
      </c>
      <c r="J22" s="136">
        <v>37398.48</v>
      </c>
      <c r="K22" s="136">
        <v>36373.34</v>
      </c>
      <c r="L22" s="145">
        <f t="shared" si="0"/>
        <v>103899.14</v>
      </c>
      <c r="M22" s="9"/>
      <c r="N22" s="124"/>
      <c r="O22" s="124">
        <f>25248.72+13288.8</f>
        <v>38537.52</v>
      </c>
      <c r="P22" s="124"/>
      <c r="Q22" s="124"/>
      <c r="R22" s="124">
        <v>53060.28</v>
      </c>
      <c r="S22" s="124"/>
      <c r="T22" s="124">
        <v>19933.2</v>
      </c>
      <c r="U22" s="124"/>
      <c r="V22" s="124"/>
      <c r="W22" s="124"/>
      <c r="X22" s="124"/>
      <c r="Y22" s="156"/>
      <c r="Z22" s="79"/>
      <c r="AA22" s="79"/>
      <c r="AB22" s="79" t="s">
        <v>84</v>
      </c>
      <c r="AC22" s="7"/>
      <c r="AD22" s="7">
        <v>23000</v>
      </c>
      <c r="AE22" s="7"/>
      <c r="AF22" s="7"/>
      <c r="AG22" s="7"/>
      <c r="AH22" s="7"/>
      <c r="AI22" s="7"/>
      <c r="AJ22" s="7">
        <v>60938.64</v>
      </c>
      <c r="AK22" s="7"/>
      <c r="AL22" s="7">
        <v>56306.54</v>
      </c>
      <c r="AM22" s="7">
        <f>37398.48+37786.48</f>
        <v>75184.96</v>
      </c>
      <c r="AN22" s="168"/>
      <c r="AO22" s="169">
        <f t="shared" si="1"/>
        <v>215430.14</v>
      </c>
      <c r="AP22" s="170">
        <f t="shared" si="2"/>
        <v>215430.14</v>
      </c>
      <c r="AQ22" s="172">
        <f t="shared" si="5"/>
        <v>0</v>
      </c>
      <c r="AR22" s="173">
        <f t="shared" si="3"/>
        <v>0</v>
      </c>
      <c r="AS22" s="177" t="s">
        <v>85</v>
      </c>
      <c r="AT22" s="178"/>
      <c r="AU22" s="180">
        <f>VLOOKUP(D22,Sheet3!D:O,12,FALSE)</f>
        <v>43378.44</v>
      </c>
      <c r="AV22" s="180">
        <f t="shared" si="4"/>
        <v>-43378.44</v>
      </c>
      <c r="AX22" s="180"/>
      <c r="BA22" s="206"/>
    </row>
    <row r="23" s="20" customFormat="1" ht="24" customHeight="1" spans="2:50">
      <c r="B23" s="48" t="s">
        <v>81</v>
      </c>
      <c r="C23" s="122" t="s">
        <v>126</v>
      </c>
      <c r="D23" s="43" t="s">
        <v>127</v>
      </c>
      <c r="E23" s="123">
        <v>0</v>
      </c>
      <c r="F23" s="135">
        <v>5455.64</v>
      </c>
      <c r="G23" s="136"/>
      <c r="H23" s="136"/>
      <c r="I23" s="135"/>
      <c r="J23" s="136"/>
      <c r="K23" s="136"/>
      <c r="L23" s="145">
        <f t="shared" si="0"/>
        <v>0</v>
      </c>
      <c r="M23" s="9"/>
      <c r="N23" s="124"/>
      <c r="O23" s="124"/>
      <c r="P23" s="124"/>
      <c r="Q23" s="124">
        <v>5455.64</v>
      </c>
      <c r="R23" s="124"/>
      <c r="S23" s="124"/>
      <c r="T23" s="124"/>
      <c r="U23" s="124"/>
      <c r="V23" s="124"/>
      <c r="W23" s="124"/>
      <c r="X23" s="124"/>
      <c r="Y23" s="156"/>
      <c r="Z23" s="79"/>
      <c r="AA23" s="79"/>
      <c r="AB23" s="79" t="s">
        <v>84</v>
      </c>
      <c r="AC23" s="7"/>
      <c r="AD23" s="7"/>
      <c r="AE23" s="7"/>
      <c r="AF23" s="7">
        <v>5455.64</v>
      </c>
      <c r="AG23" s="7"/>
      <c r="AH23" s="7"/>
      <c r="AI23" s="7"/>
      <c r="AJ23" s="7"/>
      <c r="AK23" s="7"/>
      <c r="AL23" s="7"/>
      <c r="AM23" s="7"/>
      <c r="AN23" s="168"/>
      <c r="AO23" s="169">
        <f t="shared" si="1"/>
        <v>5455.64</v>
      </c>
      <c r="AP23" s="170">
        <f t="shared" si="2"/>
        <v>5455.64</v>
      </c>
      <c r="AQ23" s="172">
        <f t="shared" si="5"/>
        <v>0</v>
      </c>
      <c r="AR23" s="173">
        <f t="shared" si="3"/>
        <v>0</v>
      </c>
      <c r="AS23" s="177" t="s">
        <v>96</v>
      </c>
      <c r="AT23" s="178"/>
      <c r="AU23" s="180">
        <f>VLOOKUP(D23,Sheet3!D:O,12,FALSE)</f>
        <v>0</v>
      </c>
      <c r="AV23" s="180">
        <f t="shared" si="4"/>
        <v>0</v>
      </c>
      <c r="AX23" s="180"/>
    </row>
    <row r="24" s="20" customFormat="1" ht="24" customHeight="1" spans="2:50">
      <c r="B24" s="48" t="s">
        <v>81</v>
      </c>
      <c r="C24" s="122" t="s">
        <v>128</v>
      </c>
      <c r="D24" s="43" t="s">
        <v>129</v>
      </c>
      <c r="E24" s="123">
        <v>74904.3</v>
      </c>
      <c r="F24" s="135">
        <v>72360.68</v>
      </c>
      <c r="G24" s="136"/>
      <c r="H24" s="136"/>
      <c r="I24" s="135"/>
      <c r="J24" s="136"/>
      <c r="K24" s="146">
        <v>33212.24</v>
      </c>
      <c r="L24" s="145">
        <f t="shared" si="0"/>
        <v>108116.54</v>
      </c>
      <c r="M24" s="9"/>
      <c r="N24" s="124"/>
      <c r="O24" s="124"/>
      <c r="P24" s="124">
        <v>34952.03</v>
      </c>
      <c r="Q24" s="124">
        <v>60294.54</v>
      </c>
      <c r="R24" s="124">
        <v>42429.39</v>
      </c>
      <c r="S24" s="124">
        <v>43470.9</v>
      </c>
      <c r="T24" s="124"/>
      <c r="U24" s="124"/>
      <c r="V24" s="124">
        <v>47132.53</v>
      </c>
      <c r="W24" s="124"/>
      <c r="X24" s="124"/>
      <c r="Y24" s="156"/>
      <c r="Z24" s="79"/>
      <c r="AA24" s="79"/>
      <c r="AB24" s="79" t="s">
        <v>84</v>
      </c>
      <c r="AC24" s="7"/>
      <c r="AD24" s="7">
        <v>74904.3</v>
      </c>
      <c r="AE24" s="7"/>
      <c r="AF24" s="7"/>
      <c r="AG24" s="7">
        <v>34952.03</v>
      </c>
      <c r="AH24" s="7"/>
      <c r="AI24" s="7"/>
      <c r="AJ24" s="7">
        <v>60294.54</v>
      </c>
      <c r="AK24" s="7"/>
      <c r="AL24" s="7"/>
      <c r="AM24" s="7">
        <v>85900.29</v>
      </c>
      <c r="AN24" s="168"/>
      <c r="AO24" s="169">
        <f t="shared" si="1"/>
        <v>336395.93</v>
      </c>
      <c r="AP24" s="170">
        <f t="shared" si="2"/>
        <v>256051.16</v>
      </c>
      <c r="AQ24" s="172">
        <f t="shared" si="5"/>
        <v>80344.7700000001</v>
      </c>
      <c r="AR24" s="173">
        <f t="shared" si="3"/>
        <v>33212.2400000001</v>
      </c>
      <c r="AS24" s="177" t="s">
        <v>85</v>
      </c>
      <c r="AT24" s="178"/>
      <c r="AU24" s="180">
        <f>VLOOKUP(D24,Sheet3!D:O,12,FALSE)</f>
        <v>112483.76</v>
      </c>
      <c r="AV24" s="180">
        <f t="shared" si="4"/>
        <v>-32138.9899999999</v>
      </c>
      <c r="AX24" s="180"/>
    </row>
    <row r="25" s="20" customFormat="1" ht="24" customHeight="1" spans="2:53">
      <c r="B25" s="48" t="s">
        <v>81</v>
      </c>
      <c r="C25" s="122" t="s">
        <v>130</v>
      </c>
      <c r="D25" s="43" t="s">
        <v>131</v>
      </c>
      <c r="E25" s="123">
        <v>-15576.8</v>
      </c>
      <c r="F25" s="135"/>
      <c r="G25" s="136"/>
      <c r="H25" s="136"/>
      <c r="I25" s="135">
        <v>2500</v>
      </c>
      <c r="J25" s="136">
        <v>1000</v>
      </c>
      <c r="K25" s="136"/>
      <c r="L25" s="145">
        <f t="shared" si="0"/>
        <v>-12076.8</v>
      </c>
      <c r="M25" s="9">
        <v>1000</v>
      </c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56"/>
      <c r="Z25" s="79"/>
      <c r="AA25" s="79"/>
      <c r="AB25" s="79" t="s">
        <v>84</v>
      </c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168"/>
      <c r="AO25" s="169">
        <f t="shared" si="1"/>
        <v>-11076.8</v>
      </c>
      <c r="AP25" s="170">
        <f t="shared" si="2"/>
        <v>0</v>
      </c>
      <c r="AQ25" s="172">
        <f t="shared" si="5"/>
        <v>-11076.8</v>
      </c>
      <c r="AR25" s="173">
        <v>0</v>
      </c>
      <c r="AS25" s="177" t="s">
        <v>85</v>
      </c>
      <c r="AT25" s="178"/>
      <c r="AU25" s="180">
        <f>VLOOKUP(D25,Sheet3!D:O,12,FALSE)</f>
        <v>2000</v>
      </c>
      <c r="AV25" s="180">
        <f t="shared" si="4"/>
        <v>-13076.8</v>
      </c>
      <c r="AX25" s="180"/>
      <c r="BA25" s="206"/>
    </row>
    <row r="26" s="20" customFormat="1" ht="24" customHeight="1" spans="2:53">
      <c r="B26" s="42" t="s">
        <v>81</v>
      </c>
      <c r="C26" s="122" t="s">
        <v>102</v>
      </c>
      <c r="D26" s="50" t="s">
        <v>103</v>
      </c>
      <c r="E26" s="123">
        <v>-818228.05</v>
      </c>
      <c r="F26" s="135"/>
      <c r="G26" s="136"/>
      <c r="H26" s="136"/>
      <c r="I26" s="135">
        <v>327734.09</v>
      </c>
      <c r="J26" s="136">
        <v>216787.22</v>
      </c>
      <c r="K26" s="136">
        <v>273706.82</v>
      </c>
      <c r="L26" s="145">
        <f t="shared" si="0"/>
        <v>0.0800000000745058</v>
      </c>
      <c r="M26" s="9">
        <v>56034.82</v>
      </c>
      <c r="N26" s="9">
        <v>51304.4</v>
      </c>
      <c r="O26" s="124">
        <v>63529.76</v>
      </c>
      <c r="P26" s="124">
        <v>243381.98</v>
      </c>
      <c r="Q26" s="124">
        <v>377470.62</v>
      </c>
      <c r="R26" s="124">
        <v>353804.17</v>
      </c>
      <c r="S26" s="124">
        <v>14195.88</v>
      </c>
      <c r="T26" s="124">
        <v>47482.76</v>
      </c>
      <c r="U26" s="124">
        <v>116108.04</v>
      </c>
      <c r="V26" s="124">
        <v>83727.08</v>
      </c>
      <c r="W26" s="124">
        <v>103488.12</v>
      </c>
      <c r="X26" s="124"/>
      <c r="Y26" s="156"/>
      <c r="Z26" s="79"/>
      <c r="AA26" s="79"/>
      <c r="AB26" s="79" t="s">
        <v>84</v>
      </c>
      <c r="AC26" s="7"/>
      <c r="AD26" s="7">
        <v>56034.8</v>
      </c>
      <c r="AE26" s="7">
        <v>51304.4</v>
      </c>
      <c r="AF26" s="7">
        <v>63529.78</v>
      </c>
      <c r="AG26" s="7">
        <v>243382</v>
      </c>
      <c r="AH26" s="7">
        <v>377470.59</v>
      </c>
      <c r="AI26" s="7">
        <v>353804.19</v>
      </c>
      <c r="AJ26" s="7">
        <v>14195.87</v>
      </c>
      <c r="AK26" s="7">
        <v>47482.78</v>
      </c>
      <c r="AL26" s="7">
        <v>116108.04</v>
      </c>
      <c r="AM26" s="7">
        <v>83727.03</v>
      </c>
      <c r="AN26" s="168"/>
      <c r="AO26" s="169">
        <f t="shared" si="1"/>
        <v>1510527.71</v>
      </c>
      <c r="AP26" s="170">
        <f t="shared" si="2"/>
        <v>1407039.48</v>
      </c>
      <c r="AQ26" s="172">
        <f t="shared" si="5"/>
        <v>103488.23</v>
      </c>
      <c r="AR26" s="173">
        <f t="shared" si="3"/>
        <v>-83726.9700000002</v>
      </c>
      <c r="AS26" s="177" t="s">
        <v>104</v>
      </c>
      <c r="AT26" s="178"/>
      <c r="AU26" s="180">
        <f>VLOOKUP(D26,Sheet3!D:O,12,FALSE)</f>
        <v>79072.23</v>
      </c>
      <c r="AV26" s="180">
        <f t="shared" si="4"/>
        <v>24415.9999999998</v>
      </c>
      <c r="AX26" s="180"/>
      <c r="BA26" s="206"/>
    </row>
    <row r="27" s="20" customFormat="1" ht="24" customHeight="1" spans="2:50">
      <c r="B27" s="48" t="s">
        <v>81</v>
      </c>
      <c r="C27" s="122" t="s">
        <v>132</v>
      </c>
      <c r="D27" s="50" t="s">
        <v>133</v>
      </c>
      <c r="E27" s="123">
        <v>341946.18</v>
      </c>
      <c r="F27" s="135">
        <v>160618.2</v>
      </c>
      <c r="G27" s="136"/>
      <c r="H27" s="136"/>
      <c r="I27" s="135"/>
      <c r="J27" s="136">
        <v>4283.15</v>
      </c>
      <c r="K27" s="136"/>
      <c r="L27" s="145">
        <f t="shared" si="0"/>
        <v>346229.33</v>
      </c>
      <c r="M27" s="9"/>
      <c r="N27" s="124"/>
      <c r="O27" s="124"/>
      <c r="P27" s="124"/>
      <c r="Q27" s="124">
        <v>256989.12</v>
      </c>
      <c r="R27" s="124">
        <v>224865.48</v>
      </c>
      <c r="S27" s="124"/>
      <c r="T27" s="124"/>
      <c r="U27" s="124">
        <v>578225.52</v>
      </c>
      <c r="V27" s="124"/>
      <c r="W27" s="124"/>
      <c r="X27" s="124"/>
      <c r="Y27" s="156"/>
      <c r="Z27" s="79"/>
      <c r="AA27" s="79"/>
      <c r="AB27" s="79" t="s">
        <v>84</v>
      </c>
      <c r="AC27" s="7"/>
      <c r="AD27" s="7">
        <v>535.4</v>
      </c>
      <c r="AE27" s="7"/>
      <c r="AF27" s="7"/>
      <c r="AG27" s="7">
        <v>3212.38</v>
      </c>
      <c r="AH27" s="7">
        <v>19809.58</v>
      </c>
      <c r="AI27" s="7">
        <v>146697.98</v>
      </c>
      <c r="AJ27" s="7">
        <v>4283.14</v>
      </c>
      <c r="AK27" s="7">
        <v>535.4</v>
      </c>
      <c r="AL27" s="7">
        <v>175073.84</v>
      </c>
      <c r="AM27" s="7">
        <f>133506.57+213622.22</f>
        <v>347128.79</v>
      </c>
      <c r="AN27" s="168"/>
      <c r="AO27" s="169">
        <f t="shared" si="1"/>
        <v>1406309.45</v>
      </c>
      <c r="AP27" s="170">
        <f t="shared" si="2"/>
        <v>697276.51</v>
      </c>
      <c r="AQ27" s="172">
        <f t="shared" si="5"/>
        <v>709032.94</v>
      </c>
      <c r="AR27" s="173">
        <f t="shared" si="3"/>
        <v>709032.94</v>
      </c>
      <c r="AS27" s="177" t="s">
        <v>104</v>
      </c>
      <c r="AT27" s="178"/>
      <c r="AU27" s="180">
        <f>VLOOKUP(D27,Sheet3!D:O,12,FALSE)</f>
        <v>0</v>
      </c>
      <c r="AV27" s="180">
        <f t="shared" si="4"/>
        <v>709032.94</v>
      </c>
      <c r="AX27" s="180"/>
    </row>
    <row r="28" s="20" customFormat="1" ht="24" customHeight="1" spans="2:50">
      <c r="B28" s="48" t="s">
        <v>134</v>
      </c>
      <c r="C28" s="122">
        <v>1951024</v>
      </c>
      <c r="D28" s="43" t="s">
        <v>206</v>
      </c>
      <c r="E28" s="123">
        <v>0</v>
      </c>
      <c r="F28" s="135"/>
      <c r="G28" s="136"/>
      <c r="H28" s="136"/>
      <c r="I28" s="135"/>
      <c r="J28" s="136"/>
      <c r="K28" s="136"/>
      <c r="L28" s="145">
        <f t="shared" si="0"/>
        <v>0</v>
      </c>
      <c r="M28" s="9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56"/>
      <c r="Z28" s="79"/>
      <c r="AA28" s="79"/>
      <c r="AB28" s="79" t="s">
        <v>84</v>
      </c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168"/>
      <c r="AO28" s="169">
        <f t="shared" si="1"/>
        <v>0</v>
      </c>
      <c r="AP28" s="170">
        <f t="shared" si="2"/>
        <v>0</v>
      </c>
      <c r="AQ28" s="172">
        <f t="shared" si="5"/>
        <v>0</v>
      </c>
      <c r="AR28" s="173">
        <f t="shared" si="3"/>
        <v>0</v>
      </c>
      <c r="AS28" s="177" t="s">
        <v>111</v>
      </c>
      <c r="AT28" s="178"/>
      <c r="AU28" s="180">
        <f>VLOOKUP(D28,Sheet3!D:O,12,FALSE)</f>
        <v>0</v>
      </c>
      <c r="AV28" s="180">
        <f t="shared" si="4"/>
        <v>0</v>
      </c>
      <c r="AX28" s="180"/>
    </row>
    <row r="29" s="20" customFormat="1" ht="24" customHeight="1" spans="2:50">
      <c r="B29" s="48" t="s">
        <v>81</v>
      </c>
      <c r="C29" s="125" t="s">
        <v>136</v>
      </c>
      <c r="D29" s="126" t="s">
        <v>137</v>
      </c>
      <c r="E29" s="123">
        <v>44955.1399999999</v>
      </c>
      <c r="F29" s="135">
        <v>91703.4</v>
      </c>
      <c r="G29" s="136"/>
      <c r="H29" s="136"/>
      <c r="I29" s="135"/>
      <c r="J29" s="136"/>
      <c r="K29" s="136"/>
      <c r="L29" s="145">
        <f t="shared" si="0"/>
        <v>44955.1399999999</v>
      </c>
      <c r="M29" s="9"/>
      <c r="N29" s="124"/>
      <c r="O29" s="124"/>
      <c r="P29" s="124"/>
      <c r="Q29" s="124">
        <f>92579.77+96240.97</f>
        <v>188820.74</v>
      </c>
      <c r="R29" s="124">
        <v>48959.29</v>
      </c>
      <c r="S29" s="124"/>
      <c r="T29" s="124"/>
      <c r="U29" s="124">
        <f>90144.65+73031.61+49069.12</f>
        <v>212245.38</v>
      </c>
      <c r="V29" s="124">
        <v>58699</v>
      </c>
      <c r="W29" s="124">
        <v>28075.84</v>
      </c>
      <c r="X29" s="124"/>
      <c r="Y29" s="158"/>
      <c r="Z29" s="85"/>
      <c r="AA29" s="85"/>
      <c r="AB29" s="79" t="s">
        <v>84</v>
      </c>
      <c r="AC29" s="159"/>
      <c r="AD29" s="159">
        <v>70000</v>
      </c>
      <c r="AE29" s="7"/>
      <c r="AF29" s="7"/>
      <c r="AG29" s="7"/>
      <c r="AH29" s="7"/>
      <c r="AI29" s="7"/>
      <c r="AJ29" s="7"/>
      <c r="AK29" s="7">
        <v>150000</v>
      </c>
      <c r="AL29" s="7">
        <v>121434.17</v>
      </c>
      <c r="AM29" s="7">
        <v>212245.38</v>
      </c>
      <c r="AN29" s="168"/>
      <c r="AO29" s="169">
        <f t="shared" si="1"/>
        <v>581755.39</v>
      </c>
      <c r="AP29" s="170">
        <f t="shared" si="2"/>
        <v>553679.55</v>
      </c>
      <c r="AQ29" s="172">
        <f t="shared" si="5"/>
        <v>28075.8399999997</v>
      </c>
      <c r="AR29" s="173">
        <f t="shared" si="3"/>
        <v>-58699.0000000003</v>
      </c>
      <c r="AS29" s="181" t="s">
        <v>85</v>
      </c>
      <c r="AT29" s="182"/>
      <c r="AU29" s="180">
        <f>VLOOKUP(D29,Sheet3!D:O,12,FALSE)</f>
        <v>341680.9</v>
      </c>
      <c r="AV29" s="180">
        <f t="shared" si="4"/>
        <v>-313605.06</v>
      </c>
      <c r="AX29" s="180"/>
    </row>
    <row r="30" s="20" customFormat="1" ht="24" customHeight="1" spans="2:50">
      <c r="B30" s="48" t="s">
        <v>81</v>
      </c>
      <c r="C30" s="125" t="s">
        <v>138</v>
      </c>
      <c r="D30" s="126" t="s">
        <v>139</v>
      </c>
      <c r="E30" s="123">
        <v>0</v>
      </c>
      <c r="F30" s="135"/>
      <c r="G30" s="136"/>
      <c r="H30" s="147"/>
      <c r="I30" s="135"/>
      <c r="J30" s="136"/>
      <c r="K30" s="147"/>
      <c r="L30" s="145">
        <f t="shared" si="0"/>
        <v>0</v>
      </c>
      <c r="M30" s="9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58"/>
      <c r="Z30" s="85"/>
      <c r="AA30" s="85"/>
      <c r="AB30" s="79" t="s">
        <v>84</v>
      </c>
      <c r="AC30" s="159"/>
      <c r="AD30" s="159"/>
      <c r="AE30" s="7"/>
      <c r="AF30" s="7"/>
      <c r="AG30" s="7"/>
      <c r="AH30" s="7"/>
      <c r="AI30" s="7"/>
      <c r="AJ30" s="7"/>
      <c r="AK30" s="7"/>
      <c r="AL30" s="7"/>
      <c r="AM30" s="7"/>
      <c r="AN30" s="168"/>
      <c r="AO30" s="169">
        <f t="shared" si="1"/>
        <v>0</v>
      </c>
      <c r="AP30" s="170">
        <f t="shared" si="2"/>
        <v>0</v>
      </c>
      <c r="AQ30" s="172">
        <f t="shared" si="5"/>
        <v>0</v>
      </c>
      <c r="AR30" s="173">
        <f t="shared" si="3"/>
        <v>0</v>
      </c>
      <c r="AS30" s="181" t="s">
        <v>101</v>
      </c>
      <c r="AT30" s="182"/>
      <c r="AU30" s="180">
        <f>VLOOKUP(D30,Sheet3!D:O,12,FALSE)</f>
        <v>0</v>
      </c>
      <c r="AV30" s="180">
        <f t="shared" si="4"/>
        <v>0</v>
      </c>
      <c r="AX30" s="180"/>
    </row>
    <row r="31" s="20" customFormat="1" ht="24" customHeight="1" spans="2:53">
      <c r="B31" s="48" t="s">
        <v>81</v>
      </c>
      <c r="C31" s="125" t="s">
        <v>140</v>
      </c>
      <c r="D31" s="126" t="s">
        <v>141</v>
      </c>
      <c r="E31" s="123">
        <v>0</v>
      </c>
      <c r="F31" s="135"/>
      <c r="G31" s="136"/>
      <c r="H31" s="147"/>
      <c r="I31" s="135"/>
      <c r="J31" s="136"/>
      <c r="K31" s="147"/>
      <c r="L31" s="145">
        <f t="shared" si="0"/>
        <v>0</v>
      </c>
      <c r="M31" s="9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58"/>
      <c r="Z31" s="85"/>
      <c r="AA31" s="85"/>
      <c r="AB31" s="79" t="s">
        <v>84</v>
      </c>
      <c r="AC31" s="159"/>
      <c r="AD31" s="159"/>
      <c r="AE31" s="7"/>
      <c r="AF31" s="7"/>
      <c r="AG31" s="7"/>
      <c r="AH31" s="7"/>
      <c r="AI31" s="7"/>
      <c r="AJ31" s="7"/>
      <c r="AK31" s="7"/>
      <c r="AL31" s="7"/>
      <c r="AM31" s="7"/>
      <c r="AN31" s="168"/>
      <c r="AO31" s="169">
        <f t="shared" si="1"/>
        <v>0</v>
      </c>
      <c r="AP31" s="170">
        <f t="shared" si="2"/>
        <v>0</v>
      </c>
      <c r="AQ31" s="172">
        <f t="shared" si="5"/>
        <v>0</v>
      </c>
      <c r="AR31" s="173">
        <f t="shared" si="3"/>
        <v>0</v>
      </c>
      <c r="AS31" s="181" t="s">
        <v>101</v>
      </c>
      <c r="AT31" s="182"/>
      <c r="AU31" s="180">
        <f>VLOOKUP(D31,Sheet3!D:O,12,FALSE)</f>
        <v>0</v>
      </c>
      <c r="AV31" s="180">
        <f t="shared" si="4"/>
        <v>0</v>
      </c>
      <c r="AX31" s="180"/>
      <c r="BA31" s="206"/>
    </row>
    <row r="32" s="20" customFormat="1" ht="24" customHeight="1" spans="2:50">
      <c r="B32" s="48" t="s">
        <v>81</v>
      </c>
      <c r="C32" s="90" t="s">
        <v>177</v>
      </c>
      <c r="D32" s="126" t="s">
        <v>178</v>
      </c>
      <c r="E32" s="123">
        <v>0</v>
      </c>
      <c r="F32" s="135"/>
      <c r="G32" s="136"/>
      <c r="H32" s="147"/>
      <c r="I32" s="135"/>
      <c r="J32" s="136">
        <v>660</v>
      </c>
      <c r="K32" s="136"/>
      <c r="L32" s="145">
        <f t="shared" si="0"/>
        <v>660</v>
      </c>
      <c r="M32" s="9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58"/>
      <c r="Z32" s="85"/>
      <c r="AA32" s="85"/>
      <c r="AB32" s="79" t="s">
        <v>84</v>
      </c>
      <c r="AC32" s="159"/>
      <c r="AD32" s="159">
        <v>660</v>
      </c>
      <c r="AE32" s="159"/>
      <c r="AF32" s="159"/>
      <c r="AG32" s="159"/>
      <c r="AH32" s="159"/>
      <c r="AI32" s="159"/>
      <c r="AJ32" s="159"/>
      <c r="AK32" s="159"/>
      <c r="AL32" s="159"/>
      <c r="AM32" s="159"/>
      <c r="AN32" s="174"/>
      <c r="AO32" s="169">
        <f t="shared" si="1"/>
        <v>660</v>
      </c>
      <c r="AP32" s="170">
        <f t="shared" si="2"/>
        <v>660</v>
      </c>
      <c r="AQ32" s="172">
        <f t="shared" si="5"/>
        <v>0</v>
      </c>
      <c r="AR32" s="173">
        <f t="shared" si="3"/>
        <v>0</v>
      </c>
      <c r="AS32" s="181"/>
      <c r="AT32" s="182"/>
      <c r="AU32" s="180">
        <f>VLOOKUP(D32,Sheet3!D:O,12,FALSE)</f>
        <v>0</v>
      </c>
      <c r="AV32" s="180">
        <f t="shared" si="4"/>
        <v>0</v>
      </c>
      <c r="AX32" s="180"/>
    </row>
    <row r="33" s="20" customFormat="1" ht="24" customHeight="1" spans="2:50">
      <c r="B33" s="48" t="s">
        <v>81</v>
      </c>
      <c r="C33" s="90" t="s">
        <v>179</v>
      </c>
      <c r="D33" s="126" t="s">
        <v>180</v>
      </c>
      <c r="E33" s="123">
        <v>41584</v>
      </c>
      <c r="F33" s="135"/>
      <c r="G33" s="136"/>
      <c r="H33" s="147"/>
      <c r="I33" s="135"/>
      <c r="J33" s="136">
        <f>225367.2+371431</f>
        <v>596798.2</v>
      </c>
      <c r="K33" s="136">
        <v>80343</v>
      </c>
      <c r="L33" s="145">
        <f t="shared" si="0"/>
        <v>718725.2</v>
      </c>
      <c r="M33" s="9">
        <v>124752</v>
      </c>
      <c r="N33" s="124"/>
      <c r="O33" s="124">
        <v>107915</v>
      </c>
      <c r="P33" s="124">
        <f>107915+107915+19436</f>
        <v>235266</v>
      </c>
      <c r="Q33" s="124">
        <f>105768+107915</f>
        <v>213683</v>
      </c>
      <c r="R33" s="124"/>
      <c r="S33" s="124"/>
      <c r="T33" s="124">
        <v>64184</v>
      </c>
      <c r="U33" s="124"/>
      <c r="V33" s="124">
        <f>110740+98536</f>
        <v>209276</v>
      </c>
      <c r="W33" s="124"/>
      <c r="X33" s="124"/>
      <c r="Y33" s="158"/>
      <c r="Z33" s="85"/>
      <c r="AA33" s="85"/>
      <c r="AB33" s="79" t="s">
        <v>84</v>
      </c>
      <c r="AC33" s="159"/>
      <c r="AD33" s="159">
        <v>266951.2</v>
      </c>
      <c r="AE33" s="159">
        <v>124752</v>
      </c>
      <c r="AF33" s="159">
        <v>371431</v>
      </c>
      <c r="AG33" s="159">
        <v>80343</v>
      </c>
      <c r="AH33" s="159"/>
      <c r="AI33" s="159"/>
      <c r="AJ33" s="159">
        <v>321598</v>
      </c>
      <c r="AK33" s="159">
        <v>235266</v>
      </c>
      <c r="AL33" s="159">
        <v>64184</v>
      </c>
      <c r="AM33" s="159"/>
      <c r="AN33" s="174"/>
      <c r="AO33" s="169">
        <f t="shared" si="1"/>
        <v>1673801.2</v>
      </c>
      <c r="AP33" s="170">
        <f t="shared" si="2"/>
        <v>1464525.2</v>
      </c>
      <c r="AQ33" s="172">
        <f t="shared" si="5"/>
        <v>209276</v>
      </c>
      <c r="AR33" s="173">
        <f t="shared" si="3"/>
        <v>0</v>
      </c>
      <c r="AS33" s="181" t="s">
        <v>85</v>
      </c>
      <c r="AT33" s="182"/>
      <c r="AU33" s="180">
        <f>VLOOKUP(D33,Sheet3!D:O,12,FALSE)</f>
        <v>0</v>
      </c>
      <c r="AV33" s="180">
        <f t="shared" si="4"/>
        <v>209276</v>
      </c>
      <c r="AX33" s="180"/>
    </row>
    <row r="34" s="20" customFormat="1" ht="24" customHeight="1" spans="2:50">
      <c r="B34" s="48" t="s">
        <v>81</v>
      </c>
      <c r="C34" s="90" t="s">
        <v>181</v>
      </c>
      <c r="D34" s="126" t="s">
        <v>182</v>
      </c>
      <c r="E34" s="123">
        <v>-66613.69</v>
      </c>
      <c r="F34" s="135"/>
      <c r="G34" s="136"/>
      <c r="H34" s="147"/>
      <c r="I34" s="135"/>
      <c r="J34" s="136"/>
      <c r="K34" s="136"/>
      <c r="L34" s="145">
        <f t="shared" si="0"/>
        <v>-66613.69</v>
      </c>
      <c r="M34" s="9"/>
      <c r="N34" s="124"/>
      <c r="O34" s="124"/>
      <c r="P34" s="124"/>
      <c r="Q34" s="124"/>
      <c r="R34" s="124"/>
      <c r="S34" s="124"/>
      <c r="T34" s="124"/>
      <c r="U34" s="124">
        <v>43561.5</v>
      </c>
      <c r="V34" s="124"/>
      <c r="W34" s="124"/>
      <c r="X34" s="124"/>
      <c r="Y34" s="158"/>
      <c r="Z34" s="85"/>
      <c r="AA34" s="85"/>
      <c r="AB34" s="79" t="s">
        <v>84</v>
      </c>
      <c r="AC34" s="159">
        <v>3390</v>
      </c>
      <c r="AD34" s="159"/>
      <c r="AE34" s="159">
        <v>6610.5</v>
      </c>
      <c r="AF34" s="159">
        <f>5424+2881.5</f>
        <v>8305.5</v>
      </c>
      <c r="AG34" s="159">
        <v>9322.5</v>
      </c>
      <c r="AH34" s="159"/>
      <c r="AI34" s="159"/>
      <c r="AJ34" s="159">
        <v>4576.5</v>
      </c>
      <c r="AK34" s="159">
        <v>11356.5</v>
      </c>
      <c r="AL34" s="159"/>
      <c r="AM34" s="159"/>
      <c r="AN34" s="174"/>
      <c r="AO34" s="169">
        <f t="shared" si="1"/>
        <v>-23052.19</v>
      </c>
      <c r="AP34" s="170">
        <f t="shared" si="2"/>
        <v>43561.5</v>
      </c>
      <c r="AQ34" s="172">
        <f t="shared" si="5"/>
        <v>-66613.69</v>
      </c>
      <c r="AR34" s="173">
        <v>0</v>
      </c>
      <c r="AS34" s="183" t="s">
        <v>96</v>
      </c>
      <c r="AT34" s="182"/>
      <c r="AU34" s="180">
        <v>-94242.19</v>
      </c>
      <c r="AV34" s="180">
        <f t="shared" si="4"/>
        <v>27628.5</v>
      </c>
      <c r="AX34" s="180"/>
    </row>
    <row r="35" s="20" customFormat="1" ht="24" customHeight="1" spans="2:53">
      <c r="B35" s="48" t="s">
        <v>81</v>
      </c>
      <c r="C35" s="90" t="s">
        <v>184</v>
      </c>
      <c r="D35" s="126" t="s">
        <v>185</v>
      </c>
      <c r="E35" s="123">
        <v>0</v>
      </c>
      <c r="F35" s="135"/>
      <c r="G35" s="136"/>
      <c r="H35" s="147"/>
      <c r="I35" s="135"/>
      <c r="J35" s="136">
        <v>36869.64</v>
      </c>
      <c r="K35" s="136">
        <v>39302.3</v>
      </c>
      <c r="L35" s="145">
        <f t="shared" si="0"/>
        <v>76171.94</v>
      </c>
      <c r="M35" s="9"/>
      <c r="N35" s="124"/>
      <c r="O35" s="124">
        <v>44791.43</v>
      </c>
      <c r="P35" s="124"/>
      <c r="Q35" s="124">
        <v>53426.4</v>
      </c>
      <c r="R35" s="124">
        <v>15006.4</v>
      </c>
      <c r="S35" s="124">
        <v>11074</v>
      </c>
      <c r="T35" s="124"/>
      <c r="U35" s="124"/>
      <c r="V35" s="124"/>
      <c r="W35" s="124"/>
      <c r="X35" s="124"/>
      <c r="Y35" s="158"/>
      <c r="Z35" s="85"/>
      <c r="AA35" s="85"/>
      <c r="AB35" s="79" t="s">
        <v>84</v>
      </c>
      <c r="AC35" s="159"/>
      <c r="AD35" s="159">
        <v>36869.64</v>
      </c>
      <c r="AE35" s="159"/>
      <c r="AF35" s="159">
        <v>40000</v>
      </c>
      <c r="AG35" s="159"/>
      <c r="AH35" s="159"/>
      <c r="AI35" s="159"/>
      <c r="AJ35" s="159">
        <v>53426.4</v>
      </c>
      <c r="AK35" s="159">
        <v>44093.73</v>
      </c>
      <c r="AL35" s="159"/>
      <c r="AM35" s="159">
        <v>26080.4</v>
      </c>
      <c r="AN35" s="174"/>
      <c r="AO35" s="169">
        <f t="shared" si="1"/>
        <v>200470.17</v>
      </c>
      <c r="AP35" s="170">
        <f t="shared" si="2"/>
        <v>200470.17</v>
      </c>
      <c r="AQ35" s="172">
        <f t="shared" si="5"/>
        <v>0</v>
      </c>
      <c r="AR35" s="173">
        <f t="shared" si="3"/>
        <v>0</v>
      </c>
      <c r="AS35" s="181"/>
      <c r="AT35" s="182"/>
      <c r="AU35" s="180">
        <f>VLOOKUP(D35,Sheet3!D:O,12,FALSE)</f>
        <v>99231.74</v>
      </c>
      <c r="AV35" s="180">
        <f t="shared" si="4"/>
        <v>-99231.74</v>
      </c>
      <c r="AX35" s="180"/>
      <c r="BA35" s="206"/>
    </row>
    <row r="36" s="20" customFormat="1" ht="24" customHeight="1" spans="2:50">
      <c r="B36" s="48" t="s">
        <v>81</v>
      </c>
      <c r="C36" s="90" t="s">
        <v>207</v>
      </c>
      <c r="D36" s="126" t="s">
        <v>208</v>
      </c>
      <c r="E36" s="123"/>
      <c r="F36" s="135"/>
      <c r="G36" s="136"/>
      <c r="H36" s="147"/>
      <c r="I36" s="135"/>
      <c r="J36" s="136"/>
      <c r="K36" s="136"/>
      <c r="L36" s="145"/>
      <c r="M36" s="9">
        <v>15800</v>
      </c>
      <c r="N36" s="124"/>
      <c r="O36" s="124"/>
      <c r="P36" s="124"/>
      <c r="Q36" s="124">
        <v>17800</v>
      </c>
      <c r="R36" s="124"/>
      <c r="S36" s="124"/>
      <c r="T36" s="124"/>
      <c r="U36" s="124"/>
      <c r="V36" s="124"/>
      <c r="W36" s="124"/>
      <c r="X36" s="124"/>
      <c r="Y36" s="158"/>
      <c r="Z36" s="85"/>
      <c r="AA36" s="85"/>
      <c r="AB36" s="79"/>
      <c r="AC36" s="159"/>
      <c r="AD36" s="159"/>
      <c r="AE36" s="159"/>
      <c r="AF36" s="159">
        <v>15800</v>
      </c>
      <c r="AG36" s="159"/>
      <c r="AH36" s="159"/>
      <c r="AI36" s="159"/>
      <c r="AJ36" s="159">
        <v>17800</v>
      </c>
      <c r="AK36" s="159"/>
      <c r="AL36" s="159"/>
      <c r="AM36" s="159"/>
      <c r="AN36" s="174"/>
      <c r="AO36" s="169">
        <f t="shared" ref="AO36:AO49" si="6">SUM(L36:X36)</f>
        <v>33600</v>
      </c>
      <c r="AP36" s="170">
        <f t="shared" ref="AP36:AP49" si="7">SUM(AC36:AN36)</f>
        <v>33600</v>
      </c>
      <c r="AQ36" s="172">
        <f t="shared" si="5"/>
        <v>0</v>
      </c>
      <c r="AR36" s="173">
        <f t="shared" si="3"/>
        <v>0</v>
      </c>
      <c r="AS36" s="181"/>
      <c r="AT36" s="182"/>
      <c r="AU36" s="180">
        <f>VLOOKUP(D36,Sheet3!D:O,12,FALSE)</f>
        <v>0</v>
      </c>
      <c r="AV36" s="180">
        <f t="shared" si="4"/>
        <v>0</v>
      </c>
      <c r="AX36" s="180"/>
    </row>
    <row r="37" s="20" customFormat="1" ht="24" customHeight="1" spans="2:50">
      <c r="B37" s="48" t="s">
        <v>81</v>
      </c>
      <c r="C37" s="90" t="s">
        <v>209</v>
      </c>
      <c r="D37" s="126" t="s">
        <v>210</v>
      </c>
      <c r="E37" s="123"/>
      <c r="F37" s="135"/>
      <c r="G37" s="136"/>
      <c r="H37" s="147"/>
      <c r="I37" s="135"/>
      <c r="J37" s="136"/>
      <c r="K37" s="136"/>
      <c r="L37" s="145"/>
      <c r="M37" s="9"/>
      <c r="N37" s="124"/>
      <c r="O37" s="124"/>
      <c r="P37" s="124"/>
      <c r="Q37" s="124">
        <f>79100</f>
        <v>79100</v>
      </c>
      <c r="R37" s="124">
        <v>94920</v>
      </c>
      <c r="S37" s="124">
        <f>63280+47460</f>
        <v>110740</v>
      </c>
      <c r="T37" s="124"/>
      <c r="U37" s="124"/>
      <c r="V37" s="124">
        <f>31640+15820+63280+31640</f>
        <v>142380</v>
      </c>
      <c r="W37" s="124"/>
      <c r="X37" s="124"/>
      <c r="Y37" s="158"/>
      <c r="Z37" s="85"/>
      <c r="AA37" s="85"/>
      <c r="AB37" s="79"/>
      <c r="AC37" s="159"/>
      <c r="AD37" s="159"/>
      <c r="AE37" s="159"/>
      <c r="AF37" s="159"/>
      <c r="AG37" s="159"/>
      <c r="AH37" s="159"/>
      <c r="AI37" s="159"/>
      <c r="AJ37" s="159">
        <v>79100</v>
      </c>
      <c r="AK37" s="159"/>
      <c r="AL37" s="159">
        <f>189840+158200</f>
        <v>348040</v>
      </c>
      <c r="AM37" s="159"/>
      <c r="AN37" s="174"/>
      <c r="AO37" s="169">
        <f t="shared" si="6"/>
        <v>427140</v>
      </c>
      <c r="AP37" s="170">
        <f t="shared" si="7"/>
        <v>427140</v>
      </c>
      <c r="AQ37" s="172">
        <f t="shared" si="5"/>
        <v>0</v>
      </c>
      <c r="AR37" s="173">
        <f>AQ37</f>
        <v>0</v>
      </c>
      <c r="AS37" s="181" t="s">
        <v>222</v>
      </c>
      <c r="AT37" s="182"/>
      <c r="AU37" s="180">
        <f>VLOOKUP(D37,Sheet3!D:O,12,FALSE)</f>
        <v>0</v>
      </c>
      <c r="AV37" s="180">
        <f t="shared" si="4"/>
        <v>0</v>
      </c>
      <c r="AX37" s="180"/>
    </row>
    <row r="38" s="20" customFormat="1" ht="24" customHeight="1" spans="2:50">
      <c r="B38" s="48" t="s">
        <v>81</v>
      </c>
      <c r="C38" s="90" t="s">
        <v>211</v>
      </c>
      <c r="D38" s="126" t="e">
        <f t="array" ref="D38">[2]!'!数据!R319C4'</f>
        <v>#REF!</v>
      </c>
      <c r="E38" s="123"/>
      <c r="F38" s="135"/>
      <c r="G38" s="136"/>
      <c r="H38" s="147"/>
      <c r="I38" s="135"/>
      <c r="J38" s="136"/>
      <c r="K38" s="136"/>
      <c r="L38" s="145"/>
      <c r="M38" s="9"/>
      <c r="N38" s="124"/>
      <c r="O38" s="124"/>
      <c r="P38" s="124">
        <v>33330</v>
      </c>
      <c r="Q38" s="124"/>
      <c r="R38" s="124"/>
      <c r="S38" s="124"/>
      <c r="T38" s="124"/>
      <c r="U38" s="124"/>
      <c r="V38" s="124"/>
      <c r="W38" s="124"/>
      <c r="X38" s="124"/>
      <c r="Y38" s="158"/>
      <c r="Z38" s="85"/>
      <c r="AA38" s="85"/>
      <c r="AB38" s="79"/>
      <c r="AC38" s="159"/>
      <c r="AD38" s="159"/>
      <c r="AE38" s="159"/>
      <c r="AF38" s="159"/>
      <c r="AG38" s="159"/>
      <c r="AH38" s="159"/>
      <c r="AI38" s="159"/>
      <c r="AJ38" s="159">
        <v>33330</v>
      </c>
      <c r="AK38" s="159"/>
      <c r="AL38" s="159"/>
      <c r="AM38" s="159"/>
      <c r="AN38" s="174"/>
      <c r="AO38" s="169">
        <f t="shared" si="6"/>
        <v>33330</v>
      </c>
      <c r="AP38" s="170">
        <f t="shared" si="7"/>
        <v>33330</v>
      </c>
      <c r="AQ38" s="172">
        <f t="shared" si="5"/>
        <v>0</v>
      </c>
      <c r="AR38" s="173">
        <f t="shared" si="3"/>
        <v>0</v>
      </c>
      <c r="AS38" s="181" t="s">
        <v>222</v>
      </c>
      <c r="AT38" s="182"/>
      <c r="AU38" s="180" t="e">
        <f>VLOOKUP(D38,Sheet3!D:O,12,FALSE)</f>
        <v>#REF!</v>
      </c>
      <c r="AV38" s="180" t="e">
        <f t="shared" si="4"/>
        <v>#REF!</v>
      </c>
      <c r="AX38" s="180"/>
    </row>
    <row r="39" s="20" customFormat="1" ht="24" customHeight="1" spans="2:50">
      <c r="B39" s="48" t="s">
        <v>81</v>
      </c>
      <c r="C39" s="90" t="s">
        <v>212</v>
      </c>
      <c r="D39" s="126" t="s">
        <v>213</v>
      </c>
      <c r="E39" s="123"/>
      <c r="F39" s="135"/>
      <c r="G39" s="136"/>
      <c r="H39" s="147"/>
      <c r="I39" s="135"/>
      <c r="J39" s="136"/>
      <c r="K39" s="136"/>
      <c r="L39" s="145"/>
      <c r="M39" s="9"/>
      <c r="N39" s="124"/>
      <c r="O39" s="124"/>
      <c r="P39" s="124"/>
      <c r="Q39" s="124">
        <f>333353.62+336228.34</f>
        <v>669581.96</v>
      </c>
      <c r="R39" s="124">
        <v>334790.98</v>
      </c>
      <c r="S39" s="124"/>
      <c r="T39" s="124"/>
      <c r="U39" s="124">
        <v>167395.48</v>
      </c>
      <c r="V39" s="124"/>
      <c r="W39" s="124"/>
      <c r="X39" s="124"/>
      <c r="Y39" s="158"/>
      <c r="Z39" s="85"/>
      <c r="AA39" s="85"/>
      <c r="AB39" s="79"/>
      <c r="AC39" s="159"/>
      <c r="AD39" s="159"/>
      <c r="AE39" s="159"/>
      <c r="AF39" s="159"/>
      <c r="AG39" s="159"/>
      <c r="AH39" s="159"/>
      <c r="AI39" s="159">
        <v>333353.62</v>
      </c>
      <c r="AJ39" s="159">
        <f>336228.34+334790.98</f>
        <v>671019.32</v>
      </c>
      <c r="AK39" s="159"/>
      <c r="AL39" s="159"/>
      <c r="AM39" s="159">
        <v>167395.48</v>
      </c>
      <c r="AN39" s="174"/>
      <c r="AO39" s="169">
        <f t="shared" si="6"/>
        <v>1171768.42</v>
      </c>
      <c r="AP39" s="170">
        <f t="shared" si="7"/>
        <v>1171768.42</v>
      </c>
      <c r="AQ39" s="172">
        <f t="shared" si="5"/>
        <v>0</v>
      </c>
      <c r="AR39" s="173">
        <f t="shared" si="3"/>
        <v>0</v>
      </c>
      <c r="AS39" s="181" t="s">
        <v>101</v>
      </c>
      <c r="AT39" s="182"/>
      <c r="AU39" s="180">
        <f>VLOOKUP(D39,Sheet3!D:O,12,FALSE)</f>
        <v>337665.68</v>
      </c>
      <c r="AV39" s="180">
        <f t="shared" si="4"/>
        <v>-337665.68</v>
      </c>
      <c r="AX39" s="180"/>
    </row>
    <row r="40" s="20" customFormat="1" ht="24" customHeight="1" spans="2:53">
      <c r="B40" s="48" t="s">
        <v>81</v>
      </c>
      <c r="C40" s="90"/>
      <c r="D40" s="126" t="s">
        <v>214</v>
      </c>
      <c r="E40" s="123"/>
      <c r="F40" s="135"/>
      <c r="G40" s="136"/>
      <c r="H40" s="147"/>
      <c r="I40" s="135"/>
      <c r="J40" s="136"/>
      <c r="K40" s="136"/>
      <c r="L40" s="145"/>
      <c r="M40" s="9"/>
      <c r="N40" s="124"/>
      <c r="O40" s="124"/>
      <c r="P40" s="124"/>
      <c r="Q40" s="124"/>
      <c r="R40" s="124"/>
      <c r="S40" s="124"/>
      <c r="T40" s="124"/>
      <c r="U40" s="124"/>
      <c r="V40" s="124">
        <v>8818.54</v>
      </c>
      <c r="W40" s="124"/>
      <c r="X40" s="124"/>
      <c r="Y40" s="158"/>
      <c r="Z40" s="85"/>
      <c r="AA40" s="85"/>
      <c r="AB40" s="7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74"/>
      <c r="AO40" s="169">
        <f t="shared" si="6"/>
        <v>8818.54</v>
      </c>
      <c r="AP40" s="170">
        <f t="shared" si="7"/>
        <v>0</v>
      </c>
      <c r="AQ40" s="172">
        <f t="shared" si="5"/>
        <v>8818.54</v>
      </c>
      <c r="AR40" s="173">
        <f t="shared" si="3"/>
        <v>0</v>
      </c>
      <c r="AS40" s="181"/>
      <c r="AT40" s="182"/>
      <c r="AU40" s="180">
        <f>VLOOKUP(D40,Sheet3!D:O,12,FALSE)</f>
        <v>0</v>
      </c>
      <c r="AV40" s="180">
        <f t="shared" si="4"/>
        <v>8818.54</v>
      </c>
      <c r="AX40" s="180"/>
      <c r="BA40" s="206"/>
    </row>
    <row r="41" s="20" customFormat="1" ht="24" customHeight="1" spans="2:50">
      <c r="B41" s="129"/>
      <c r="C41" s="90" t="s">
        <v>215</v>
      </c>
      <c r="D41" s="127" t="s">
        <v>216</v>
      </c>
      <c r="E41" s="128"/>
      <c r="F41" s="137"/>
      <c r="G41" s="138"/>
      <c r="H41" s="148"/>
      <c r="I41" s="137"/>
      <c r="J41" s="138"/>
      <c r="K41" s="138"/>
      <c r="L41" s="203"/>
      <c r="M41" s="133"/>
      <c r="N41" s="134"/>
      <c r="O41" s="134"/>
      <c r="P41" s="134">
        <v>21584.03</v>
      </c>
      <c r="Q41" s="134">
        <f>100072.8+18481.78+105347.64</f>
        <v>223902.22</v>
      </c>
      <c r="R41" s="134"/>
      <c r="S41" s="134">
        <v>57132.12</v>
      </c>
      <c r="T41" s="134"/>
      <c r="U41" s="134"/>
      <c r="V41" s="134">
        <v>34739.55</v>
      </c>
      <c r="W41" s="134"/>
      <c r="X41" s="134"/>
      <c r="Y41" s="158"/>
      <c r="Z41" s="85"/>
      <c r="AA41" s="85"/>
      <c r="AB41" s="85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>
        <v>150000</v>
      </c>
      <c r="AM41" s="159"/>
      <c r="AN41" s="174"/>
      <c r="AO41" s="169">
        <f t="shared" si="6"/>
        <v>337357.92</v>
      </c>
      <c r="AP41" s="170">
        <f t="shared" si="7"/>
        <v>150000</v>
      </c>
      <c r="AQ41" s="172">
        <f t="shared" si="5"/>
        <v>187357.92</v>
      </c>
      <c r="AR41" s="173">
        <f t="shared" si="3"/>
        <v>152618.37</v>
      </c>
      <c r="AS41" s="184"/>
      <c r="AT41" s="182"/>
      <c r="AU41" s="180">
        <f>VLOOKUP(D41,Sheet3!D:O,12,FALSE)</f>
        <v>56918.41</v>
      </c>
      <c r="AV41" s="180">
        <f t="shared" ref="AV41:AV49" si="8">AQ41-AU41</f>
        <v>130439.51</v>
      </c>
      <c r="AX41" s="180"/>
    </row>
    <row r="42" s="20" customFormat="1" ht="24" customHeight="1" spans="2:50">
      <c r="B42" s="129"/>
      <c r="C42" s="90" t="s">
        <v>217</v>
      </c>
      <c r="D42" s="127" t="s">
        <v>223</v>
      </c>
      <c r="E42" s="128"/>
      <c r="F42" s="137"/>
      <c r="G42" s="138"/>
      <c r="H42" s="148"/>
      <c r="I42" s="137"/>
      <c r="J42" s="138"/>
      <c r="K42" s="138"/>
      <c r="L42" s="203"/>
      <c r="M42" s="133"/>
      <c r="N42" s="134"/>
      <c r="O42" s="134"/>
      <c r="P42" s="134"/>
      <c r="Q42" s="134"/>
      <c r="R42" s="134"/>
      <c r="S42" s="134"/>
      <c r="T42" s="134"/>
      <c r="U42" s="134"/>
      <c r="V42" s="134">
        <v>25628.4</v>
      </c>
      <c r="W42" s="134"/>
      <c r="X42" s="134"/>
      <c r="Y42" s="158"/>
      <c r="Z42" s="85"/>
      <c r="AA42" s="85"/>
      <c r="AB42" s="85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74"/>
      <c r="AO42" s="169">
        <f t="shared" ref="AO42" si="9">SUM(L42:X42)</f>
        <v>25628.4</v>
      </c>
      <c r="AP42" s="170">
        <f t="shared" ref="AP42" si="10">SUM(AC42:AN42)</f>
        <v>0</v>
      </c>
      <c r="AQ42" s="172">
        <f t="shared" si="5"/>
        <v>25628.4</v>
      </c>
      <c r="AR42" s="173">
        <f t="shared" si="3"/>
        <v>0</v>
      </c>
      <c r="AS42" s="184" t="s">
        <v>101</v>
      </c>
      <c r="AT42" s="182"/>
      <c r="AU42" s="180">
        <f>VLOOKUP(D42,Sheet3!D:O,12,FALSE)</f>
        <v>32747.5</v>
      </c>
      <c r="AV42" s="180">
        <f t="shared" si="8"/>
        <v>-7119.1</v>
      </c>
      <c r="AX42" s="180"/>
    </row>
    <row r="43" s="20" customFormat="1" ht="24" customHeight="1" spans="2:50">
      <c r="B43" s="129"/>
      <c r="C43" s="90"/>
      <c r="D43" s="127" t="s">
        <v>219</v>
      </c>
      <c r="E43" s="128"/>
      <c r="F43" s="137"/>
      <c r="G43" s="138"/>
      <c r="H43" s="148"/>
      <c r="I43" s="137"/>
      <c r="J43" s="138"/>
      <c r="K43" s="138"/>
      <c r="L43" s="203"/>
      <c r="M43" s="133"/>
      <c r="N43" s="134"/>
      <c r="O43" s="134"/>
      <c r="P43" s="134"/>
      <c r="Q43" s="134"/>
      <c r="R43" s="134"/>
      <c r="S43" s="134"/>
      <c r="T43" s="134"/>
      <c r="U43" s="134">
        <v>27400</v>
      </c>
      <c r="V43" s="134"/>
      <c r="W43" s="134"/>
      <c r="X43" s="134"/>
      <c r="Y43" s="158"/>
      <c r="Z43" s="85"/>
      <c r="AA43" s="85"/>
      <c r="AB43" s="85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>
        <v>27400</v>
      </c>
      <c r="AN43" s="174"/>
      <c r="AO43" s="169">
        <f t="shared" ref="AO43:AO44" si="11">SUM(L43:X43)</f>
        <v>27400</v>
      </c>
      <c r="AP43" s="170">
        <f t="shared" ref="AP43:AP44" si="12">SUM(AC43:AN43)</f>
        <v>27400</v>
      </c>
      <c r="AQ43" s="172">
        <f t="shared" si="5"/>
        <v>0</v>
      </c>
      <c r="AR43" s="173">
        <f t="shared" si="3"/>
        <v>0</v>
      </c>
      <c r="AS43" s="184" t="s">
        <v>101</v>
      </c>
      <c r="AT43" s="182"/>
      <c r="AU43" s="180">
        <f>VLOOKUP(D43,Sheet3!D:O,12,FALSE)</f>
        <v>0</v>
      </c>
      <c r="AV43" s="180">
        <f t="shared" si="8"/>
        <v>0</v>
      </c>
      <c r="AX43" s="180"/>
    </row>
    <row r="44" s="20" customFormat="1" ht="24" customHeight="1" spans="2:50">
      <c r="B44" s="129"/>
      <c r="C44" s="90"/>
      <c r="D44" s="127" t="s">
        <v>220</v>
      </c>
      <c r="E44" s="128"/>
      <c r="F44" s="137"/>
      <c r="G44" s="138"/>
      <c r="H44" s="148"/>
      <c r="I44" s="137"/>
      <c r="J44" s="138"/>
      <c r="K44" s="148"/>
      <c r="L44" s="203"/>
      <c r="M44" s="133"/>
      <c r="N44" s="134"/>
      <c r="O44" s="134">
        <v>2542.2</v>
      </c>
      <c r="P44" s="134"/>
      <c r="Q44" s="134"/>
      <c r="R44" s="134"/>
      <c r="S44" s="134"/>
      <c r="T44" s="139"/>
      <c r="U44" s="134"/>
      <c r="V44" s="134"/>
      <c r="W44" s="134"/>
      <c r="X44" s="134"/>
      <c r="Y44" s="158"/>
      <c r="Z44" s="85"/>
      <c r="AA44" s="85"/>
      <c r="AB44" s="85"/>
      <c r="AC44" s="159"/>
      <c r="AD44" s="159"/>
      <c r="AE44" s="159">
        <v>2542.2</v>
      </c>
      <c r="AF44" s="159"/>
      <c r="AG44" s="159"/>
      <c r="AH44" s="159"/>
      <c r="AI44" s="159"/>
      <c r="AJ44" s="159"/>
      <c r="AK44" s="159"/>
      <c r="AL44" s="159"/>
      <c r="AM44" s="159"/>
      <c r="AN44" s="174"/>
      <c r="AO44" s="169">
        <f t="shared" si="11"/>
        <v>2542.2</v>
      </c>
      <c r="AP44" s="170">
        <f t="shared" si="12"/>
        <v>2542.2</v>
      </c>
      <c r="AQ44" s="172">
        <f t="shared" si="5"/>
        <v>0</v>
      </c>
      <c r="AR44" s="173">
        <f t="shared" si="3"/>
        <v>0</v>
      </c>
      <c r="AS44" s="184" t="s">
        <v>96</v>
      </c>
      <c r="AT44" s="182"/>
      <c r="AU44" s="180">
        <v>0</v>
      </c>
      <c r="AV44" s="180">
        <f t="shared" si="8"/>
        <v>0</v>
      </c>
      <c r="AX44" s="180"/>
    </row>
    <row r="45" s="20" customFormat="1" ht="24" customHeight="1" spans="2:50">
      <c r="B45" s="129"/>
      <c r="C45" s="90" t="s">
        <v>224</v>
      </c>
      <c r="D45" s="127" t="s">
        <v>225</v>
      </c>
      <c r="E45" s="128"/>
      <c r="F45" s="137"/>
      <c r="G45" s="138"/>
      <c r="H45" s="148"/>
      <c r="I45" s="137"/>
      <c r="J45" s="138"/>
      <c r="K45" s="148"/>
      <c r="L45" s="203"/>
      <c r="M45" s="133"/>
      <c r="N45" s="134"/>
      <c r="O45" s="134"/>
      <c r="P45" s="134"/>
      <c r="Q45" s="134"/>
      <c r="R45" s="134">
        <v>111079</v>
      </c>
      <c r="S45" s="134"/>
      <c r="T45" s="139"/>
      <c r="U45" s="134"/>
      <c r="V45" s="134"/>
      <c r="W45" s="134"/>
      <c r="X45" s="134"/>
      <c r="Y45" s="158"/>
      <c r="Z45" s="85"/>
      <c r="AA45" s="85"/>
      <c r="AB45" s="85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74"/>
      <c r="AO45" s="169">
        <f t="shared" ref="AO45:AO48" si="13">SUM(L45:X45)</f>
        <v>111079</v>
      </c>
      <c r="AP45" s="170">
        <f t="shared" ref="AP45:AP48" si="14">SUM(AC45:AN45)</f>
        <v>0</v>
      </c>
      <c r="AQ45" s="172">
        <f t="shared" ref="AQ45:AQ49" si="15">AO45-AP45</f>
        <v>111079</v>
      </c>
      <c r="AR45" s="173">
        <f t="shared" ref="AR45:AR48" si="16">AQ45-V45-W45</f>
        <v>111079</v>
      </c>
      <c r="AS45" s="184" t="s">
        <v>222</v>
      </c>
      <c r="AT45" s="182"/>
      <c r="AU45" s="180">
        <f>VLOOKUP(D45,Sheet3!D:O,12,FALSE)</f>
        <v>182408.67</v>
      </c>
      <c r="AV45" s="180">
        <f t="shared" si="8"/>
        <v>-71329.67</v>
      </c>
      <c r="AX45" s="180"/>
    </row>
    <row r="46" s="20" customFormat="1" ht="24" customHeight="1" spans="2:50">
      <c r="B46" s="129"/>
      <c r="C46" s="90" t="s">
        <v>226</v>
      </c>
      <c r="D46" s="127" t="s">
        <v>227</v>
      </c>
      <c r="E46" s="128"/>
      <c r="F46" s="137"/>
      <c r="G46" s="138"/>
      <c r="H46" s="148"/>
      <c r="I46" s="137"/>
      <c r="J46" s="138"/>
      <c r="K46" s="148"/>
      <c r="L46" s="203"/>
      <c r="M46" s="133"/>
      <c r="N46" s="134"/>
      <c r="O46" s="134"/>
      <c r="P46" s="134"/>
      <c r="Q46" s="134"/>
      <c r="R46" s="134"/>
      <c r="S46" s="134"/>
      <c r="T46" s="139"/>
      <c r="U46" s="134"/>
      <c r="V46" s="134">
        <v>5979.6</v>
      </c>
      <c r="W46" s="134"/>
      <c r="X46" s="134"/>
      <c r="Y46" s="158"/>
      <c r="Z46" s="85"/>
      <c r="AA46" s="85"/>
      <c r="AB46" s="85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  <c r="AN46" s="174"/>
      <c r="AO46" s="169">
        <f t="shared" si="13"/>
        <v>5979.6</v>
      </c>
      <c r="AP46" s="170">
        <f t="shared" si="14"/>
        <v>0</v>
      </c>
      <c r="AQ46" s="172">
        <f t="shared" si="15"/>
        <v>5979.6</v>
      </c>
      <c r="AR46" s="173">
        <f t="shared" si="16"/>
        <v>0</v>
      </c>
      <c r="AS46" s="184" t="s">
        <v>101</v>
      </c>
      <c r="AT46" s="182"/>
      <c r="AU46" s="180">
        <f>VLOOKUP(D46,Sheet3!D:O,12,FALSE)</f>
        <v>0</v>
      </c>
      <c r="AV46" s="180">
        <f t="shared" si="8"/>
        <v>5979.6</v>
      </c>
      <c r="AX46" s="180"/>
    </row>
    <row r="47" s="20" customFormat="1" ht="24" customHeight="1" spans="2:50">
      <c r="B47" s="129"/>
      <c r="C47" s="90" t="s">
        <v>228</v>
      </c>
      <c r="D47" s="127" t="s">
        <v>229</v>
      </c>
      <c r="E47" s="128"/>
      <c r="F47" s="137"/>
      <c r="G47" s="138"/>
      <c r="H47" s="148"/>
      <c r="I47" s="137"/>
      <c r="J47" s="138"/>
      <c r="K47" s="148"/>
      <c r="L47" s="203"/>
      <c r="M47" s="133"/>
      <c r="N47" s="134"/>
      <c r="O47" s="134">
        <v>30854.97</v>
      </c>
      <c r="P47" s="134"/>
      <c r="Q47" s="134"/>
      <c r="R47" s="134"/>
      <c r="S47" s="134"/>
      <c r="T47" s="139"/>
      <c r="U47" s="134"/>
      <c r="V47" s="134"/>
      <c r="W47" s="134">
        <v>8018.39</v>
      </c>
      <c r="X47" s="134"/>
      <c r="Y47" s="158"/>
      <c r="Z47" s="85"/>
      <c r="AA47" s="85"/>
      <c r="AB47" s="85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59">
        <v>30854.97</v>
      </c>
      <c r="AN47" s="174"/>
      <c r="AO47" s="169"/>
      <c r="AP47" s="170"/>
      <c r="AQ47" s="172"/>
      <c r="AR47" s="173"/>
      <c r="AS47" s="184"/>
      <c r="AT47" s="182"/>
      <c r="AU47" s="180"/>
      <c r="AV47" s="180"/>
      <c r="AX47" s="180"/>
    </row>
    <row r="48" s="20" customFormat="1" ht="24" customHeight="1" spans="2:50">
      <c r="B48" s="48"/>
      <c r="C48" s="122" t="s">
        <v>230</v>
      </c>
      <c r="D48" s="50" t="s">
        <v>231</v>
      </c>
      <c r="E48" s="123"/>
      <c r="F48" s="135"/>
      <c r="G48" s="136"/>
      <c r="H48" s="136"/>
      <c r="I48" s="135"/>
      <c r="J48" s="136"/>
      <c r="K48" s="136"/>
      <c r="L48" s="145"/>
      <c r="M48" s="9"/>
      <c r="N48" s="124"/>
      <c r="O48" s="124"/>
      <c r="P48" s="124"/>
      <c r="Q48" s="124"/>
      <c r="R48" s="124">
        <v>3169474.4</v>
      </c>
      <c r="S48" s="124"/>
      <c r="T48" s="124"/>
      <c r="U48" s="124"/>
      <c r="V48" s="124"/>
      <c r="W48" s="124">
        <v>887312.2</v>
      </c>
      <c r="X48" s="124"/>
      <c r="Y48" s="156"/>
      <c r="Z48" s="79"/>
      <c r="AA48" s="79"/>
      <c r="AB48" s="79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>
        <v>1000000</v>
      </c>
      <c r="AN48" s="168"/>
      <c r="AO48" s="169">
        <f t="shared" si="13"/>
        <v>4056786.6</v>
      </c>
      <c r="AP48" s="170">
        <f t="shared" si="14"/>
        <v>1000000</v>
      </c>
      <c r="AQ48" s="172">
        <f t="shared" si="15"/>
        <v>3056786.6</v>
      </c>
      <c r="AR48" s="173">
        <f t="shared" si="16"/>
        <v>2169474.4</v>
      </c>
      <c r="AS48" s="177" t="s">
        <v>232</v>
      </c>
      <c r="AT48" s="178"/>
      <c r="AU48" s="180">
        <f>VLOOKUP(D48,Sheet3!D:O,12,FALSE)</f>
        <v>562589.14</v>
      </c>
      <c r="AV48" s="180">
        <f t="shared" si="8"/>
        <v>2494197.46</v>
      </c>
      <c r="AX48" s="180"/>
    </row>
    <row r="49" s="20" customFormat="1" ht="24" customHeight="1" spans="2:50">
      <c r="B49" s="129" t="s">
        <v>81</v>
      </c>
      <c r="C49" s="90" t="s">
        <v>186</v>
      </c>
      <c r="D49" s="126" t="s">
        <v>187</v>
      </c>
      <c r="E49" s="123">
        <v>1745182.33</v>
      </c>
      <c r="F49" s="135">
        <v>1040684.8</v>
      </c>
      <c r="G49" s="136">
        <v>289573.8</v>
      </c>
      <c r="H49" s="147">
        <f>16000</f>
        <v>16000</v>
      </c>
      <c r="I49" s="135"/>
      <c r="J49" s="136"/>
      <c r="K49" s="147">
        <v>320129</v>
      </c>
      <c r="L49" s="145">
        <f t="shared" ref="L49" si="17">SUM(I49:K49)+E49</f>
        <v>2065311.33</v>
      </c>
      <c r="M49" s="9">
        <v>149456.06</v>
      </c>
      <c r="N49" s="124">
        <v>2056724.82</v>
      </c>
      <c r="O49" s="124">
        <v>197945.79</v>
      </c>
      <c r="P49" s="124">
        <v>311102.56</v>
      </c>
      <c r="Q49" s="124">
        <f>443106.62+11186.26</f>
        <v>454292.88</v>
      </c>
      <c r="R49" s="124">
        <f>198972.66+354266.3</f>
        <v>553238.96</v>
      </c>
      <c r="S49" s="124">
        <v>231220.6</v>
      </c>
      <c r="T49" s="124">
        <v>107564.34</v>
      </c>
      <c r="U49" s="124">
        <v>129079.9</v>
      </c>
      <c r="V49" s="124">
        <f>207174.2+538701.01+4859</f>
        <v>750734.21</v>
      </c>
      <c r="W49" s="124">
        <v>-10426.18</v>
      </c>
      <c r="X49" s="124"/>
      <c r="Y49" s="158"/>
      <c r="Z49" s="85"/>
      <c r="AA49" s="79" t="s">
        <v>84</v>
      </c>
      <c r="AB49" s="79" t="s">
        <v>84</v>
      </c>
      <c r="AC49" s="159">
        <v>600000</v>
      </c>
      <c r="AD49" s="159"/>
      <c r="AE49" s="159">
        <f>378820-250000</f>
        <v>128820</v>
      </c>
      <c r="AF49" s="159"/>
      <c r="AG49" s="159">
        <v>10500</v>
      </c>
      <c r="AH49" s="159">
        <f>2239.89+12430</f>
        <v>14669.89</v>
      </c>
      <c r="AI49" s="159"/>
      <c r="AJ49" s="159">
        <f>200000+10638.96</f>
        <v>210638.96</v>
      </c>
      <c r="AK49" s="159">
        <v>200000</v>
      </c>
      <c r="AL49" s="159">
        <v>100000</v>
      </c>
      <c r="AM49" s="159">
        <f>300000+200000</f>
        <v>500000</v>
      </c>
      <c r="AN49" s="174"/>
      <c r="AO49" s="169">
        <f t="shared" si="6"/>
        <v>6996245.27</v>
      </c>
      <c r="AP49" s="170">
        <f t="shared" si="7"/>
        <v>1764628.85</v>
      </c>
      <c r="AQ49" s="172">
        <f t="shared" si="15"/>
        <v>5231616.42</v>
      </c>
      <c r="AR49" s="173">
        <f t="shared" si="3"/>
        <v>4491308.39</v>
      </c>
      <c r="AS49" s="181"/>
      <c r="AT49" s="182"/>
      <c r="AU49" s="180">
        <f>VLOOKUP(D49,Sheet3!D:O,12,FALSE)</f>
        <v>104394.1</v>
      </c>
      <c r="AV49" s="180">
        <f t="shared" si="8"/>
        <v>5127222.32</v>
      </c>
      <c r="AX49" s="180"/>
    </row>
    <row r="50" s="21" customFormat="1" ht="24" customHeight="1" spans="2:50">
      <c r="B50" s="92"/>
      <c r="C50" s="93"/>
      <c r="D50" s="94" t="s">
        <v>142</v>
      </c>
      <c r="E50" s="187">
        <f>SUM(E5:E49)</f>
        <v>2758142.22</v>
      </c>
      <c r="F50" s="188"/>
      <c r="G50" s="189">
        <f t="shared" ref="G50:AQ50" si="18">SUM(G5:G49)</f>
        <v>333580.75</v>
      </c>
      <c r="H50" s="189">
        <f t="shared" si="18"/>
        <v>26937.5</v>
      </c>
      <c r="I50" s="189">
        <f t="shared" si="18"/>
        <v>755825</v>
      </c>
      <c r="J50" s="189">
        <f t="shared" si="18"/>
        <v>2193040.65</v>
      </c>
      <c r="K50" s="189">
        <f t="shared" si="18"/>
        <v>1693626.34</v>
      </c>
      <c r="L50" s="190">
        <f t="shared" si="18"/>
        <v>7400634.21</v>
      </c>
      <c r="M50" s="185">
        <f t="shared" si="18"/>
        <v>1786678.1</v>
      </c>
      <c r="N50" s="186">
        <f t="shared" si="18"/>
        <v>2539553.76</v>
      </c>
      <c r="O50" s="186">
        <f t="shared" si="18"/>
        <v>609965.42</v>
      </c>
      <c r="P50" s="186">
        <f t="shared" si="18"/>
        <v>2385355.63</v>
      </c>
      <c r="Q50" s="186">
        <f t="shared" si="18"/>
        <v>4769286.35</v>
      </c>
      <c r="R50" s="186">
        <f t="shared" si="18"/>
        <v>6375418.92</v>
      </c>
      <c r="S50" s="186">
        <f t="shared" si="18"/>
        <v>1539469.79</v>
      </c>
      <c r="T50" s="186">
        <f t="shared" si="18"/>
        <v>471784.75</v>
      </c>
      <c r="U50" s="186">
        <f t="shared" si="18"/>
        <v>1731854.68</v>
      </c>
      <c r="V50" s="186">
        <f t="shared" si="18"/>
        <v>2313855.74</v>
      </c>
      <c r="W50" s="186">
        <f t="shared" si="18"/>
        <v>1316908.35</v>
      </c>
      <c r="X50" s="186">
        <f t="shared" si="18"/>
        <v>0</v>
      </c>
      <c r="Y50" s="191">
        <f t="shared" si="18"/>
        <v>0</v>
      </c>
      <c r="Z50" s="192">
        <f t="shared" si="18"/>
        <v>0</v>
      </c>
      <c r="AA50" s="192">
        <f t="shared" si="18"/>
        <v>0</v>
      </c>
      <c r="AB50" s="192">
        <f t="shared" si="18"/>
        <v>0</v>
      </c>
      <c r="AC50" s="192">
        <f t="shared" si="18"/>
        <v>603390</v>
      </c>
      <c r="AD50" s="192">
        <f t="shared" si="18"/>
        <v>2159095.6</v>
      </c>
      <c r="AE50" s="192">
        <f t="shared" si="18"/>
        <v>2155410.69</v>
      </c>
      <c r="AF50" s="192">
        <f t="shared" si="18"/>
        <v>1214408.1</v>
      </c>
      <c r="AG50" s="192">
        <f t="shared" si="18"/>
        <v>1195377.39</v>
      </c>
      <c r="AH50" s="192">
        <f t="shared" si="18"/>
        <v>1177304</v>
      </c>
      <c r="AI50" s="192">
        <f t="shared" si="18"/>
        <v>1162488.58</v>
      </c>
      <c r="AJ50" s="192">
        <f t="shared" si="18"/>
        <v>3972454.69</v>
      </c>
      <c r="AK50" s="192">
        <f t="shared" si="18"/>
        <v>2462204.76</v>
      </c>
      <c r="AL50" s="192">
        <f t="shared" si="18"/>
        <v>2236666.65</v>
      </c>
      <c r="AM50" s="192">
        <f t="shared" si="18"/>
        <v>3258650.51</v>
      </c>
      <c r="AN50" s="195">
        <f t="shared" si="18"/>
        <v>0</v>
      </c>
      <c r="AO50" s="196">
        <f t="shared" si="18"/>
        <v>33201892.34</v>
      </c>
      <c r="AP50" s="197">
        <f t="shared" si="18"/>
        <v>21566596</v>
      </c>
      <c r="AQ50" s="104">
        <f t="shared" si="18"/>
        <v>11635296.34</v>
      </c>
      <c r="AR50" s="195">
        <f t="shared" si="3"/>
        <v>8004532.25</v>
      </c>
      <c r="AS50" s="199"/>
      <c r="AT50" s="200"/>
      <c r="AW50" s="20"/>
      <c r="AX50" s="180"/>
    </row>
    <row r="51" customHeight="1" spans="5:44">
      <c r="E51" s="99"/>
      <c r="F51" s="99"/>
      <c r="G51" s="99"/>
      <c r="H51" s="99"/>
      <c r="I51" s="99">
        <f>SUM(I5:I44)</f>
        <v>755825</v>
      </c>
      <c r="J51" s="99">
        <f t="shared" ref="J51:AO51" si="19">SUM(J5:J44)</f>
        <v>2193040.65</v>
      </c>
      <c r="K51" s="99">
        <f t="shared" si="19"/>
        <v>1373497.34</v>
      </c>
      <c r="L51" s="99">
        <f t="shared" si="19"/>
        <v>5335322.88</v>
      </c>
      <c r="M51" s="99">
        <f t="shared" si="19"/>
        <v>1637222.04</v>
      </c>
      <c r="N51" s="99">
        <f t="shared" si="19"/>
        <v>482828.94</v>
      </c>
      <c r="O51" s="99">
        <f t="shared" si="19"/>
        <v>381164.66</v>
      </c>
      <c r="P51" s="99">
        <f t="shared" si="19"/>
        <v>2074253.07</v>
      </c>
      <c r="Q51" s="99">
        <f t="shared" si="19"/>
        <v>4314993.47</v>
      </c>
      <c r="R51" s="99">
        <f t="shared" si="19"/>
        <v>2541626.56</v>
      </c>
      <c r="S51" s="99">
        <f t="shared" si="19"/>
        <v>1308249.19</v>
      </c>
      <c r="T51" s="99">
        <f t="shared" si="19"/>
        <v>364220.41</v>
      </c>
      <c r="U51" s="99">
        <f t="shared" si="19"/>
        <v>1602774.78</v>
      </c>
      <c r="V51" s="99">
        <f t="shared" si="19"/>
        <v>1557141.93</v>
      </c>
      <c r="W51" s="99">
        <f t="shared" si="19"/>
        <v>432003.94</v>
      </c>
      <c r="X51" s="99">
        <f t="shared" si="19"/>
        <v>0</v>
      </c>
      <c r="Y51" s="99">
        <f t="shared" si="19"/>
        <v>0</v>
      </c>
      <c r="Z51" s="99">
        <f t="shared" si="19"/>
        <v>0</v>
      </c>
      <c r="AA51" s="99">
        <f t="shared" si="19"/>
        <v>0</v>
      </c>
      <c r="AB51" s="99">
        <f t="shared" si="19"/>
        <v>0</v>
      </c>
      <c r="AC51" s="99">
        <f t="shared" si="19"/>
        <v>3390</v>
      </c>
      <c r="AD51" s="99">
        <f t="shared" si="19"/>
        <v>2159095.6</v>
      </c>
      <c r="AE51" s="99">
        <f t="shared" si="19"/>
        <v>2026590.69</v>
      </c>
      <c r="AF51" s="99">
        <f t="shared" si="19"/>
        <v>1214408.1</v>
      </c>
      <c r="AG51" s="99">
        <f t="shared" si="19"/>
        <v>1184877.39</v>
      </c>
      <c r="AH51" s="99">
        <f t="shared" si="19"/>
        <v>1162634.11</v>
      </c>
      <c r="AI51" s="99">
        <f t="shared" si="19"/>
        <v>1162488.58</v>
      </c>
      <c r="AJ51" s="99">
        <f t="shared" si="19"/>
        <v>3761815.73</v>
      </c>
      <c r="AK51" s="99">
        <f t="shared" si="19"/>
        <v>2262204.76</v>
      </c>
      <c r="AL51" s="99">
        <f t="shared" si="19"/>
        <v>2136666.65</v>
      </c>
      <c r="AM51" s="99">
        <f t="shared" si="19"/>
        <v>1727795.54</v>
      </c>
      <c r="AN51" s="99">
        <f t="shared" si="19"/>
        <v>0</v>
      </c>
      <c r="AO51" s="99">
        <f t="shared" si="19"/>
        <v>22031801.87</v>
      </c>
      <c r="AP51" s="99">
        <f>SUM(AP5:AP48)</f>
        <v>19801967.15</v>
      </c>
      <c r="AQ51" s="99">
        <f t="shared" ref="AQ51:AR51" si="20">SUM(AQ5:AQ48)</f>
        <v>6403679.92</v>
      </c>
      <c r="AR51" s="99">
        <f t="shared" si="20"/>
        <v>3747885.89</v>
      </c>
    </row>
    <row r="52" customHeight="1" spans="5:53"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BA52" s="207"/>
    </row>
    <row r="53" ht="15.6" spans="4:53">
      <c r="D53" s="100" t="s">
        <v>143</v>
      </c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100"/>
      <c r="AP53" s="100"/>
      <c r="AQ53" s="100"/>
      <c r="AR53" s="100"/>
      <c r="AS53" s="100"/>
      <c r="BA53" s="207"/>
    </row>
    <row r="63" spans="53:53">
      <c r="BA63" s="207"/>
    </row>
    <row r="64" spans="2:45">
      <c r="B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</row>
    <row r="67" spans="2:53">
      <c r="B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BA67" s="207"/>
    </row>
    <row r="71" spans="53:53">
      <c r="BA71" s="207"/>
    </row>
    <row r="77" spans="53:53">
      <c r="BA77" s="207"/>
    </row>
    <row r="78" spans="53:53">
      <c r="BA78" s="207"/>
    </row>
    <row r="80" spans="53:53">
      <c r="BA80" s="207"/>
    </row>
    <row r="82" spans="53:53">
      <c r="BA82" s="207"/>
    </row>
  </sheetData>
  <autoFilter ref="A4:AV51">
    <extLst/>
  </autoFilter>
  <mergeCells count="51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</mergeCells>
  <conditionalFormatting sqref="D48">
    <cfRule type="duplicateValues" dxfId="0" priority="3"/>
  </conditionalFormatting>
  <conditionalFormatting sqref="D42:D43">
    <cfRule type="duplicateValues" dxfId="0" priority="4"/>
  </conditionalFormatting>
  <conditionalFormatting sqref="D44:D47">
    <cfRule type="duplicateValues" dxfId="0" priority="5"/>
  </conditionalFormatting>
  <conditionalFormatting sqref="BA5:BA127">
    <cfRule type="duplicateValues" dxfId="0" priority="1"/>
  </conditionalFormatting>
  <conditionalFormatting sqref="BA83:BA127">
    <cfRule type="duplicateValues" dxfId="0" priority="2"/>
  </conditionalFormatting>
  <conditionalFormatting sqref="D1:D41 D49:D1048576">
    <cfRule type="duplicateValues" dxfId="0" priority="7"/>
  </conditionalFormatting>
  <conditionalFormatting sqref="AP1:AR1 AP52:AR1048576">
    <cfRule type="duplicateValues" dxfId="0" priority="6"/>
  </conditionalFormatting>
  <pageMargins left="0.7" right="0.7" top="0.75" bottom="0.75" header="0.3" footer="0.3"/>
  <pageSetup paperSize="9" orientation="portrait"/>
  <headerFooter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67"/>
  <sheetViews>
    <sheetView zoomScale="80" zoomScaleNormal="80" workbookViewId="0">
      <pane xSplit="4" ySplit="4" topLeftCell="I27" activePane="bottomRight" state="frozen"/>
      <selection/>
      <selection pane="topRight"/>
      <selection pane="bottomLeft"/>
      <selection pane="bottomRight" activeCell="D47" sqref="D47"/>
    </sheetView>
  </sheetViews>
  <sheetFormatPr defaultColWidth="8" defaultRowHeight="15"/>
  <cols>
    <col min="1" max="1" width="1.4537037037037" style="22" customWidth="1"/>
    <col min="2" max="2" width="7.09259259259259" style="23" customWidth="1"/>
    <col min="3" max="3" width="10.6296296296296" style="22" customWidth="1"/>
    <col min="4" max="4" width="27.3611111111111" style="24" customWidth="1"/>
    <col min="5" max="6" width="13.9074074074074" style="111" customWidth="1"/>
    <col min="7" max="8" width="12.2685185185185" style="111" customWidth="1"/>
    <col min="9" max="9" width="13.9074074074074" style="111" customWidth="1"/>
    <col min="10" max="11" width="12.2685185185185" style="111" customWidth="1"/>
    <col min="12" max="24" width="14.2685185185185" style="111" customWidth="1"/>
    <col min="25" max="25" width="3.62962962962963" style="22" customWidth="1"/>
    <col min="26" max="26" width="6.72222222222222" style="22" customWidth="1"/>
    <col min="27" max="28" width="4.72222222222222" style="22" customWidth="1"/>
    <col min="29" max="30" width="16.3611111111111" style="112" customWidth="1"/>
    <col min="31" max="40" width="13" style="112" customWidth="1"/>
    <col min="41" max="44" width="17.2685185185185" style="24" customWidth="1"/>
    <col min="45" max="45" width="8.36111111111111" style="24" customWidth="1"/>
    <col min="46" max="46" width="15.7222222222222" style="22" customWidth="1"/>
    <col min="47" max="47" width="12" style="22" customWidth="1"/>
    <col min="48" max="49" width="13.0925925925926" style="22" customWidth="1"/>
    <col min="50" max="50" width="13.9074074074074" style="22" customWidth="1"/>
    <col min="51" max="16384" width="8" style="22"/>
  </cols>
  <sheetData>
    <row r="1" ht="21" customHeight="1" spans="2:46">
      <c r="B1" s="113" t="s">
        <v>233</v>
      </c>
      <c r="C1" s="114"/>
      <c r="D1" s="114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4"/>
      <c r="Z1" s="114"/>
      <c r="AA1" s="114"/>
      <c r="AB1" s="114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4"/>
    </row>
    <row r="2" ht="18" customHeight="1" spans="2:48">
      <c r="B2" s="29" t="s">
        <v>1</v>
      </c>
      <c r="C2" s="30" t="s">
        <v>2</v>
      </c>
      <c r="D2" s="31" t="s">
        <v>3</v>
      </c>
      <c r="E2" s="116" t="s">
        <v>189</v>
      </c>
      <c r="F2" s="117"/>
      <c r="G2" s="117"/>
      <c r="H2" s="117"/>
      <c r="I2" s="140" t="s">
        <v>190</v>
      </c>
      <c r="J2" s="141"/>
      <c r="K2" s="141"/>
      <c r="L2" s="142"/>
      <c r="M2" s="116" t="s">
        <v>191</v>
      </c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51" t="s">
        <v>36</v>
      </c>
      <c r="Z2" s="64" t="s">
        <v>37</v>
      </c>
      <c r="AA2" s="64"/>
      <c r="AB2" s="64"/>
      <c r="AC2" s="152" t="s">
        <v>192</v>
      </c>
      <c r="AD2" s="152" t="s">
        <v>193</v>
      </c>
      <c r="AE2" s="152" t="s">
        <v>158</v>
      </c>
      <c r="AF2" s="152" t="s">
        <v>159</v>
      </c>
      <c r="AG2" s="152" t="s">
        <v>160</v>
      </c>
      <c r="AH2" s="152" t="s">
        <v>161</v>
      </c>
      <c r="AI2" s="152" t="s">
        <v>162</v>
      </c>
      <c r="AJ2" s="152" t="s">
        <v>163</v>
      </c>
      <c r="AK2" s="152" t="s">
        <v>164</v>
      </c>
      <c r="AL2" s="152" t="s">
        <v>165</v>
      </c>
      <c r="AM2" s="152" t="s">
        <v>166</v>
      </c>
      <c r="AN2" s="163" t="s">
        <v>167</v>
      </c>
      <c r="AO2" s="164"/>
      <c r="AP2" s="59"/>
      <c r="AQ2" s="59"/>
      <c r="AR2" s="59"/>
      <c r="AS2" s="175"/>
      <c r="AT2" s="67" t="s">
        <v>36</v>
      </c>
      <c r="AU2" s="67" t="s">
        <v>234</v>
      </c>
      <c r="AV2" s="67" t="s">
        <v>235</v>
      </c>
    </row>
    <row r="3" ht="31.5" customHeight="1" spans="2:48">
      <c r="B3" s="34"/>
      <c r="C3" s="35"/>
      <c r="D3" s="36"/>
      <c r="E3" s="118" t="s">
        <v>194</v>
      </c>
      <c r="F3" s="119" t="s">
        <v>195</v>
      </c>
      <c r="G3" s="119" t="s">
        <v>196</v>
      </c>
      <c r="H3" s="119" t="s">
        <v>197</v>
      </c>
      <c r="I3" s="202" t="s">
        <v>195</v>
      </c>
      <c r="J3" s="202" t="s">
        <v>196</v>
      </c>
      <c r="K3" s="202" t="s">
        <v>197</v>
      </c>
      <c r="L3" s="143" t="s">
        <v>198</v>
      </c>
      <c r="M3" s="118" t="s">
        <v>73</v>
      </c>
      <c r="N3" s="119" t="s">
        <v>74</v>
      </c>
      <c r="O3" s="119" t="s">
        <v>169</v>
      </c>
      <c r="P3" s="119" t="s">
        <v>170</v>
      </c>
      <c r="Q3" s="119" t="s">
        <v>171</v>
      </c>
      <c r="R3" s="119" t="s">
        <v>172</v>
      </c>
      <c r="S3" s="119" t="s">
        <v>173</v>
      </c>
      <c r="T3" s="119" t="s">
        <v>174</v>
      </c>
      <c r="U3" s="119" t="s">
        <v>175</v>
      </c>
      <c r="V3" s="119" t="s">
        <v>70</v>
      </c>
      <c r="W3" s="119" t="s">
        <v>71</v>
      </c>
      <c r="X3" s="119" t="s">
        <v>72</v>
      </c>
      <c r="Y3" s="153"/>
      <c r="Z3" s="154" t="s">
        <v>76</v>
      </c>
      <c r="AA3" s="154" t="s">
        <v>77</v>
      </c>
      <c r="AB3" s="154" t="s">
        <v>78</v>
      </c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65"/>
      <c r="AO3" s="166" t="s">
        <v>199</v>
      </c>
      <c r="AP3" s="56" t="s">
        <v>200</v>
      </c>
      <c r="AQ3" s="167" t="s">
        <v>201</v>
      </c>
      <c r="AR3" s="56" t="s">
        <v>236</v>
      </c>
      <c r="AS3" s="176" t="s">
        <v>203</v>
      </c>
      <c r="AT3" s="74"/>
      <c r="AU3" s="74"/>
      <c r="AV3" s="74"/>
    </row>
    <row r="4" ht="18" customHeight="1" spans="2:48">
      <c r="B4" s="34"/>
      <c r="C4" s="35"/>
      <c r="D4" s="36"/>
      <c r="E4" s="120"/>
      <c r="F4" s="121"/>
      <c r="G4" s="121"/>
      <c r="H4" s="121"/>
      <c r="I4" s="121"/>
      <c r="J4" s="121"/>
      <c r="K4" s="121"/>
      <c r="L4" s="144"/>
      <c r="M4" s="120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53"/>
      <c r="Z4" s="154"/>
      <c r="AA4" s="154"/>
      <c r="AB4" s="154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65"/>
      <c r="AO4" s="166"/>
      <c r="AP4" s="56"/>
      <c r="AQ4" s="167"/>
      <c r="AR4" s="56"/>
      <c r="AS4" s="176"/>
      <c r="AT4" s="74"/>
      <c r="AU4" s="74"/>
      <c r="AV4" s="74"/>
    </row>
    <row r="5" s="20" customFormat="1" ht="24" customHeight="1" spans="2:50">
      <c r="B5" s="42" t="s">
        <v>81</v>
      </c>
      <c r="C5" s="122" t="s">
        <v>82</v>
      </c>
      <c r="D5" s="43" t="s">
        <v>83</v>
      </c>
      <c r="E5" s="123">
        <v>0</v>
      </c>
      <c r="F5" s="135"/>
      <c r="G5" s="136"/>
      <c r="H5" s="136"/>
      <c r="I5" s="135"/>
      <c r="J5" s="136"/>
      <c r="K5" s="136"/>
      <c r="L5" s="145">
        <f>SUM(I5:K5)+E5</f>
        <v>0</v>
      </c>
      <c r="M5" s="9"/>
      <c r="N5" s="124"/>
      <c r="O5" s="124"/>
      <c r="P5" s="124"/>
      <c r="Q5" s="124">
        <v>41950</v>
      </c>
      <c r="R5" s="124"/>
      <c r="S5" s="124">
        <v>41950</v>
      </c>
      <c r="T5" s="124"/>
      <c r="U5" s="124">
        <v>41950</v>
      </c>
      <c r="V5" s="124"/>
      <c r="W5" s="124"/>
      <c r="X5" s="124"/>
      <c r="Y5" s="156"/>
      <c r="Z5" s="162"/>
      <c r="AA5" s="79"/>
      <c r="AB5" s="79" t="s">
        <v>84</v>
      </c>
      <c r="AC5" s="7"/>
      <c r="AD5" s="7"/>
      <c r="AE5" s="7"/>
      <c r="AF5" s="7"/>
      <c r="AG5" s="7"/>
      <c r="AH5" s="7"/>
      <c r="AI5" s="7"/>
      <c r="AJ5" s="7">
        <v>41950</v>
      </c>
      <c r="AK5" s="7"/>
      <c r="AL5" s="7">
        <v>41950</v>
      </c>
      <c r="AM5" s="7">
        <v>41950</v>
      </c>
      <c r="AN5" s="168"/>
      <c r="AO5" s="169">
        <f>SUM(L5:X5)</f>
        <v>125850</v>
      </c>
      <c r="AP5" s="170">
        <f>SUM(AC5:AN5)</f>
        <v>125850</v>
      </c>
      <c r="AQ5" s="172">
        <f>AO5-AP5</f>
        <v>0</v>
      </c>
      <c r="AR5" s="173">
        <f>AQ5-X5-W5</f>
        <v>0</v>
      </c>
      <c r="AS5" s="177" t="s">
        <v>85</v>
      </c>
      <c r="AT5" s="178"/>
      <c r="AU5" s="204"/>
      <c r="AV5" s="179"/>
      <c r="AW5" s="180">
        <f>VLOOKUP(D5,Sheet3!D:O,12,FALSE)</f>
        <v>0</v>
      </c>
      <c r="AX5" s="180">
        <f>AQ5-AW5</f>
        <v>0</v>
      </c>
    </row>
    <row r="6" s="20" customFormat="1" ht="24" customHeight="1" spans="1:50">
      <c r="A6" s="132"/>
      <c r="B6" s="42" t="s">
        <v>81</v>
      </c>
      <c r="C6" s="122" t="s">
        <v>86</v>
      </c>
      <c r="D6" s="43" t="s">
        <v>87</v>
      </c>
      <c r="E6" s="123">
        <v>0</v>
      </c>
      <c r="F6" s="135">
        <v>561530.9</v>
      </c>
      <c r="G6" s="136"/>
      <c r="H6" s="136"/>
      <c r="I6" s="135"/>
      <c r="J6" s="136">
        <v>334593</v>
      </c>
      <c r="K6" s="136"/>
      <c r="L6" s="145">
        <f t="shared" ref="L6:L35" si="0">SUM(I6:K6)+E6</f>
        <v>334593</v>
      </c>
      <c r="M6" s="9">
        <f>191196+131339</f>
        <v>322535</v>
      </c>
      <c r="N6" s="124"/>
      <c r="O6" s="124"/>
      <c r="P6" s="124">
        <v>561985.73</v>
      </c>
      <c r="Q6" s="124">
        <f>120458+193659.4</f>
        <v>314117.4</v>
      </c>
      <c r="R6" s="124">
        <v>43086.9</v>
      </c>
      <c r="S6" s="150"/>
      <c r="T6" s="150"/>
      <c r="U6" s="124"/>
      <c r="V6" s="124">
        <v>60229</v>
      </c>
      <c r="W6" s="124"/>
      <c r="X6" s="124"/>
      <c r="Y6" s="156"/>
      <c r="Z6" s="79"/>
      <c r="AA6" s="79"/>
      <c r="AB6" s="79" t="s">
        <v>84</v>
      </c>
      <c r="AC6" s="7"/>
      <c r="AD6" s="7">
        <v>334593</v>
      </c>
      <c r="AE6" s="7">
        <v>322535</v>
      </c>
      <c r="AF6" s="7"/>
      <c r="AG6" s="7"/>
      <c r="AH6" s="7"/>
      <c r="AI6" s="7"/>
      <c r="AJ6" s="7">
        <v>876103.13</v>
      </c>
      <c r="AK6" s="7">
        <v>43086.9</v>
      </c>
      <c r="AL6" s="7"/>
      <c r="AM6" s="7"/>
      <c r="AN6" s="168"/>
      <c r="AO6" s="169">
        <f t="shared" ref="AO6:AO35" si="1">SUM(L6:X6)</f>
        <v>1636547.03</v>
      </c>
      <c r="AP6" s="170">
        <f t="shared" ref="AP6:AP35" si="2">SUM(AC6:AN6)</f>
        <v>1576318.03</v>
      </c>
      <c r="AQ6" s="172">
        <f>AO6-AP6</f>
        <v>60229</v>
      </c>
      <c r="AR6" s="173">
        <f t="shared" ref="AR6:AR49" si="3">AQ6-X6-W6</f>
        <v>60229</v>
      </c>
      <c r="AS6" s="177" t="s">
        <v>85</v>
      </c>
      <c r="AT6" s="178"/>
      <c r="AU6" s="204"/>
      <c r="AV6" s="179">
        <v>60229</v>
      </c>
      <c r="AW6" s="180">
        <f>VLOOKUP(D6,Sheet3!D:O,12,FALSE)</f>
        <v>0</v>
      </c>
      <c r="AX6" s="180">
        <f t="shared" ref="AX6:AX49" si="4">AQ6-AW6</f>
        <v>60229</v>
      </c>
    </row>
    <row r="7" s="20" customFormat="1" ht="24" customHeight="1" spans="2:50">
      <c r="B7" s="42" t="s">
        <v>81</v>
      </c>
      <c r="C7" s="122" t="s">
        <v>88</v>
      </c>
      <c r="D7" s="43" t="s">
        <v>89</v>
      </c>
      <c r="E7" s="123">
        <v>0</v>
      </c>
      <c r="F7" s="135"/>
      <c r="G7" s="136"/>
      <c r="H7" s="136"/>
      <c r="I7" s="135"/>
      <c r="J7" s="136"/>
      <c r="K7" s="136"/>
      <c r="L7" s="145">
        <f t="shared" si="0"/>
        <v>0</v>
      </c>
      <c r="M7" s="9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56"/>
      <c r="Z7" s="79"/>
      <c r="AA7" s="79"/>
      <c r="AB7" s="79" t="s">
        <v>84</v>
      </c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168"/>
      <c r="AO7" s="169">
        <f t="shared" si="1"/>
        <v>0</v>
      </c>
      <c r="AP7" s="170">
        <f t="shared" si="2"/>
        <v>0</v>
      </c>
      <c r="AQ7" s="172">
        <f t="shared" ref="AQ7:AQ49" si="5">AO7-AP7</f>
        <v>0</v>
      </c>
      <c r="AR7" s="173">
        <f t="shared" si="3"/>
        <v>0</v>
      </c>
      <c r="AS7" s="177" t="s">
        <v>85</v>
      </c>
      <c r="AT7" s="178"/>
      <c r="AU7" s="204"/>
      <c r="AV7" s="179"/>
      <c r="AW7" s="180">
        <f>VLOOKUP(D7,Sheet3!D:O,12,FALSE)</f>
        <v>0</v>
      </c>
      <c r="AX7" s="180">
        <f t="shared" si="4"/>
        <v>0</v>
      </c>
    </row>
    <row r="8" s="20" customFormat="1" ht="24" customHeight="1" spans="2:50">
      <c r="B8" s="42" t="s">
        <v>81</v>
      </c>
      <c r="C8" s="122" t="s">
        <v>90</v>
      </c>
      <c r="D8" s="43" t="s">
        <v>91</v>
      </c>
      <c r="E8" s="123">
        <v>51022.6</v>
      </c>
      <c r="F8" s="135"/>
      <c r="G8" s="136"/>
      <c r="H8" s="136"/>
      <c r="I8" s="135"/>
      <c r="J8" s="136">
        <f>53675+103056</f>
        <v>156731</v>
      </c>
      <c r="K8" s="136"/>
      <c r="L8" s="145">
        <f t="shared" si="0"/>
        <v>207753.6</v>
      </c>
      <c r="M8" s="9"/>
      <c r="N8" s="124"/>
      <c r="O8" s="124">
        <v>40674.58</v>
      </c>
      <c r="P8" s="124"/>
      <c r="Q8" s="124"/>
      <c r="R8" s="124"/>
      <c r="S8" s="124"/>
      <c r="T8" s="124"/>
      <c r="U8" s="124"/>
      <c r="V8" s="124">
        <f>110627+91421.52+64726.4</f>
        <v>266774.92</v>
      </c>
      <c r="W8" s="124"/>
      <c r="X8" s="124"/>
      <c r="Y8" s="156"/>
      <c r="Z8" s="79"/>
      <c r="AA8" s="79"/>
      <c r="AB8" s="79" t="s">
        <v>84</v>
      </c>
      <c r="AC8" s="7"/>
      <c r="AD8" s="7">
        <v>51022.6</v>
      </c>
      <c r="AE8" s="7"/>
      <c r="AF8" s="7"/>
      <c r="AG8" s="7"/>
      <c r="AH8" s="7"/>
      <c r="AI8" s="7"/>
      <c r="AJ8" s="7">
        <v>40000</v>
      </c>
      <c r="AK8" s="7">
        <v>156731</v>
      </c>
      <c r="AL8" s="7"/>
      <c r="AM8" s="7"/>
      <c r="AN8" s="168"/>
      <c r="AO8" s="169">
        <f t="shared" si="1"/>
        <v>515203.1</v>
      </c>
      <c r="AP8" s="170">
        <f t="shared" si="2"/>
        <v>247753.6</v>
      </c>
      <c r="AQ8" s="172">
        <f t="shared" si="5"/>
        <v>267449.5</v>
      </c>
      <c r="AR8" s="173">
        <f t="shared" si="3"/>
        <v>267449.5</v>
      </c>
      <c r="AS8" s="177" t="s">
        <v>85</v>
      </c>
      <c r="AT8" s="178"/>
      <c r="AU8" s="204"/>
      <c r="AV8" s="179">
        <v>150000</v>
      </c>
      <c r="AW8" s="180">
        <f>VLOOKUP(D8,Sheet3!D:O,12,FALSE)</f>
        <v>188371</v>
      </c>
      <c r="AX8" s="180">
        <f t="shared" si="4"/>
        <v>79078.5</v>
      </c>
    </row>
    <row r="9" s="20" customFormat="1" ht="24" customHeight="1" spans="2:50">
      <c r="B9" s="42" t="s">
        <v>81</v>
      </c>
      <c r="C9" s="122" t="s">
        <v>92</v>
      </c>
      <c r="D9" s="43" t="s">
        <v>93</v>
      </c>
      <c r="E9" s="123">
        <v>0</v>
      </c>
      <c r="F9" s="135"/>
      <c r="G9" s="136"/>
      <c r="H9" s="136"/>
      <c r="I9" s="135"/>
      <c r="J9" s="136">
        <v>15959.36</v>
      </c>
      <c r="K9" s="136"/>
      <c r="L9" s="145">
        <f t="shared" si="0"/>
        <v>15959.36</v>
      </c>
      <c r="M9" s="9"/>
      <c r="N9" s="124"/>
      <c r="O9" s="124">
        <v>5243.2</v>
      </c>
      <c r="P9" s="124"/>
      <c r="Q9" s="124"/>
      <c r="R9" s="124"/>
      <c r="S9" s="124"/>
      <c r="T9" s="124"/>
      <c r="U9" s="124"/>
      <c r="V9" s="124"/>
      <c r="W9" s="124"/>
      <c r="X9" s="124"/>
      <c r="Y9" s="156"/>
      <c r="Z9" s="79"/>
      <c r="AA9" s="79"/>
      <c r="AB9" s="79" t="s">
        <v>84</v>
      </c>
      <c r="AC9" s="7"/>
      <c r="AD9" s="7"/>
      <c r="AE9" s="7"/>
      <c r="AF9" s="7"/>
      <c r="AG9" s="7"/>
      <c r="AH9" s="7"/>
      <c r="AI9" s="7"/>
      <c r="AJ9" s="7"/>
      <c r="AK9" s="7"/>
      <c r="AL9" s="7">
        <v>21202.56</v>
      </c>
      <c r="AM9" s="7"/>
      <c r="AN9" s="168"/>
      <c r="AO9" s="169">
        <f t="shared" si="1"/>
        <v>21202.56</v>
      </c>
      <c r="AP9" s="170">
        <f t="shared" si="2"/>
        <v>21202.56</v>
      </c>
      <c r="AQ9" s="172">
        <f t="shared" si="5"/>
        <v>0</v>
      </c>
      <c r="AR9" s="173">
        <f t="shared" si="3"/>
        <v>0</v>
      </c>
      <c r="AS9" s="177" t="s">
        <v>85</v>
      </c>
      <c r="AT9" s="178"/>
      <c r="AU9" s="204"/>
      <c r="AV9" s="179"/>
      <c r="AW9" s="180">
        <f>VLOOKUP(D9,Sheet3!D:O,12,FALSE)</f>
        <v>49503.04</v>
      </c>
      <c r="AX9" s="180">
        <f t="shared" si="4"/>
        <v>-49503.04</v>
      </c>
    </row>
    <row r="10" s="20" customFormat="1" ht="24" customHeight="1" spans="2:50">
      <c r="B10" s="42" t="s">
        <v>81</v>
      </c>
      <c r="C10" s="122" t="s">
        <v>94</v>
      </c>
      <c r="D10" s="43" t="s">
        <v>95</v>
      </c>
      <c r="E10" s="123">
        <v>0</v>
      </c>
      <c r="F10" s="135"/>
      <c r="G10" s="136"/>
      <c r="H10" s="136"/>
      <c r="I10" s="135"/>
      <c r="J10" s="136"/>
      <c r="K10" s="136"/>
      <c r="L10" s="145">
        <f t="shared" si="0"/>
        <v>0</v>
      </c>
      <c r="M10" s="9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56"/>
      <c r="Z10" s="79"/>
      <c r="AA10" s="79"/>
      <c r="AB10" s="79" t="s">
        <v>84</v>
      </c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168"/>
      <c r="AO10" s="169">
        <f t="shared" si="1"/>
        <v>0</v>
      </c>
      <c r="AP10" s="170">
        <f t="shared" si="2"/>
        <v>0</v>
      </c>
      <c r="AQ10" s="172">
        <f t="shared" si="5"/>
        <v>0</v>
      </c>
      <c r="AR10" s="173">
        <f t="shared" si="3"/>
        <v>0</v>
      </c>
      <c r="AS10" s="177" t="s">
        <v>96</v>
      </c>
      <c r="AT10" s="178"/>
      <c r="AU10" s="204"/>
      <c r="AV10" s="179"/>
      <c r="AW10" s="180">
        <f>VLOOKUP(D10,Sheet3!D:O,12,FALSE)</f>
        <v>0</v>
      </c>
      <c r="AX10" s="180">
        <f t="shared" si="4"/>
        <v>0</v>
      </c>
    </row>
    <row r="11" s="20" customFormat="1" ht="24" customHeight="1" spans="2:50">
      <c r="B11" s="42" t="s">
        <v>81</v>
      </c>
      <c r="C11" s="122" t="s">
        <v>97</v>
      </c>
      <c r="D11" s="43" t="s">
        <v>98</v>
      </c>
      <c r="E11" s="123">
        <v>0</v>
      </c>
      <c r="F11" s="135"/>
      <c r="G11" s="136"/>
      <c r="H11" s="136"/>
      <c r="I11" s="135">
        <v>39998.95</v>
      </c>
      <c r="J11" s="136"/>
      <c r="K11" s="136"/>
      <c r="L11" s="145">
        <f t="shared" si="0"/>
        <v>39998.95</v>
      </c>
      <c r="M11" s="9">
        <f>36433.22-8.68</f>
        <v>36424.54</v>
      </c>
      <c r="N11" s="124">
        <v>4881.6</v>
      </c>
      <c r="O11" s="124"/>
      <c r="P11" s="124">
        <v>16659.36</v>
      </c>
      <c r="Q11" s="124"/>
      <c r="R11" s="124"/>
      <c r="S11" s="124">
        <v>32325.68</v>
      </c>
      <c r="T11" s="124"/>
      <c r="U11" s="124">
        <v>4865.78</v>
      </c>
      <c r="V11" s="124">
        <v>16012.1</v>
      </c>
      <c r="W11" s="124"/>
      <c r="X11" s="124"/>
      <c r="Y11" s="156"/>
      <c r="Z11" s="79"/>
      <c r="AA11" s="79"/>
      <c r="AB11" s="79" t="s">
        <v>84</v>
      </c>
      <c r="AC11" s="7"/>
      <c r="AD11" s="7">
        <v>39998.95</v>
      </c>
      <c r="AE11" s="7"/>
      <c r="AF11" s="7"/>
      <c r="AG11" s="7"/>
      <c r="AH11" s="7"/>
      <c r="AI11" s="7"/>
      <c r="AJ11" s="7"/>
      <c r="AK11" s="7"/>
      <c r="AL11" s="7">
        <v>4881.6</v>
      </c>
      <c r="AM11" s="7">
        <v>80000</v>
      </c>
      <c r="AN11" s="168"/>
      <c r="AO11" s="169">
        <f t="shared" si="1"/>
        <v>151168.01</v>
      </c>
      <c r="AP11" s="170">
        <f t="shared" si="2"/>
        <v>124880.55</v>
      </c>
      <c r="AQ11" s="172">
        <f t="shared" si="5"/>
        <v>26287.46</v>
      </c>
      <c r="AR11" s="173">
        <f t="shared" si="3"/>
        <v>26287.46</v>
      </c>
      <c r="AS11" s="177" t="s">
        <v>85</v>
      </c>
      <c r="AT11" s="178"/>
      <c r="AU11" s="205">
        <v>10275.36</v>
      </c>
      <c r="AV11" s="179">
        <v>16012.1</v>
      </c>
      <c r="AW11" s="180">
        <f>VLOOKUP(D11,Sheet3!D:O,12,FALSE)</f>
        <v>4520</v>
      </c>
      <c r="AX11" s="180">
        <f t="shared" si="4"/>
        <v>21767.46</v>
      </c>
    </row>
    <row r="12" s="20" customFormat="1" ht="24" customHeight="1" spans="2:50">
      <c r="B12" s="42" t="s">
        <v>81</v>
      </c>
      <c r="C12" s="122" t="s">
        <v>99</v>
      </c>
      <c r="D12" s="43" t="s">
        <v>100</v>
      </c>
      <c r="E12" s="123">
        <v>0</v>
      </c>
      <c r="F12" s="135">
        <v>9322.5</v>
      </c>
      <c r="G12" s="136"/>
      <c r="H12" s="136"/>
      <c r="I12" s="135"/>
      <c r="J12" s="136"/>
      <c r="K12" s="136"/>
      <c r="L12" s="145">
        <f t="shared" si="0"/>
        <v>0</v>
      </c>
      <c r="M12" s="9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56"/>
      <c r="Z12" s="79"/>
      <c r="AA12" s="79"/>
      <c r="AB12" s="79" t="s">
        <v>84</v>
      </c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168"/>
      <c r="AO12" s="169">
        <f t="shared" si="1"/>
        <v>0</v>
      </c>
      <c r="AP12" s="170">
        <f t="shared" si="2"/>
        <v>0</v>
      </c>
      <c r="AQ12" s="172">
        <f t="shared" si="5"/>
        <v>0</v>
      </c>
      <c r="AR12" s="173">
        <f t="shared" si="3"/>
        <v>0</v>
      </c>
      <c r="AS12" s="177" t="s">
        <v>101</v>
      </c>
      <c r="AT12" s="178"/>
      <c r="AU12" s="204"/>
      <c r="AV12" s="179"/>
      <c r="AW12" s="180">
        <f>VLOOKUP(D12,Sheet3!D:O,12,FALSE)</f>
        <v>0</v>
      </c>
      <c r="AX12" s="180">
        <f t="shared" si="4"/>
        <v>0</v>
      </c>
    </row>
    <row r="13" s="20" customFormat="1" ht="24" customHeight="1" spans="2:50">
      <c r="B13" s="42" t="s">
        <v>81</v>
      </c>
      <c r="C13" s="122" t="s">
        <v>105</v>
      </c>
      <c r="D13" s="43" t="s">
        <v>106</v>
      </c>
      <c r="E13" s="123">
        <v>83003.9599999996</v>
      </c>
      <c r="F13" s="135">
        <v>127463.01</v>
      </c>
      <c r="G13" s="136"/>
      <c r="H13" s="136"/>
      <c r="I13" s="135">
        <v>72568.4</v>
      </c>
      <c r="J13" s="136">
        <v>101651.24</v>
      </c>
      <c r="K13" s="136"/>
      <c r="L13" s="145">
        <f t="shared" si="0"/>
        <v>257223.6</v>
      </c>
      <c r="M13" s="9">
        <f>81484.05+157016.28</f>
        <v>238500.33</v>
      </c>
      <c r="N13" s="124"/>
      <c r="O13" s="124">
        <v>44482.97</v>
      </c>
      <c r="P13" s="124">
        <v>105602.27</v>
      </c>
      <c r="Q13" s="124">
        <v>183228.64</v>
      </c>
      <c r="R13" s="124">
        <v>165595.12</v>
      </c>
      <c r="S13" s="124">
        <v>146213.94</v>
      </c>
      <c r="T13" s="124"/>
      <c r="U13" s="124">
        <v>83031.36</v>
      </c>
      <c r="V13" s="124">
        <v>135057.46</v>
      </c>
      <c r="W13" s="124"/>
      <c r="X13" s="124">
        <v>19960.32</v>
      </c>
      <c r="Y13" s="156"/>
      <c r="Z13" s="79"/>
      <c r="AA13" s="79"/>
      <c r="AB13" s="79" t="s">
        <v>84</v>
      </c>
      <c r="AC13" s="7"/>
      <c r="AD13" s="7">
        <v>60000</v>
      </c>
      <c r="AE13" s="7">
        <v>200000</v>
      </c>
      <c r="AF13" s="7"/>
      <c r="AG13" s="7"/>
      <c r="AH13" s="7">
        <v>200000</v>
      </c>
      <c r="AI13" s="7">
        <v>75000</v>
      </c>
      <c r="AJ13" s="7">
        <v>180000</v>
      </c>
      <c r="AK13" s="7">
        <v>150000</v>
      </c>
      <c r="AL13" s="7">
        <v>150000</v>
      </c>
      <c r="AM13" s="7">
        <v>125846.87</v>
      </c>
      <c r="AN13" s="168"/>
      <c r="AO13" s="169">
        <f t="shared" si="1"/>
        <v>1378896.01</v>
      </c>
      <c r="AP13" s="170">
        <f t="shared" si="2"/>
        <v>1140846.87</v>
      </c>
      <c r="AQ13" s="172">
        <f t="shared" si="5"/>
        <v>238049.14</v>
      </c>
      <c r="AR13" s="173">
        <f t="shared" si="3"/>
        <v>218088.82</v>
      </c>
      <c r="AS13" s="177" t="s">
        <v>85</v>
      </c>
      <c r="AT13" s="178"/>
      <c r="AU13" s="205">
        <v>83031.36</v>
      </c>
      <c r="AV13" s="179">
        <v>135057.46</v>
      </c>
      <c r="AW13" s="180">
        <f>VLOOKUP(D13,Sheet3!D:O,12,FALSE)</f>
        <v>310820.26</v>
      </c>
      <c r="AX13" s="180">
        <f t="shared" si="4"/>
        <v>-72771.1200000003</v>
      </c>
    </row>
    <row r="14" s="20" customFormat="1" ht="24" customHeight="1" spans="2:50">
      <c r="B14" s="42" t="s">
        <v>81</v>
      </c>
      <c r="C14" s="122" t="s">
        <v>107</v>
      </c>
      <c r="D14" s="43" t="s">
        <v>108</v>
      </c>
      <c r="E14" s="123">
        <v>0</v>
      </c>
      <c r="F14" s="135">
        <v>274834.08</v>
      </c>
      <c r="G14" s="136"/>
      <c r="H14" s="136"/>
      <c r="I14" s="135"/>
      <c r="J14" s="136">
        <v>275114</v>
      </c>
      <c r="K14" s="136">
        <v>384487.79</v>
      </c>
      <c r="L14" s="145">
        <f t="shared" si="0"/>
        <v>659601.79</v>
      </c>
      <c r="M14" s="9">
        <v>274834.08</v>
      </c>
      <c r="N14" s="124">
        <v>219867.26</v>
      </c>
      <c r="O14" s="124"/>
      <c r="P14" s="124">
        <v>219867.26</v>
      </c>
      <c r="Q14" s="124">
        <v>549668.16</v>
      </c>
      <c r="R14" s="124">
        <v>404006.1</v>
      </c>
      <c r="S14" s="124">
        <v>329800.9</v>
      </c>
      <c r="T14" s="124">
        <v>54966.82</v>
      </c>
      <c r="U14" s="124">
        <v>54966.82</v>
      </c>
      <c r="V14" s="124">
        <v>219867.26</v>
      </c>
      <c r="W14" s="124">
        <v>54966.82</v>
      </c>
      <c r="X14" s="124">
        <v>164900.45</v>
      </c>
      <c r="Y14" s="156"/>
      <c r="Z14" s="79"/>
      <c r="AA14" s="79"/>
      <c r="AB14" s="79" t="s">
        <v>84</v>
      </c>
      <c r="AC14" s="7"/>
      <c r="AD14" s="7">
        <v>200000</v>
      </c>
      <c r="AE14" s="7">
        <v>459601.79</v>
      </c>
      <c r="AF14" s="7">
        <v>274834.08</v>
      </c>
      <c r="AG14" s="7">
        <v>219867.26</v>
      </c>
      <c r="AH14" s="7"/>
      <c r="AI14" s="7">
        <v>219867.26</v>
      </c>
      <c r="AJ14" s="7">
        <v>549668.16</v>
      </c>
      <c r="AK14" s="7">
        <v>458972.92</v>
      </c>
      <c r="AL14" s="7">
        <v>274834.08</v>
      </c>
      <c r="AM14" s="7">
        <v>54966.82</v>
      </c>
      <c r="AN14" s="168">
        <v>164900.44</v>
      </c>
      <c r="AO14" s="169">
        <f t="shared" si="1"/>
        <v>3207313.72</v>
      </c>
      <c r="AP14" s="170">
        <f t="shared" si="2"/>
        <v>2877512.81</v>
      </c>
      <c r="AQ14" s="172">
        <f t="shared" si="5"/>
        <v>329800.91</v>
      </c>
      <c r="AR14" s="173">
        <f t="shared" si="3"/>
        <v>109933.64</v>
      </c>
      <c r="AS14" s="177" t="s">
        <v>85</v>
      </c>
      <c r="AT14" s="178"/>
      <c r="AU14" s="205">
        <v>54966.82</v>
      </c>
      <c r="AV14" s="179">
        <v>219867.26</v>
      </c>
      <c r="AW14" s="180">
        <f>VLOOKUP(D14,Sheet3!D:O,12,FALSE)</f>
        <v>494786.71</v>
      </c>
      <c r="AX14" s="180">
        <f t="shared" si="4"/>
        <v>-164985.8</v>
      </c>
    </row>
    <row r="15" s="20" customFormat="1" ht="24" customHeight="1" spans="2:50">
      <c r="B15" s="42" t="s">
        <v>81</v>
      </c>
      <c r="C15" s="122" t="s">
        <v>109</v>
      </c>
      <c r="D15" s="43" t="s">
        <v>204</v>
      </c>
      <c r="E15" s="123">
        <v>24.7300000000541</v>
      </c>
      <c r="F15" s="135">
        <v>46967.34</v>
      </c>
      <c r="G15" s="136">
        <v>15405.75</v>
      </c>
      <c r="H15" s="136">
        <v>10937.5</v>
      </c>
      <c r="I15" s="135"/>
      <c r="J15" s="136"/>
      <c r="K15" s="136">
        <v>16455.51</v>
      </c>
      <c r="L15" s="145">
        <f t="shared" si="0"/>
        <v>16480.2400000001</v>
      </c>
      <c r="M15" s="9"/>
      <c r="N15" s="124">
        <f>7685.81-0.99</f>
        <v>7684.82</v>
      </c>
      <c r="O15" s="124">
        <f>16159+17289</f>
        <v>33448</v>
      </c>
      <c r="P15" s="124">
        <v>13901.26</v>
      </c>
      <c r="Q15" s="124">
        <f>11300+13749.84</f>
        <v>25049.84</v>
      </c>
      <c r="R15" s="124">
        <v>33765.53</v>
      </c>
      <c r="S15" s="124"/>
      <c r="T15" s="124">
        <v>22780.8</v>
      </c>
      <c r="U15" s="124"/>
      <c r="V15" s="124">
        <v>6597.88</v>
      </c>
      <c r="W15" s="124">
        <v>37.97</v>
      </c>
      <c r="X15" s="124"/>
      <c r="Y15" s="156"/>
      <c r="Z15" s="79"/>
      <c r="AA15" s="79"/>
      <c r="AB15" s="79" t="s">
        <v>84</v>
      </c>
      <c r="AC15" s="7"/>
      <c r="AD15" s="7">
        <v>16455.51</v>
      </c>
      <c r="AE15" s="7">
        <v>7684.82</v>
      </c>
      <c r="AF15" s="7">
        <v>33448</v>
      </c>
      <c r="AG15" s="7">
        <v>25201.26</v>
      </c>
      <c r="AH15" s="7">
        <v>13749.84</v>
      </c>
      <c r="AI15" s="7">
        <v>33765.53</v>
      </c>
      <c r="AJ15" s="7"/>
      <c r="AK15" s="7">
        <v>22780.8</v>
      </c>
      <c r="AL15" s="7">
        <v>6597.88</v>
      </c>
      <c r="AM15" s="7"/>
      <c r="AN15" s="168"/>
      <c r="AO15" s="169">
        <f t="shared" si="1"/>
        <v>159746.34</v>
      </c>
      <c r="AP15" s="170">
        <f t="shared" si="2"/>
        <v>159683.64</v>
      </c>
      <c r="AQ15" s="172">
        <f t="shared" si="5"/>
        <v>62.7000000000698</v>
      </c>
      <c r="AR15" s="173">
        <f t="shared" si="3"/>
        <v>24.7300000000699</v>
      </c>
      <c r="AS15" s="177" t="s">
        <v>111</v>
      </c>
      <c r="AT15" s="178"/>
      <c r="AU15" s="204"/>
      <c r="AV15" s="179"/>
      <c r="AW15" s="180">
        <f>VLOOKUP(D15,Sheet3!D:O,12,FALSE)</f>
        <v>62.7</v>
      </c>
      <c r="AX15" s="180">
        <f t="shared" si="4"/>
        <v>6.98463509252178e-11</v>
      </c>
    </row>
    <row r="16" s="20" customFormat="1" ht="24" customHeight="1" spans="2:50">
      <c r="B16" s="42" t="s">
        <v>81</v>
      </c>
      <c r="C16" s="122" t="s">
        <v>112</v>
      </c>
      <c r="D16" s="43" t="s">
        <v>113</v>
      </c>
      <c r="E16" s="123">
        <v>379687.2</v>
      </c>
      <c r="F16" s="135">
        <v>173327.19</v>
      </c>
      <c r="G16" s="136"/>
      <c r="H16" s="136"/>
      <c r="I16" s="135"/>
      <c r="J16" s="136">
        <f>44175.26+85444.78</f>
        <v>129620.04</v>
      </c>
      <c r="K16" s="136">
        <v>108012.24</v>
      </c>
      <c r="L16" s="145">
        <f t="shared" si="0"/>
        <v>617319.48</v>
      </c>
      <c r="M16" s="9">
        <v>41693.56</v>
      </c>
      <c r="N16" s="124">
        <v>29584.08</v>
      </c>
      <c r="O16" s="124"/>
      <c r="P16" s="124">
        <v>68983.39</v>
      </c>
      <c r="Q16" s="124">
        <f>93334.56</f>
        <v>93334.56</v>
      </c>
      <c r="R16" s="124">
        <f>95831.35+42720.16</f>
        <v>138551.51</v>
      </c>
      <c r="S16" s="124">
        <v>90801.54</v>
      </c>
      <c r="T16" s="124">
        <v>20924.89</v>
      </c>
      <c r="U16" s="124"/>
      <c r="V16" s="124">
        <v>64055.69</v>
      </c>
      <c r="W16" s="124">
        <v>21990.53</v>
      </c>
      <c r="X16" s="124">
        <v>64802.17</v>
      </c>
      <c r="Y16" s="156"/>
      <c r="Z16" s="79"/>
      <c r="AA16" s="79"/>
      <c r="AB16" s="79" t="s">
        <v>84</v>
      </c>
      <c r="AC16" s="7"/>
      <c r="AD16" s="7">
        <v>300000</v>
      </c>
      <c r="AE16" s="7"/>
      <c r="AF16" s="7"/>
      <c r="AG16" s="7"/>
      <c r="AH16" s="7">
        <v>150000</v>
      </c>
      <c r="AI16" s="7"/>
      <c r="AJ16" s="7"/>
      <c r="AK16" s="7">
        <v>200000</v>
      </c>
      <c r="AL16" s="7">
        <v>200000</v>
      </c>
      <c r="AM16" s="7"/>
      <c r="AN16" s="168"/>
      <c r="AO16" s="169">
        <f t="shared" si="1"/>
        <v>1252041.4</v>
      </c>
      <c r="AP16" s="170">
        <f t="shared" si="2"/>
        <v>850000</v>
      </c>
      <c r="AQ16" s="172">
        <f t="shared" si="5"/>
        <v>402041.4</v>
      </c>
      <c r="AR16" s="173">
        <f t="shared" si="3"/>
        <v>315248.7</v>
      </c>
      <c r="AS16" s="177" t="s">
        <v>85</v>
      </c>
      <c r="AT16" s="178"/>
      <c r="AU16" s="205">
        <v>150000</v>
      </c>
      <c r="AV16" s="179">
        <v>100000</v>
      </c>
      <c r="AW16" s="180">
        <f>VLOOKUP(D16,Sheet3!D:O,12,FALSE)</f>
        <v>205279.13</v>
      </c>
      <c r="AX16" s="180">
        <f t="shared" si="4"/>
        <v>196762.27</v>
      </c>
    </row>
    <row r="17" s="20" customFormat="1" ht="24" customHeight="1" spans="2:50">
      <c r="B17" s="42" t="s">
        <v>81</v>
      </c>
      <c r="C17" s="122" t="s">
        <v>114</v>
      </c>
      <c r="D17" s="43" t="s">
        <v>115</v>
      </c>
      <c r="E17" s="123">
        <v>268.440000000061</v>
      </c>
      <c r="F17" s="135"/>
      <c r="G17" s="136"/>
      <c r="H17" s="136"/>
      <c r="I17" s="135">
        <v>290622.44</v>
      </c>
      <c r="J17" s="136"/>
      <c r="K17" s="136"/>
      <c r="L17" s="145">
        <f t="shared" si="0"/>
        <v>290890.88</v>
      </c>
      <c r="M17" s="9">
        <v>306840.2</v>
      </c>
      <c r="N17" s="124"/>
      <c r="O17" s="124"/>
      <c r="P17" s="124">
        <v>70814.84</v>
      </c>
      <c r="Q17" s="124">
        <v>109158</v>
      </c>
      <c r="R17" s="124">
        <v>102111.32</v>
      </c>
      <c r="S17" s="124">
        <v>109560.28</v>
      </c>
      <c r="T17" s="124"/>
      <c r="U17" s="124"/>
      <c r="V17" s="124"/>
      <c r="W17" s="124">
        <f>18193+8176.68+48219.36+77671.68</f>
        <v>152260.72</v>
      </c>
      <c r="X17" s="124"/>
      <c r="Y17" s="156"/>
      <c r="Z17" s="79"/>
      <c r="AA17" s="79"/>
      <c r="AB17" s="79" t="s">
        <v>84</v>
      </c>
      <c r="AC17" s="7"/>
      <c r="AD17" s="7">
        <v>100000</v>
      </c>
      <c r="AE17" s="7">
        <v>297731.38</v>
      </c>
      <c r="AF17" s="7"/>
      <c r="AG17" s="7">
        <v>199999.7</v>
      </c>
      <c r="AH17" s="7"/>
      <c r="AI17" s="7"/>
      <c r="AJ17" s="7">
        <v>109158</v>
      </c>
      <c r="AK17" s="7"/>
      <c r="AL17" s="7"/>
      <c r="AM17" s="7">
        <v>70814.84</v>
      </c>
      <c r="AN17" s="168"/>
      <c r="AO17" s="169">
        <f t="shared" si="1"/>
        <v>1141636.24</v>
      </c>
      <c r="AP17" s="170">
        <f t="shared" si="2"/>
        <v>777703.92</v>
      </c>
      <c r="AQ17" s="172">
        <f t="shared" si="5"/>
        <v>363932.32</v>
      </c>
      <c r="AR17" s="173">
        <f t="shared" si="3"/>
        <v>211671.6</v>
      </c>
      <c r="AS17" s="177" t="s">
        <v>85</v>
      </c>
      <c r="AT17" s="178"/>
      <c r="AU17" s="205">
        <v>100000</v>
      </c>
      <c r="AV17" s="179">
        <v>150000</v>
      </c>
      <c r="AW17" s="180">
        <f>VLOOKUP(D17,Sheet3!D:O,12,FALSE)</f>
        <v>193535.11</v>
      </c>
      <c r="AX17" s="180">
        <f t="shared" si="4"/>
        <v>170397.21</v>
      </c>
    </row>
    <row r="18" s="20" customFormat="1" ht="24" customHeight="1" spans="2:50">
      <c r="B18" s="42" t="s">
        <v>81</v>
      </c>
      <c r="C18" s="122" t="s">
        <v>116</v>
      </c>
      <c r="D18" s="43" t="s">
        <v>205</v>
      </c>
      <c r="E18" s="123">
        <v>36671.4</v>
      </c>
      <c r="F18" s="135"/>
      <c r="G18" s="136">
        <v>28601.2</v>
      </c>
      <c r="H18" s="136"/>
      <c r="I18" s="135"/>
      <c r="J18" s="136"/>
      <c r="K18" s="136"/>
      <c r="L18" s="145">
        <f t="shared" si="0"/>
        <v>36671.4</v>
      </c>
      <c r="M18" s="9">
        <v>19717.03</v>
      </c>
      <c r="N18" s="124"/>
      <c r="O18" s="124"/>
      <c r="P18" s="124">
        <v>25264.02</v>
      </c>
      <c r="Q18" s="124">
        <v>32724.8</v>
      </c>
      <c r="R18" s="124"/>
      <c r="S18" s="124">
        <v>31278.4</v>
      </c>
      <c r="T18" s="124"/>
      <c r="U18" s="124">
        <v>9119.1</v>
      </c>
      <c r="V18" s="124">
        <v>8203.8</v>
      </c>
      <c r="W18" s="124">
        <v>6883.96</v>
      </c>
      <c r="X18" s="124"/>
      <c r="Y18" s="156"/>
      <c r="Z18" s="79"/>
      <c r="AA18" s="79"/>
      <c r="AB18" s="79" t="s">
        <v>84</v>
      </c>
      <c r="AC18" s="7"/>
      <c r="AD18" s="7">
        <f>20000+8070.2</f>
        <v>28070.2</v>
      </c>
      <c r="AE18" s="7"/>
      <c r="AF18" s="7"/>
      <c r="AG18" s="7"/>
      <c r="AH18" s="7"/>
      <c r="AI18" s="7"/>
      <c r="AJ18" s="7">
        <v>61043.03</v>
      </c>
      <c r="AK18" s="7"/>
      <c r="AL18" s="7">
        <v>31278.4</v>
      </c>
      <c r="AM18" s="7">
        <v>25264.02</v>
      </c>
      <c r="AN18" s="168"/>
      <c r="AO18" s="169">
        <f t="shared" si="1"/>
        <v>169862.51</v>
      </c>
      <c r="AP18" s="170">
        <f t="shared" si="2"/>
        <v>145655.65</v>
      </c>
      <c r="AQ18" s="172">
        <f t="shared" si="5"/>
        <v>24206.86</v>
      </c>
      <c r="AR18" s="173">
        <f t="shared" si="3"/>
        <v>17322.9</v>
      </c>
      <c r="AS18" s="177" t="s">
        <v>85</v>
      </c>
      <c r="AT18" s="178"/>
      <c r="AU18" s="205">
        <v>9119.1</v>
      </c>
      <c r="AV18" s="179">
        <v>8203.8</v>
      </c>
      <c r="AW18" s="180">
        <f>VLOOKUP(D18,Sheet3!D:O,12,FALSE)</f>
        <v>0</v>
      </c>
      <c r="AX18" s="180">
        <f t="shared" si="4"/>
        <v>24206.86</v>
      </c>
    </row>
    <row r="19" s="20" customFormat="1" ht="24" customHeight="1" spans="2:50">
      <c r="B19" s="42" t="s">
        <v>81</v>
      </c>
      <c r="C19" s="122" t="s">
        <v>118</v>
      </c>
      <c r="D19" s="43" t="s">
        <v>119</v>
      </c>
      <c r="E19" s="123">
        <v>283331</v>
      </c>
      <c r="F19" s="135"/>
      <c r="G19" s="136"/>
      <c r="H19" s="136"/>
      <c r="I19" s="135"/>
      <c r="J19" s="136"/>
      <c r="K19" s="136"/>
      <c r="L19" s="145">
        <f t="shared" si="0"/>
        <v>283331</v>
      </c>
      <c r="M19" s="9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56"/>
      <c r="Z19" s="79"/>
      <c r="AA19" s="79"/>
      <c r="AB19" s="79" t="s">
        <v>84</v>
      </c>
      <c r="AC19" s="7"/>
      <c r="AD19" s="7">
        <v>100000</v>
      </c>
      <c r="AE19" s="7">
        <v>100000</v>
      </c>
      <c r="AF19" s="7"/>
      <c r="AG19" s="7"/>
      <c r="AH19" s="7"/>
      <c r="AI19" s="7"/>
      <c r="AJ19" s="7">
        <v>83331</v>
      </c>
      <c r="AK19" s="7"/>
      <c r="AL19" s="7"/>
      <c r="AM19" s="7"/>
      <c r="AN19" s="168"/>
      <c r="AO19" s="169">
        <f t="shared" si="1"/>
        <v>283331</v>
      </c>
      <c r="AP19" s="170">
        <f t="shared" si="2"/>
        <v>283331</v>
      </c>
      <c r="AQ19" s="172">
        <f t="shared" si="5"/>
        <v>0</v>
      </c>
      <c r="AR19" s="173">
        <f t="shared" si="3"/>
        <v>0</v>
      </c>
      <c r="AS19" s="177" t="s">
        <v>85</v>
      </c>
      <c r="AT19" s="178"/>
      <c r="AU19" s="204"/>
      <c r="AV19" s="179"/>
      <c r="AW19" s="180">
        <f>VLOOKUP(D19,Sheet3!D:O,12,FALSE)</f>
        <v>0</v>
      </c>
      <c r="AX19" s="180">
        <f t="shared" si="4"/>
        <v>0</v>
      </c>
    </row>
    <row r="20" s="20" customFormat="1" ht="24" customHeight="1" spans="2:50">
      <c r="B20" s="48" t="s">
        <v>81</v>
      </c>
      <c r="C20" s="122" t="s">
        <v>120</v>
      </c>
      <c r="D20" s="43" t="s">
        <v>121</v>
      </c>
      <c r="E20" s="123">
        <v>0</v>
      </c>
      <c r="F20" s="135"/>
      <c r="G20" s="136"/>
      <c r="H20" s="136"/>
      <c r="I20" s="135"/>
      <c r="J20" s="136"/>
      <c r="K20" s="136"/>
      <c r="L20" s="145">
        <f t="shared" si="0"/>
        <v>0</v>
      </c>
      <c r="M20" s="9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56"/>
      <c r="Z20" s="79"/>
      <c r="AA20" s="79"/>
      <c r="AB20" s="79" t="s">
        <v>84</v>
      </c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168"/>
      <c r="AO20" s="169">
        <f t="shared" si="1"/>
        <v>0</v>
      </c>
      <c r="AP20" s="170">
        <f t="shared" si="2"/>
        <v>0</v>
      </c>
      <c r="AQ20" s="172">
        <f t="shared" si="5"/>
        <v>0</v>
      </c>
      <c r="AR20" s="173">
        <f t="shared" si="3"/>
        <v>0</v>
      </c>
      <c r="AS20" s="177" t="s">
        <v>85</v>
      </c>
      <c r="AT20" s="178"/>
      <c r="AU20" s="204"/>
      <c r="AV20" s="179"/>
      <c r="AW20" s="180">
        <f>VLOOKUP(D20,Sheet3!D:O,12,FALSE)</f>
        <v>0</v>
      </c>
      <c r="AX20" s="180">
        <f t="shared" si="4"/>
        <v>0</v>
      </c>
    </row>
    <row r="21" s="20" customFormat="1" ht="24" customHeight="1" spans="2:50">
      <c r="B21" s="48" t="s">
        <v>81</v>
      </c>
      <c r="C21" s="122" t="s">
        <v>122</v>
      </c>
      <c r="D21" s="43" t="s">
        <v>123</v>
      </c>
      <c r="E21" s="123">
        <v>568253.28</v>
      </c>
      <c r="F21" s="135">
        <v>568253.28</v>
      </c>
      <c r="G21" s="136"/>
      <c r="H21" s="136"/>
      <c r="I21" s="135"/>
      <c r="J21" s="136">
        <v>285575.32</v>
      </c>
      <c r="K21" s="136">
        <v>401604.1</v>
      </c>
      <c r="L21" s="145">
        <f t="shared" si="0"/>
        <v>1255432.7</v>
      </c>
      <c r="M21" s="9">
        <v>199090.48</v>
      </c>
      <c r="N21" s="124">
        <v>169506.78</v>
      </c>
      <c r="O21" s="124"/>
      <c r="P21" s="124">
        <v>422660.9</v>
      </c>
      <c r="Q21" s="124">
        <v>819237.83</v>
      </c>
      <c r="R21" s="124">
        <v>486674.09</v>
      </c>
      <c r="S21" s="124">
        <f>108777.24+108777.24+72151.07</f>
        <v>289705.55</v>
      </c>
      <c r="T21" s="124">
        <f>41724.12+92223.82</f>
        <v>133947.94</v>
      </c>
      <c r="U21" s="124">
        <f>91620.4+61839.2+110446.2</f>
        <v>263905.8</v>
      </c>
      <c r="V21" s="124">
        <f>61285.37+108657.35</f>
        <v>169942.72</v>
      </c>
      <c r="W21" s="124">
        <f>110446.2+11854.56+3850</f>
        <v>126150.76</v>
      </c>
      <c r="X21" s="124">
        <f>1484.5+110411.49+112900.56</f>
        <v>224796.55</v>
      </c>
      <c r="Y21" s="156"/>
      <c r="Z21" s="79"/>
      <c r="AA21" s="79"/>
      <c r="AB21" s="79" t="s">
        <v>84</v>
      </c>
      <c r="AC21" s="7"/>
      <c r="AD21" s="7">
        <v>400000</v>
      </c>
      <c r="AE21" s="7">
        <v>453828.6</v>
      </c>
      <c r="AF21" s="7">
        <v>401604.1</v>
      </c>
      <c r="AG21" s="7">
        <v>368597.26</v>
      </c>
      <c r="AH21" s="7">
        <v>401604.1</v>
      </c>
      <c r="AI21" s="7"/>
      <c r="AJ21" s="7">
        <v>500000</v>
      </c>
      <c r="AK21" s="7">
        <v>741898.73</v>
      </c>
      <c r="AL21" s="7">
        <v>374775.54</v>
      </c>
      <c r="AM21" s="7">
        <v>303890.66</v>
      </c>
      <c r="AN21" s="168"/>
      <c r="AO21" s="169">
        <f t="shared" si="1"/>
        <v>4561052.1</v>
      </c>
      <c r="AP21" s="170">
        <f t="shared" si="2"/>
        <v>3946198.99</v>
      </c>
      <c r="AQ21" s="172">
        <f t="shared" si="5"/>
        <v>614853.109999999</v>
      </c>
      <c r="AR21" s="173">
        <f t="shared" si="3"/>
        <v>263905.799999999</v>
      </c>
      <c r="AS21" s="177" t="s">
        <v>85</v>
      </c>
      <c r="AT21" s="178"/>
      <c r="AU21" s="205">
        <v>93963.08</v>
      </c>
      <c r="AV21" s="179">
        <v>169942.72</v>
      </c>
      <c r="AW21" s="180">
        <f>VLOOKUP(D21,Sheet3!D:O,12,FALSE)</f>
        <v>355657.92</v>
      </c>
      <c r="AX21" s="180">
        <f t="shared" si="4"/>
        <v>259195.189999999</v>
      </c>
    </row>
    <row r="22" s="20" customFormat="1" ht="24" customHeight="1" spans="2:50">
      <c r="B22" s="48" t="s">
        <v>81</v>
      </c>
      <c r="C22" s="122" t="s">
        <v>124</v>
      </c>
      <c r="D22" s="43" t="s">
        <v>125</v>
      </c>
      <c r="E22" s="123">
        <v>7726.19999999992</v>
      </c>
      <c r="F22" s="135">
        <v>38917.2</v>
      </c>
      <c r="G22" s="136"/>
      <c r="H22" s="136"/>
      <c r="I22" s="135">
        <v>22401.12</v>
      </c>
      <c r="J22" s="136">
        <v>37398.48</v>
      </c>
      <c r="K22" s="136">
        <v>36373.34</v>
      </c>
      <c r="L22" s="145">
        <f t="shared" si="0"/>
        <v>103899.14</v>
      </c>
      <c r="M22" s="9"/>
      <c r="N22" s="124"/>
      <c r="O22" s="124">
        <f>25248.72+13288.8</f>
        <v>38537.52</v>
      </c>
      <c r="P22" s="124"/>
      <c r="Q22" s="124"/>
      <c r="R22" s="124">
        <v>53060.28</v>
      </c>
      <c r="S22" s="124"/>
      <c r="T22" s="124">
        <v>19933.2</v>
      </c>
      <c r="U22" s="124"/>
      <c r="V22" s="124"/>
      <c r="W22" s="124"/>
      <c r="X22" s="124"/>
      <c r="Y22" s="156"/>
      <c r="Z22" s="79"/>
      <c r="AA22" s="79"/>
      <c r="AB22" s="79" t="s">
        <v>84</v>
      </c>
      <c r="AC22" s="7"/>
      <c r="AD22" s="7">
        <v>23000</v>
      </c>
      <c r="AE22" s="7"/>
      <c r="AF22" s="7"/>
      <c r="AG22" s="7"/>
      <c r="AH22" s="7"/>
      <c r="AI22" s="7"/>
      <c r="AJ22" s="7">
        <v>60938.64</v>
      </c>
      <c r="AK22" s="7"/>
      <c r="AL22" s="7">
        <v>56306.54</v>
      </c>
      <c r="AM22" s="7">
        <f>37398.48+37786.48</f>
        <v>75184.96</v>
      </c>
      <c r="AN22" s="168"/>
      <c r="AO22" s="169">
        <f t="shared" si="1"/>
        <v>215430.14</v>
      </c>
      <c r="AP22" s="170">
        <f t="shared" si="2"/>
        <v>215430.14</v>
      </c>
      <c r="AQ22" s="172">
        <f t="shared" si="5"/>
        <v>0</v>
      </c>
      <c r="AR22" s="173">
        <f t="shared" si="3"/>
        <v>0</v>
      </c>
      <c r="AS22" s="177" t="s">
        <v>85</v>
      </c>
      <c r="AT22" s="178"/>
      <c r="AU22" s="204"/>
      <c r="AV22" s="179"/>
      <c r="AW22" s="180">
        <f>VLOOKUP(D22,Sheet3!D:O,12,FALSE)</f>
        <v>43378.44</v>
      </c>
      <c r="AX22" s="180">
        <f t="shared" si="4"/>
        <v>-43378.44</v>
      </c>
    </row>
    <row r="23" s="20" customFormat="1" ht="24" customHeight="1" spans="2:50">
      <c r="B23" s="48" t="s">
        <v>81</v>
      </c>
      <c r="C23" s="122" t="s">
        <v>126</v>
      </c>
      <c r="D23" s="43" t="s">
        <v>127</v>
      </c>
      <c r="E23" s="123">
        <v>0</v>
      </c>
      <c r="F23" s="135">
        <v>5455.64</v>
      </c>
      <c r="G23" s="136"/>
      <c r="H23" s="136"/>
      <c r="I23" s="135"/>
      <c r="J23" s="136"/>
      <c r="K23" s="136"/>
      <c r="L23" s="145">
        <f t="shared" si="0"/>
        <v>0</v>
      </c>
      <c r="M23" s="9"/>
      <c r="N23" s="124"/>
      <c r="O23" s="124"/>
      <c r="P23" s="124"/>
      <c r="Q23" s="124">
        <v>5455.64</v>
      </c>
      <c r="R23" s="124"/>
      <c r="S23" s="124"/>
      <c r="T23" s="124"/>
      <c r="U23" s="124"/>
      <c r="V23" s="124"/>
      <c r="W23" s="124"/>
      <c r="X23" s="124"/>
      <c r="Y23" s="156"/>
      <c r="Z23" s="79"/>
      <c r="AA23" s="79"/>
      <c r="AB23" s="79" t="s">
        <v>84</v>
      </c>
      <c r="AC23" s="7"/>
      <c r="AD23" s="7"/>
      <c r="AE23" s="7"/>
      <c r="AF23" s="7">
        <v>5455.64</v>
      </c>
      <c r="AG23" s="7"/>
      <c r="AH23" s="7"/>
      <c r="AI23" s="7"/>
      <c r="AJ23" s="7"/>
      <c r="AK23" s="7"/>
      <c r="AL23" s="7"/>
      <c r="AM23" s="7"/>
      <c r="AN23" s="168"/>
      <c r="AO23" s="169">
        <f t="shared" si="1"/>
        <v>5455.64</v>
      </c>
      <c r="AP23" s="170">
        <f t="shared" si="2"/>
        <v>5455.64</v>
      </c>
      <c r="AQ23" s="172">
        <f t="shared" si="5"/>
        <v>0</v>
      </c>
      <c r="AR23" s="173">
        <f t="shared" si="3"/>
        <v>0</v>
      </c>
      <c r="AS23" s="177" t="s">
        <v>96</v>
      </c>
      <c r="AT23" s="178"/>
      <c r="AU23" s="204"/>
      <c r="AV23" s="179"/>
      <c r="AW23" s="180">
        <f>VLOOKUP(D23,Sheet3!D:O,12,FALSE)</f>
        <v>0</v>
      </c>
      <c r="AX23" s="180">
        <f t="shared" si="4"/>
        <v>0</v>
      </c>
    </row>
    <row r="24" s="20" customFormat="1" ht="24" customHeight="1" spans="2:50">
      <c r="B24" s="48" t="s">
        <v>81</v>
      </c>
      <c r="C24" s="122" t="s">
        <v>128</v>
      </c>
      <c r="D24" s="43" t="s">
        <v>129</v>
      </c>
      <c r="E24" s="123">
        <v>74904.3</v>
      </c>
      <c r="F24" s="135">
        <v>72360.68</v>
      </c>
      <c r="G24" s="136"/>
      <c r="H24" s="136"/>
      <c r="I24" s="135"/>
      <c r="J24" s="136"/>
      <c r="K24" s="146">
        <v>33212.24</v>
      </c>
      <c r="L24" s="145">
        <f t="shared" si="0"/>
        <v>108116.54</v>
      </c>
      <c r="M24" s="9"/>
      <c r="N24" s="124"/>
      <c r="O24" s="124"/>
      <c r="P24" s="124">
        <v>34952.03</v>
      </c>
      <c r="Q24" s="124">
        <v>60294.54</v>
      </c>
      <c r="R24" s="124">
        <v>42429.39</v>
      </c>
      <c r="S24" s="124">
        <v>43470.9</v>
      </c>
      <c r="T24" s="124"/>
      <c r="U24" s="124"/>
      <c r="V24" s="124">
        <v>47132.53</v>
      </c>
      <c r="W24" s="124">
        <v>1130</v>
      </c>
      <c r="X24" s="124">
        <v>10794.89</v>
      </c>
      <c r="Y24" s="156"/>
      <c r="Z24" s="79"/>
      <c r="AA24" s="79"/>
      <c r="AB24" s="79" t="s">
        <v>84</v>
      </c>
      <c r="AC24" s="7"/>
      <c r="AD24" s="7">
        <v>74904.3</v>
      </c>
      <c r="AE24" s="7"/>
      <c r="AF24" s="7"/>
      <c r="AG24" s="7">
        <v>34952.03</v>
      </c>
      <c r="AH24" s="7"/>
      <c r="AI24" s="7"/>
      <c r="AJ24" s="7">
        <v>60294.54</v>
      </c>
      <c r="AK24" s="7"/>
      <c r="AL24" s="7"/>
      <c r="AM24" s="7">
        <v>85900.29</v>
      </c>
      <c r="AN24" s="168"/>
      <c r="AO24" s="169">
        <f t="shared" si="1"/>
        <v>348320.82</v>
      </c>
      <c r="AP24" s="170">
        <f t="shared" si="2"/>
        <v>256051.16</v>
      </c>
      <c r="AQ24" s="172">
        <f t="shared" si="5"/>
        <v>92269.6600000001</v>
      </c>
      <c r="AR24" s="173">
        <f t="shared" si="3"/>
        <v>80344.7700000001</v>
      </c>
      <c r="AS24" s="177" t="s">
        <v>85</v>
      </c>
      <c r="AT24" s="178"/>
      <c r="AU24" s="205">
        <v>33212.24</v>
      </c>
      <c r="AV24" s="179"/>
      <c r="AW24" s="180">
        <f>VLOOKUP(D24,Sheet3!D:O,12,FALSE)</f>
        <v>112483.76</v>
      </c>
      <c r="AX24" s="180">
        <f t="shared" si="4"/>
        <v>-20214.0999999999</v>
      </c>
    </row>
    <row r="25" s="20" customFormat="1" ht="24" customHeight="1" spans="2:50">
      <c r="B25" s="48" t="s">
        <v>81</v>
      </c>
      <c r="C25" s="122" t="s">
        <v>130</v>
      </c>
      <c r="D25" s="43" t="s">
        <v>131</v>
      </c>
      <c r="E25" s="123">
        <v>-15576.8</v>
      </c>
      <c r="F25" s="135"/>
      <c r="G25" s="136"/>
      <c r="H25" s="136"/>
      <c r="I25" s="135">
        <v>2500</v>
      </c>
      <c r="J25" s="136">
        <v>1000</v>
      </c>
      <c r="K25" s="136"/>
      <c r="L25" s="145">
        <f t="shared" si="0"/>
        <v>-12076.8</v>
      </c>
      <c r="M25" s="9">
        <v>1000</v>
      </c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56"/>
      <c r="Z25" s="79"/>
      <c r="AA25" s="79"/>
      <c r="AB25" s="79" t="s">
        <v>84</v>
      </c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168"/>
      <c r="AO25" s="169">
        <f t="shared" si="1"/>
        <v>-11076.8</v>
      </c>
      <c r="AP25" s="170">
        <f t="shared" si="2"/>
        <v>0</v>
      </c>
      <c r="AQ25" s="172">
        <f t="shared" si="5"/>
        <v>-11076.8</v>
      </c>
      <c r="AR25" s="173">
        <v>0</v>
      </c>
      <c r="AS25" s="177" t="s">
        <v>85</v>
      </c>
      <c r="AT25" s="178"/>
      <c r="AU25" s="204"/>
      <c r="AV25" s="179"/>
      <c r="AW25" s="180">
        <f>VLOOKUP(D25,Sheet3!D:O,12,FALSE)</f>
        <v>2000</v>
      </c>
      <c r="AX25" s="180">
        <f t="shared" si="4"/>
        <v>-13076.8</v>
      </c>
    </row>
    <row r="26" s="20" customFormat="1" ht="24" customHeight="1" spans="2:50">
      <c r="B26" s="42" t="s">
        <v>81</v>
      </c>
      <c r="C26" s="122" t="s">
        <v>102</v>
      </c>
      <c r="D26" s="50" t="s">
        <v>103</v>
      </c>
      <c r="E26" s="123">
        <v>-818228.05</v>
      </c>
      <c r="F26" s="135"/>
      <c r="G26" s="136"/>
      <c r="H26" s="136"/>
      <c r="I26" s="135">
        <v>327734.09</v>
      </c>
      <c r="J26" s="136">
        <v>216787.22</v>
      </c>
      <c r="K26" s="136">
        <v>273706.82</v>
      </c>
      <c r="L26" s="145">
        <f t="shared" si="0"/>
        <v>0.0800000000745058</v>
      </c>
      <c r="M26" s="9">
        <v>56034.82</v>
      </c>
      <c r="N26" s="9">
        <v>51304.4</v>
      </c>
      <c r="O26" s="124">
        <v>63529.76</v>
      </c>
      <c r="P26" s="124">
        <v>243381.98</v>
      </c>
      <c r="Q26" s="124">
        <v>377470.62</v>
      </c>
      <c r="R26" s="124">
        <v>353804.17</v>
      </c>
      <c r="S26" s="124">
        <v>14195.88</v>
      </c>
      <c r="T26" s="124">
        <v>47482.76</v>
      </c>
      <c r="U26" s="124">
        <v>116108.04</v>
      </c>
      <c r="V26" s="124">
        <v>83727.08</v>
      </c>
      <c r="W26" s="124">
        <v>103488.12</v>
      </c>
      <c r="X26" s="124">
        <v>109247.88</v>
      </c>
      <c r="Y26" s="156"/>
      <c r="Z26" s="79"/>
      <c r="AA26" s="79"/>
      <c r="AB26" s="79" t="s">
        <v>84</v>
      </c>
      <c r="AC26" s="7"/>
      <c r="AD26" s="7">
        <v>56034.8</v>
      </c>
      <c r="AE26" s="7">
        <v>51304.4</v>
      </c>
      <c r="AF26" s="7">
        <v>63529.78</v>
      </c>
      <c r="AG26" s="7">
        <v>243382</v>
      </c>
      <c r="AH26" s="7">
        <v>377470.59</v>
      </c>
      <c r="AI26" s="7">
        <v>353804.19</v>
      </c>
      <c r="AJ26" s="7">
        <v>14195.87</v>
      </c>
      <c r="AK26" s="7">
        <v>47482.78</v>
      </c>
      <c r="AL26" s="7">
        <v>116108.04</v>
      </c>
      <c r="AM26" s="7">
        <v>83727.03</v>
      </c>
      <c r="AN26" s="168">
        <f>103488.11+109247.86</f>
        <v>212735.97</v>
      </c>
      <c r="AO26" s="169">
        <f t="shared" si="1"/>
        <v>1619775.59</v>
      </c>
      <c r="AP26" s="170">
        <f t="shared" si="2"/>
        <v>1619775.45</v>
      </c>
      <c r="AQ26" s="172">
        <f t="shared" si="5"/>
        <v>0.139999999664724</v>
      </c>
      <c r="AR26" s="173">
        <f t="shared" si="3"/>
        <v>-212735.86</v>
      </c>
      <c r="AS26" s="177" t="s">
        <v>104</v>
      </c>
      <c r="AT26" s="178"/>
      <c r="AU26" s="204"/>
      <c r="AV26" s="179"/>
      <c r="AW26" s="180">
        <f>VLOOKUP(D26,Sheet3!D:O,12,FALSE)</f>
        <v>79072.23</v>
      </c>
      <c r="AX26" s="180">
        <f t="shared" si="4"/>
        <v>-79072.0900000003</v>
      </c>
    </row>
    <row r="27" s="20" customFormat="1" ht="24" customHeight="1" spans="2:50">
      <c r="B27" s="48" t="s">
        <v>81</v>
      </c>
      <c r="C27" s="122" t="s">
        <v>132</v>
      </c>
      <c r="D27" s="50" t="s">
        <v>133</v>
      </c>
      <c r="E27" s="123">
        <v>341946.18</v>
      </c>
      <c r="F27" s="135">
        <v>160618.2</v>
      </c>
      <c r="G27" s="136"/>
      <c r="H27" s="136"/>
      <c r="I27" s="135"/>
      <c r="J27" s="136">
        <v>4283.15</v>
      </c>
      <c r="K27" s="136"/>
      <c r="L27" s="145">
        <f t="shared" si="0"/>
        <v>346229.33</v>
      </c>
      <c r="M27" s="9"/>
      <c r="N27" s="124"/>
      <c r="O27" s="124"/>
      <c r="P27" s="124"/>
      <c r="Q27" s="124">
        <v>256989.12</v>
      </c>
      <c r="R27" s="124">
        <v>224865.48</v>
      </c>
      <c r="S27" s="124"/>
      <c r="T27" s="124"/>
      <c r="U27" s="124">
        <v>578225.52</v>
      </c>
      <c r="V27" s="124"/>
      <c r="W27" s="124"/>
      <c r="X27" s="124"/>
      <c r="Y27" s="156"/>
      <c r="Z27" s="79"/>
      <c r="AA27" s="79"/>
      <c r="AB27" s="79" t="s">
        <v>84</v>
      </c>
      <c r="AC27" s="7"/>
      <c r="AD27" s="7">
        <v>535.4</v>
      </c>
      <c r="AE27" s="7"/>
      <c r="AF27" s="7"/>
      <c r="AG27" s="7">
        <v>3212.38</v>
      </c>
      <c r="AH27" s="7">
        <v>19809.58</v>
      </c>
      <c r="AI27" s="7">
        <v>146697.98</v>
      </c>
      <c r="AJ27" s="7">
        <v>4283.14</v>
      </c>
      <c r="AK27" s="7">
        <v>535.4</v>
      </c>
      <c r="AL27" s="7">
        <v>175073.84</v>
      </c>
      <c r="AM27" s="7">
        <f>133506.57+213622.22</f>
        <v>347128.79</v>
      </c>
      <c r="AN27" s="168">
        <f>150445.7+201843.54+608.13</f>
        <v>352897.37</v>
      </c>
      <c r="AO27" s="169">
        <f t="shared" si="1"/>
        <v>1406309.45</v>
      </c>
      <c r="AP27" s="170">
        <f t="shared" si="2"/>
        <v>1050173.88</v>
      </c>
      <c r="AQ27" s="172">
        <f t="shared" si="5"/>
        <v>356135.57</v>
      </c>
      <c r="AR27" s="173">
        <f t="shared" si="3"/>
        <v>356135.57</v>
      </c>
      <c r="AS27" s="177" t="s">
        <v>104</v>
      </c>
      <c r="AT27" s="178"/>
      <c r="AU27" s="204"/>
      <c r="AV27" s="179"/>
      <c r="AW27" s="180">
        <f>VLOOKUP(D27,Sheet3!D:O,12,FALSE)</f>
        <v>0</v>
      </c>
      <c r="AX27" s="180">
        <f t="shared" si="4"/>
        <v>356135.57</v>
      </c>
    </row>
    <row r="28" s="20" customFormat="1" ht="24" customHeight="1" spans="2:50">
      <c r="B28" s="48" t="s">
        <v>134</v>
      </c>
      <c r="C28" s="122">
        <v>1951024</v>
      </c>
      <c r="D28" s="43" t="s">
        <v>206</v>
      </c>
      <c r="E28" s="123">
        <v>0</v>
      </c>
      <c r="F28" s="135"/>
      <c r="G28" s="136"/>
      <c r="H28" s="136"/>
      <c r="I28" s="135"/>
      <c r="J28" s="136"/>
      <c r="K28" s="136"/>
      <c r="L28" s="145">
        <f t="shared" si="0"/>
        <v>0</v>
      </c>
      <c r="M28" s="9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56"/>
      <c r="Z28" s="79"/>
      <c r="AA28" s="79"/>
      <c r="AB28" s="79" t="s">
        <v>84</v>
      </c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168"/>
      <c r="AO28" s="169">
        <f t="shared" si="1"/>
        <v>0</v>
      </c>
      <c r="AP28" s="170">
        <f t="shared" si="2"/>
        <v>0</v>
      </c>
      <c r="AQ28" s="172">
        <f t="shared" si="5"/>
        <v>0</v>
      </c>
      <c r="AR28" s="173">
        <f t="shared" si="3"/>
        <v>0</v>
      </c>
      <c r="AS28" s="177" t="s">
        <v>111</v>
      </c>
      <c r="AT28" s="178"/>
      <c r="AU28" s="204"/>
      <c r="AV28" s="179"/>
      <c r="AW28" s="180">
        <f>VLOOKUP(D28,Sheet3!D:O,12,FALSE)</f>
        <v>0</v>
      </c>
      <c r="AX28" s="180">
        <f t="shared" si="4"/>
        <v>0</v>
      </c>
    </row>
    <row r="29" s="20" customFormat="1" ht="24" customHeight="1" spans="2:50">
      <c r="B29" s="48" t="s">
        <v>81</v>
      </c>
      <c r="C29" s="125" t="s">
        <v>136</v>
      </c>
      <c r="D29" s="126" t="s">
        <v>137</v>
      </c>
      <c r="E29" s="123">
        <v>44955.1399999999</v>
      </c>
      <c r="F29" s="135">
        <v>91703.4</v>
      </c>
      <c r="G29" s="136"/>
      <c r="H29" s="136"/>
      <c r="I29" s="135"/>
      <c r="J29" s="136"/>
      <c r="K29" s="136"/>
      <c r="L29" s="145">
        <f t="shared" si="0"/>
        <v>44955.1399999999</v>
      </c>
      <c r="M29" s="9"/>
      <c r="N29" s="124"/>
      <c r="O29" s="124"/>
      <c r="P29" s="124"/>
      <c r="Q29" s="124">
        <f>92579.77+96240.97</f>
        <v>188820.74</v>
      </c>
      <c r="R29" s="124">
        <v>48959.29</v>
      </c>
      <c r="S29" s="124"/>
      <c r="T29" s="124"/>
      <c r="U29" s="124">
        <f>90144.65+73031.61+49069.12</f>
        <v>212245.38</v>
      </c>
      <c r="V29" s="124">
        <v>58699</v>
      </c>
      <c r="W29" s="124">
        <v>28075.84</v>
      </c>
      <c r="X29" s="124">
        <v>29533.25</v>
      </c>
      <c r="Y29" s="158"/>
      <c r="Z29" s="85"/>
      <c r="AA29" s="85"/>
      <c r="AB29" s="79" t="s">
        <v>84</v>
      </c>
      <c r="AC29" s="159"/>
      <c r="AD29" s="159">
        <v>70000</v>
      </c>
      <c r="AE29" s="7"/>
      <c r="AF29" s="7"/>
      <c r="AG29" s="7"/>
      <c r="AH29" s="7"/>
      <c r="AI29" s="7"/>
      <c r="AJ29" s="7"/>
      <c r="AK29" s="7">
        <v>150000</v>
      </c>
      <c r="AL29" s="7">
        <v>121434.17</v>
      </c>
      <c r="AM29" s="7">
        <v>212245.38</v>
      </c>
      <c r="AN29" s="168"/>
      <c r="AO29" s="169">
        <f t="shared" si="1"/>
        <v>611288.64</v>
      </c>
      <c r="AP29" s="170">
        <f t="shared" si="2"/>
        <v>553679.55</v>
      </c>
      <c r="AQ29" s="172">
        <f t="shared" si="5"/>
        <v>57609.0899999997</v>
      </c>
      <c r="AR29" s="173">
        <f t="shared" si="3"/>
        <v>-2.65572452917695e-10</v>
      </c>
      <c r="AS29" s="181" t="s">
        <v>85</v>
      </c>
      <c r="AT29" s="182"/>
      <c r="AU29" s="204"/>
      <c r="AV29" s="179"/>
      <c r="AW29" s="180">
        <f>VLOOKUP(D29,Sheet3!D:O,12,FALSE)</f>
        <v>341680.9</v>
      </c>
      <c r="AX29" s="180">
        <f t="shared" si="4"/>
        <v>-284071.81</v>
      </c>
    </row>
    <row r="30" s="20" customFormat="1" ht="24" customHeight="1" spans="2:50">
      <c r="B30" s="48" t="s">
        <v>81</v>
      </c>
      <c r="C30" s="125" t="s">
        <v>138</v>
      </c>
      <c r="D30" s="126" t="s">
        <v>139</v>
      </c>
      <c r="E30" s="123">
        <v>0</v>
      </c>
      <c r="F30" s="135"/>
      <c r="G30" s="136"/>
      <c r="H30" s="147"/>
      <c r="I30" s="135"/>
      <c r="J30" s="136"/>
      <c r="K30" s="147"/>
      <c r="L30" s="145">
        <f t="shared" si="0"/>
        <v>0</v>
      </c>
      <c r="M30" s="9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58"/>
      <c r="Z30" s="85"/>
      <c r="AA30" s="85"/>
      <c r="AB30" s="79" t="s">
        <v>84</v>
      </c>
      <c r="AC30" s="159"/>
      <c r="AD30" s="159"/>
      <c r="AE30" s="7"/>
      <c r="AF30" s="7"/>
      <c r="AG30" s="7"/>
      <c r="AH30" s="7"/>
      <c r="AI30" s="7"/>
      <c r="AJ30" s="7"/>
      <c r="AK30" s="7"/>
      <c r="AL30" s="7"/>
      <c r="AM30" s="7"/>
      <c r="AN30" s="168"/>
      <c r="AO30" s="169">
        <f t="shared" si="1"/>
        <v>0</v>
      </c>
      <c r="AP30" s="170">
        <f t="shared" si="2"/>
        <v>0</v>
      </c>
      <c r="AQ30" s="172">
        <f t="shared" si="5"/>
        <v>0</v>
      </c>
      <c r="AR30" s="173">
        <f t="shared" si="3"/>
        <v>0</v>
      </c>
      <c r="AS30" s="181" t="s">
        <v>101</v>
      </c>
      <c r="AT30" s="182"/>
      <c r="AU30" s="204"/>
      <c r="AV30" s="179"/>
      <c r="AW30" s="180">
        <f>VLOOKUP(D30,Sheet3!D:O,12,FALSE)</f>
        <v>0</v>
      </c>
      <c r="AX30" s="180">
        <f t="shared" si="4"/>
        <v>0</v>
      </c>
    </row>
    <row r="31" s="20" customFormat="1" ht="24" customHeight="1" spans="2:50">
      <c r="B31" s="48" t="s">
        <v>81</v>
      </c>
      <c r="C31" s="125" t="s">
        <v>140</v>
      </c>
      <c r="D31" s="126" t="s">
        <v>141</v>
      </c>
      <c r="E31" s="123">
        <v>0</v>
      </c>
      <c r="F31" s="135"/>
      <c r="G31" s="136"/>
      <c r="H31" s="147"/>
      <c r="I31" s="135"/>
      <c r="J31" s="136"/>
      <c r="K31" s="147"/>
      <c r="L31" s="145">
        <f t="shared" si="0"/>
        <v>0</v>
      </c>
      <c r="M31" s="9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58"/>
      <c r="Z31" s="85"/>
      <c r="AA31" s="85"/>
      <c r="AB31" s="79" t="s">
        <v>84</v>
      </c>
      <c r="AC31" s="159"/>
      <c r="AD31" s="159"/>
      <c r="AE31" s="7"/>
      <c r="AF31" s="7"/>
      <c r="AG31" s="7"/>
      <c r="AH31" s="7"/>
      <c r="AI31" s="7"/>
      <c r="AJ31" s="7"/>
      <c r="AK31" s="7"/>
      <c r="AL31" s="7"/>
      <c r="AM31" s="7"/>
      <c r="AN31" s="168"/>
      <c r="AO31" s="169">
        <f t="shared" si="1"/>
        <v>0</v>
      </c>
      <c r="AP31" s="170">
        <f t="shared" si="2"/>
        <v>0</v>
      </c>
      <c r="AQ31" s="172">
        <f t="shared" si="5"/>
        <v>0</v>
      </c>
      <c r="AR31" s="173">
        <f t="shared" si="3"/>
        <v>0</v>
      </c>
      <c r="AS31" s="181" t="s">
        <v>101</v>
      </c>
      <c r="AT31" s="182"/>
      <c r="AU31" s="204"/>
      <c r="AV31" s="179"/>
      <c r="AW31" s="180">
        <f>VLOOKUP(D31,Sheet3!D:O,12,FALSE)</f>
        <v>0</v>
      </c>
      <c r="AX31" s="180">
        <f t="shared" si="4"/>
        <v>0</v>
      </c>
    </row>
    <row r="32" s="20" customFormat="1" ht="24" customHeight="1" spans="2:50">
      <c r="B32" s="48" t="s">
        <v>81</v>
      </c>
      <c r="C32" s="90" t="s">
        <v>177</v>
      </c>
      <c r="D32" s="126" t="s">
        <v>178</v>
      </c>
      <c r="E32" s="123">
        <v>0</v>
      </c>
      <c r="F32" s="135"/>
      <c r="G32" s="136"/>
      <c r="H32" s="147"/>
      <c r="I32" s="135"/>
      <c r="J32" s="136">
        <v>660</v>
      </c>
      <c r="K32" s="136"/>
      <c r="L32" s="145">
        <f t="shared" si="0"/>
        <v>660</v>
      </c>
      <c r="M32" s="9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58"/>
      <c r="Z32" s="85"/>
      <c r="AA32" s="85"/>
      <c r="AB32" s="79" t="s">
        <v>84</v>
      </c>
      <c r="AC32" s="159"/>
      <c r="AD32" s="159">
        <v>660</v>
      </c>
      <c r="AE32" s="159"/>
      <c r="AF32" s="159"/>
      <c r="AG32" s="159"/>
      <c r="AH32" s="159"/>
      <c r="AI32" s="159"/>
      <c r="AJ32" s="159"/>
      <c r="AK32" s="159"/>
      <c r="AL32" s="159"/>
      <c r="AM32" s="159"/>
      <c r="AN32" s="174"/>
      <c r="AO32" s="169">
        <f t="shared" si="1"/>
        <v>660</v>
      </c>
      <c r="AP32" s="170">
        <f t="shared" si="2"/>
        <v>660</v>
      </c>
      <c r="AQ32" s="172">
        <f t="shared" si="5"/>
        <v>0</v>
      </c>
      <c r="AR32" s="173">
        <f t="shared" si="3"/>
        <v>0</v>
      </c>
      <c r="AS32" s="181"/>
      <c r="AT32" s="182"/>
      <c r="AU32" s="204"/>
      <c r="AV32" s="179"/>
      <c r="AW32" s="180">
        <f>VLOOKUP(D32,Sheet3!D:O,12,FALSE)</f>
        <v>0</v>
      </c>
      <c r="AX32" s="180">
        <f t="shared" si="4"/>
        <v>0</v>
      </c>
    </row>
    <row r="33" s="20" customFormat="1" ht="24" customHeight="1" spans="2:50">
      <c r="B33" s="48" t="s">
        <v>81</v>
      </c>
      <c r="C33" s="90" t="s">
        <v>179</v>
      </c>
      <c r="D33" s="126" t="s">
        <v>180</v>
      </c>
      <c r="E33" s="123">
        <v>41584</v>
      </c>
      <c r="F33" s="135"/>
      <c r="G33" s="136"/>
      <c r="H33" s="147"/>
      <c r="I33" s="135"/>
      <c r="J33" s="136">
        <f>225367.2+371431</f>
        <v>596798.2</v>
      </c>
      <c r="K33" s="136">
        <v>80343</v>
      </c>
      <c r="L33" s="145">
        <f t="shared" si="0"/>
        <v>718725.2</v>
      </c>
      <c r="M33" s="9">
        <v>124752</v>
      </c>
      <c r="N33" s="124"/>
      <c r="O33" s="124">
        <v>107915</v>
      </c>
      <c r="P33" s="124">
        <f>107915+107915+19436</f>
        <v>235266</v>
      </c>
      <c r="Q33" s="124">
        <f>105768+107915</f>
        <v>213683</v>
      </c>
      <c r="R33" s="124"/>
      <c r="S33" s="124"/>
      <c r="T33" s="124">
        <v>64184</v>
      </c>
      <c r="U33" s="124"/>
      <c r="V33" s="124">
        <f>110740+98536</f>
        <v>209276</v>
      </c>
      <c r="W33" s="124"/>
      <c r="X33" s="124"/>
      <c r="Y33" s="158"/>
      <c r="Z33" s="85"/>
      <c r="AA33" s="85"/>
      <c r="AB33" s="79" t="s">
        <v>84</v>
      </c>
      <c r="AC33" s="159"/>
      <c r="AD33" s="159">
        <v>266951.2</v>
      </c>
      <c r="AE33" s="159">
        <v>124752</v>
      </c>
      <c r="AF33" s="159">
        <v>371431</v>
      </c>
      <c r="AG33" s="159">
        <v>80343</v>
      </c>
      <c r="AH33" s="159"/>
      <c r="AI33" s="159"/>
      <c r="AJ33" s="159">
        <v>321598</v>
      </c>
      <c r="AK33" s="159">
        <v>235266</v>
      </c>
      <c r="AL33" s="159">
        <v>64184</v>
      </c>
      <c r="AM33" s="159"/>
      <c r="AN33" s="174"/>
      <c r="AO33" s="169">
        <f t="shared" si="1"/>
        <v>1673801.2</v>
      </c>
      <c r="AP33" s="170">
        <f t="shared" si="2"/>
        <v>1464525.2</v>
      </c>
      <c r="AQ33" s="172">
        <f t="shared" si="5"/>
        <v>209276</v>
      </c>
      <c r="AR33" s="173">
        <f t="shared" si="3"/>
        <v>209276</v>
      </c>
      <c r="AS33" s="181" t="s">
        <v>85</v>
      </c>
      <c r="AT33" s="182"/>
      <c r="AU33" s="204"/>
      <c r="AV33" s="179">
        <v>209276</v>
      </c>
      <c r="AW33" s="180">
        <f>VLOOKUP(D33,Sheet3!D:O,12,FALSE)</f>
        <v>0</v>
      </c>
      <c r="AX33" s="180">
        <f t="shared" si="4"/>
        <v>209276</v>
      </c>
    </row>
    <row r="34" s="20" customFormat="1" ht="24" customHeight="1" spans="2:50">
      <c r="B34" s="48" t="s">
        <v>81</v>
      </c>
      <c r="C34" s="90" t="s">
        <v>181</v>
      </c>
      <c r="D34" s="126" t="s">
        <v>182</v>
      </c>
      <c r="E34" s="123">
        <v>-66613.69</v>
      </c>
      <c r="F34" s="135"/>
      <c r="G34" s="136"/>
      <c r="H34" s="147"/>
      <c r="I34" s="135"/>
      <c r="J34" s="136"/>
      <c r="K34" s="136"/>
      <c r="L34" s="145">
        <f t="shared" si="0"/>
        <v>-66613.69</v>
      </c>
      <c r="M34" s="9"/>
      <c r="N34" s="124"/>
      <c r="O34" s="124"/>
      <c r="P34" s="124"/>
      <c r="Q34" s="124"/>
      <c r="R34" s="124"/>
      <c r="S34" s="124"/>
      <c r="T34" s="124"/>
      <c r="U34" s="124">
        <v>43561.5</v>
      </c>
      <c r="V34" s="124"/>
      <c r="W34" s="124"/>
      <c r="X34" s="124"/>
      <c r="Y34" s="158"/>
      <c r="Z34" s="85"/>
      <c r="AA34" s="85"/>
      <c r="AB34" s="79" t="s">
        <v>84</v>
      </c>
      <c r="AC34" s="159">
        <v>3390</v>
      </c>
      <c r="AD34" s="159"/>
      <c r="AE34" s="159">
        <v>6610.5</v>
      </c>
      <c r="AF34" s="159">
        <f>5424+2881.5</f>
        <v>8305.5</v>
      </c>
      <c r="AG34" s="159">
        <v>9322.5</v>
      </c>
      <c r="AH34" s="159"/>
      <c r="AI34" s="159"/>
      <c r="AJ34" s="159">
        <v>4576.5</v>
      </c>
      <c r="AK34" s="159">
        <v>11356.5</v>
      </c>
      <c r="AL34" s="159"/>
      <c r="AM34" s="159"/>
      <c r="AN34" s="174"/>
      <c r="AO34" s="169">
        <f t="shared" si="1"/>
        <v>-23052.19</v>
      </c>
      <c r="AP34" s="170">
        <f t="shared" si="2"/>
        <v>43561.5</v>
      </c>
      <c r="AQ34" s="172">
        <f t="shared" si="5"/>
        <v>-66613.69</v>
      </c>
      <c r="AR34" s="173">
        <v>0</v>
      </c>
      <c r="AS34" s="183" t="s">
        <v>96</v>
      </c>
      <c r="AT34" s="182"/>
      <c r="AU34" s="204"/>
      <c r="AV34" s="179"/>
      <c r="AW34" s="180">
        <v>-94242.19</v>
      </c>
      <c r="AX34" s="180">
        <f t="shared" si="4"/>
        <v>27628.5</v>
      </c>
    </row>
    <row r="35" s="20" customFormat="1" ht="24" customHeight="1" spans="2:50">
      <c r="B35" s="48" t="s">
        <v>81</v>
      </c>
      <c r="C35" s="90" t="s">
        <v>184</v>
      </c>
      <c r="D35" s="126" t="s">
        <v>185</v>
      </c>
      <c r="E35" s="123">
        <v>0</v>
      </c>
      <c r="F35" s="135"/>
      <c r="G35" s="136"/>
      <c r="H35" s="147"/>
      <c r="I35" s="135"/>
      <c r="J35" s="136">
        <v>36869.64</v>
      </c>
      <c r="K35" s="136">
        <v>39302.3</v>
      </c>
      <c r="L35" s="145">
        <f t="shared" si="0"/>
        <v>76171.94</v>
      </c>
      <c r="M35" s="9"/>
      <c r="N35" s="124"/>
      <c r="O35" s="124">
        <v>44791.43</v>
      </c>
      <c r="P35" s="124"/>
      <c r="Q35" s="124">
        <v>53426.4</v>
      </c>
      <c r="R35" s="124">
        <v>15006.4</v>
      </c>
      <c r="S35" s="124">
        <v>11074</v>
      </c>
      <c r="T35" s="124"/>
      <c r="U35" s="124"/>
      <c r="V35" s="124"/>
      <c r="W35" s="124"/>
      <c r="X35" s="124"/>
      <c r="Y35" s="158"/>
      <c r="Z35" s="85"/>
      <c r="AA35" s="85"/>
      <c r="AB35" s="79" t="s">
        <v>84</v>
      </c>
      <c r="AC35" s="159"/>
      <c r="AD35" s="159">
        <v>36869.64</v>
      </c>
      <c r="AE35" s="159"/>
      <c r="AF35" s="159">
        <v>40000</v>
      </c>
      <c r="AG35" s="159"/>
      <c r="AH35" s="159"/>
      <c r="AI35" s="159"/>
      <c r="AJ35" s="159">
        <v>53426.4</v>
      </c>
      <c r="AK35" s="159">
        <v>44093.73</v>
      </c>
      <c r="AL35" s="159"/>
      <c r="AM35" s="159">
        <v>26080.4</v>
      </c>
      <c r="AN35" s="174"/>
      <c r="AO35" s="169">
        <f t="shared" si="1"/>
        <v>200470.17</v>
      </c>
      <c r="AP35" s="170">
        <f t="shared" si="2"/>
        <v>200470.17</v>
      </c>
      <c r="AQ35" s="172">
        <f t="shared" si="5"/>
        <v>0</v>
      </c>
      <c r="AR35" s="173">
        <f t="shared" si="3"/>
        <v>0</v>
      </c>
      <c r="AS35" s="181"/>
      <c r="AT35" s="182"/>
      <c r="AU35" s="204"/>
      <c r="AV35" s="179"/>
      <c r="AW35" s="180">
        <f>VLOOKUP(D35,Sheet3!D:O,12,FALSE)</f>
        <v>99231.74</v>
      </c>
      <c r="AX35" s="180">
        <f t="shared" si="4"/>
        <v>-99231.74</v>
      </c>
    </row>
    <row r="36" s="20" customFormat="1" ht="24" customHeight="1" spans="2:50">
      <c r="B36" s="48" t="s">
        <v>81</v>
      </c>
      <c r="C36" s="90" t="s">
        <v>207</v>
      </c>
      <c r="D36" s="126" t="s">
        <v>208</v>
      </c>
      <c r="E36" s="123"/>
      <c r="F36" s="135"/>
      <c r="G36" s="136"/>
      <c r="H36" s="147"/>
      <c r="I36" s="135"/>
      <c r="J36" s="136"/>
      <c r="K36" s="136"/>
      <c r="L36" s="145"/>
      <c r="M36" s="9">
        <v>15800</v>
      </c>
      <c r="N36" s="124"/>
      <c r="O36" s="124"/>
      <c r="P36" s="124"/>
      <c r="Q36" s="124">
        <v>17800</v>
      </c>
      <c r="R36" s="124"/>
      <c r="S36" s="124"/>
      <c r="T36" s="124"/>
      <c r="U36" s="124"/>
      <c r="V36" s="124"/>
      <c r="W36" s="124"/>
      <c r="X36" s="124"/>
      <c r="Y36" s="158"/>
      <c r="Z36" s="85"/>
      <c r="AA36" s="85"/>
      <c r="AB36" s="79"/>
      <c r="AC36" s="159"/>
      <c r="AD36" s="159"/>
      <c r="AE36" s="159"/>
      <c r="AF36" s="159">
        <v>15800</v>
      </c>
      <c r="AG36" s="159"/>
      <c r="AH36" s="159"/>
      <c r="AI36" s="159"/>
      <c r="AJ36" s="159">
        <v>17800</v>
      </c>
      <c r="AK36" s="159"/>
      <c r="AL36" s="159"/>
      <c r="AM36" s="159"/>
      <c r="AN36" s="174"/>
      <c r="AO36" s="169">
        <f t="shared" ref="AO36:AO49" si="6">SUM(L36:X36)</f>
        <v>33600</v>
      </c>
      <c r="AP36" s="170">
        <f t="shared" ref="AP36:AP49" si="7">SUM(AC36:AN36)</f>
        <v>33600</v>
      </c>
      <c r="AQ36" s="172">
        <f t="shared" si="5"/>
        <v>0</v>
      </c>
      <c r="AR36" s="173">
        <f t="shared" si="3"/>
        <v>0</v>
      </c>
      <c r="AS36" s="181"/>
      <c r="AT36" s="182"/>
      <c r="AU36" s="204"/>
      <c r="AV36" s="179"/>
      <c r="AW36" s="180">
        <f>VLOOKUP(D36,Sheet3!D:O,12,FALSE)</f>
        <v>0</v>
      </c>
      <c r="AX36" s="180">
        <f t="shared" si="4"/>
        <v>0</v>
      </c>
    </row>
    <row r="37" s="20" customFormat="1" ht="24" customHeight="1" spans="2:50">
      <c r="B37" s="48" t="s">
        <v>81</v>
      </c>
      <c r="C37" s="90" t="s">
        <v>209</v>
      </c>
      <c r="D37" s="126" t="s">
        <v>210</v>
      </c>
      <c r="E37" s="123"/>
      <c r="F37" s="135"/>
      <c r="G37" s="136"/>
      <c r="H37" s="147"/>
      <c r="I37" s="135"/>
      <c r="J37" s="136"/>
      <c r="K37" s="136"/>
      <c r="L37" s="145"/>
      <c r="M37" s="9"/>
      <c r="N37" s="124"/>
      <c r="O37" s="124"/>
      <c r="P37" s="124"/>
      <c r="Q37" s="124">
        <f>79100</f>
        <v>79100</v>
      </c>
      <c r="R37" s="124">
        <v>94920</v>
      </c>
      <c r="S37" s="124">
        <f>63280+47460</f>
        <v>110740</v>
      </c>
      <c r="T37" s="124"/>
      <c r="U37" s="124"/>
      <c r="V37" s="124">
        <f>31640+15820+63280+31640</f>
        <v>142380</v>
      </c>
      <c r="W37" s="124"/>
      <c r="X37" s="124"/>
      <c r="Y37" s="158"/>
      <c r="Z37" s="85"/>
      <c r="AA37" s="85"/>
      <c r="AB37" s="79"/>
      <c r="AC37" s="159"/>
      <c r="AD37" s="159"/>
      <c r="AE37" s="159"/>
      <c r="AF37" s="159"/>
      <c r="AG37" s="159"/>
      <c r="AH37" s="159"/>
      <c r="AI37" s="159"/>
      <c r="AJ37" s="159">
        <v>79100</v>
      </c>
      <c r="AK37" s="159"/>
      <c r="AL37" s="159">
        <f>189840+158200</f>
        <v>348040</v>
      </c>
      <c r="AM37" s="159"/>
      <c r="AN37" s="174"/>
      <c r="AO37" s="169">
        <f t="shared" si="6"/>
        <v>427140</v>
      </c>
      <c r="AP37" s="170">
        <f t="shared" si="7"/>
        <v>427140</v>
      </c>
      <c r="AQ37" s="172">
        <f t="shared" si="5"/>
        <v>0</v>
      </c>
      <c r="AR37" s="173">
        <f t="shared" si="3"/>
        <v>0</v>
      </c>
      <c r="AS37" s="181" t="s">
        <v>222</v>
      </c>
      <c r="AT37" s="182"/>
      <c r="AU37" s="204"/>
      <c r="AV37" s="179"/>
      <c r="AW37" s="180">
        <f>VLOOKUP(D37,Sheet3!D:O,12,FALSE)</f>
        <v>0</v>
      </c>
      <c r="AX37" s="180">
        <f t="shared" si="4"/>
        <v>0</v>
      </c>
    </row>
    <row r="38" s="20" customFormat="1" ht="24" customHeight="1" spans="2:50">
      <c r="B38" s="48" t="s">
        <v>81</v>
      </c>
      <c r="C38" s="90" t="s">
        <v>211</v>
      </c>
      <c r="D38" s="126" t="e">
        <f t="array" ref="D38">[2]!'!数据!R319C4'</f>
        <v>#REF!</v>
      </c>
      <c r="E38" s="123"/>
      <c r="F38" s="135"/>
      <c r="G38" s="136"/>
      <c r="H38" s="147"/>
      <c r="I38" s="135"/>
      <c r="J38" s="136"/>
      <c r="K38" s="136"/>
      <c r="L38" s="145"/>
      <c r="M38" s="9"/>
      <c r="N38" s="124"/>
      <c r="O38" s="124"/>
      <c r="P38" s="124">
        <v>33330</v>
      </c>
      <c r="Q38" s="124"/>
      <c r="R38" s="124"/>
      <c r="S38" s="124"/>
      <c r="T38" s="124"/>
      <c r="U38" s="124"/>
      <c r="V38" s="124"/>
      <c r="W38" s="124"/>
      <c r="X38" s="124"/>
      <c r="Y38" s="158"/>
      <c r="Z38" s="85"/>
      <c r="AA38" s="85"/>
      <c r="AB38" s="79"/>
      <c r="AC38" s="159"/>
      <c r="AD38" s="159"/>
      <c r="AE38" s="159"/>
      <c r="AF38" s="159"/>
      <c r="AG38" s="159"/>
      <c r="AH38" s="159"/>
      <c r="AI38" s="159"/>
      <c r="AJ38" s="159">
        <v>33330</v>
      </c>
      <c r="AK38" s="159"/>
      <c r="AL38" s="159"/>
      <c r="AM38" s="159"/>
      <c r="AN38" s="174"/>
      <c r="AO38" s="169">
        <f t="shared" si="6"/>
        <v>33330</v>
      </c>
      <c r="AP38" s="170">
        <f t="shared" si="7"/>
        <v>33330</v>
      </c>
      <c r="AQ38" s="172">
        <f t="shared" si="5"/>
        <v>0</v>
      </c>
      <c r="AR38" s="173">
        <f t="shared" si="3"/>
        <v>0</v>
      </c>
      <c r="AS38" s="181" t="s">
        <v>222</v>
      </c>
      <c r="AT38" s="182"/>
      <c r="AU38" s="204"/>
      <c r="AV38" s="179"/>
      <c r="AW38" s="180" t="e">
        <f>VLOOKUP(D38,Sheet3!D:O,12,FALSE)</f>
        <v>#REF!</v>
      </c>
      <c r="AX38" s="180" t="e">
        <f t="shared" si="4"/>
        <v>#REF!</v>
      </c>
    </row>
    <row r="39" s="20" customFormat="1" ht="24" customHeight="1" spans="2:50">
      <c r="B39" s="48" t="s">
        <v>81</v>
      </c>
      <c r="C39" s="90" t="s">
        <v>212</v>
      </c>
      <c r="D39" s="126" t="s">
        <v>213</v>
      </c>
      <c r="E39" s="123"/>
      <c r="F39" s="135"/>
      <c r="G39" s="136"/>
      <c r="H39" s="147"/>
      <c r="I39" s="135"/>
      <c r="J39" s="136"/>
      <c r="K39" s="136"/>
      <c r="L39" s="145"/>
      <c r="M39" s="9"/>
      <c r="N39" s="124"/>
      <c r="O39" s="124"/>
      <c r="P39" s="124"/>
      <c r="Q39" s="124">
        <f>333353.62+336228.34</f>
        <v>669581.96</v>
      </c>
      <c r="R39" s="124">
        <v>334790.98</v>
      </c>
      <c r="S39" s="124"/>
      <c r="T39" s="124"/>
      <c r="U39" s="124">
        <v>167395.48</v>
      </c>
      <c r="V39" s="124"/>
      <c r="W39" s="124">
        <v>167395.48</v>
      </c>
      <c r="X39" s="124"/>
      <c r="Y39" s="158"/>
      <c r="Z39" s="85"/>
      <c r="AA39" s="85"/>
      <c r="AB39" s="79"/>
      <c r="AC39" s="159"/>
      <c r="AD39" s="159"/>
      <c r="AE39" s="159"/>
      <c r="AF39" s="159"/>
      <c r="AG39" s="159"/>
      <c r="AH39" s="159"/>
      <c r="AI39" s="159">
        <v>333353.62</v>
      </c>
      <c r="AJ39" s="159">
        <f>336228.34+334790.98</f>
        <v>671019.32</v>
      </c>
      <c r="AK39" s="159"/>
      <c r="AL39" s="159"/>
      <c r="AM39" s="159">
        <v>167395.48</v>
      </c>
      <c r="AN39" s="174"/>
      <c r="AO39" s="169">
        <f t="shared" si="6"/>
        <v>1339163.9</v>
      </c>
      <c r="AP39" s="170">
        <f t="shared" si="7"/>
        <v>1171768.42</v>
      </c>
      <c r="AQ39" s="172">
        <f t="shared" si="5"/>
        <v>167395.48</v>
      </c>
      <c r="AR39" s="173">
        <f>AQ39-X39</f>
        <v>167395.48</v>
      </c>
      <c r="AS39" s="181" t="s">
        <v>101</v>
      </c>
      <c r="AT39" s="182"/>
      <c r="AU39" s="204"/>
      <c r="AV39" s="179"/>
      <c r="AW39" s="180">
        <f>VLOOKUP(D39,Sheet3!D:O,12,FALSE)</f>
        <v>337665.68</v>
      </c>
      <c r="AX39" s="180">
        <f t="shared" si="4"/>
        <v>-170270.2</v>
      </c>
    </row>
    <row r="40" s="20" customFormat="1" ht="24" customHeight="1" spans="2:50">
      <c r="B40" s="48" t="s">
        <v>81</v>
      </c>
      <c r="C40" s="90" t="s">
        <v>237</v>
      </c>
      <c r="D40" s="126" t="s">
        <v>214</v>
      </c>
      <c r="E40" s="123"/>
      <c r="F40" s="135"/>
      <c r="G40" s="136"/>
      <c r="H40" s="147"/>
      <c r="I40" s="135"/>
      <c r="J40" s="136"/>
      <c r="K40" s="136"/>
      <c r="L40" s="145"/>
      <c r="M40" s="9"/>
      <c r="N40" s="124"/>
      <c r="O40" s="124"/>
      <c r="P40" s="124"/>
      <c r="Q40" s="124"/>
      <c r="R40" s="124"/>
      <c r="S40" s="124"/>
      <c r="T40" s="124"/>
      <c r="U40" s="124"/>
      <c r="V40" s="124">
        <v>8818.54</v>
      </c>
      <c r="W40" s="124"/>
      <c r="X40" s="124"/>
      <c r="Y40" s="158"/>
      <c r="Z40" s="85"/>
      <c r="AA40" s="85"/>
      <c r="AB40" s="79"/>
      <c r="AC40" s="159"/>
      <c r="AD40" s="159"/>
      <c r="AE40" s="159"/>
      <c r="AF40" s="159"/>
      <c r="AG40" s="159"/>
      <c r="AH40" s="159"/>
      <c r="AI40" s="159"/>
      <c r="AJ40" s="159"/>
      <c r="AK40" s="159"/>
      <c r="AL40" s="159"/>
      <c r="AM40" s="159"/>
      <c r="AN40" s="174"/>
      <c r="AO40" s="169">
        <f t="shared" si="6"/>
        <v>8818.54</v>
      </c>
      <c r="AP40" s="170">
        <f t="shared" si="7"/>
        <v>0</v>
      </c>
      <c r="AQ40" s="172">
        <f t="shared" si="5"/>
        <v>8818.54</v>
      </c>
      <c r="AR40" s="173">
        <f>AQ40-X40-W40-V40</f>
        <v>0</v>
      </c>
      <c r="AS40" s="181" t="s">
        <v>222</v>
      </c>
      <c r="AT40" s="182"/>
      <c r="AU40" s="205">
        <v>8818.54</v>
      </c>
      <c r="AV40" s="179"/>
      <c r="AW40" s="180">
        <f>VLOOKUP(D40,Sheet3!D:O,12,FALSE)</f>
        <v>0</v>
      </c>
      <c r="AX40" s="180">
        <f t="shared" si="4"/>
        <v>8818.54</v>
      </c>
    </row>
    <row r="41" s="20" customFormat="1" ht="24" customHeight="1" spans="2:50">
      <c r="B41" s="48" t="s">
        <v>81</v>
      </c>
      <c r="C41" s="90" t="s">
        <v>215</v>
      </c>
      <c r="D41" s="127" t="s">
        <v>216</v>
      </c>
      <c r="E41" s="128"/>
      <c r="F41" s="137"/>
      <c r="G41" s="138"/>
      <c r="H41" s="148"/>
      <c r="I41" s="137"/>
      <c r="J41" s="138"/>
      <c r="K41" s="138"/>
      <c r="L41" s="203"/>
      <c r="M41" s="133"/>
      <c r="N41" s="134"/>
      <c r="O41" s="134"/>
      <c r="P41" s="134">
        <v>21584.03</v>
      </c>
      <c r="Q41" s="134">
        <f>100072.8+18481.78+105347.64</f>
        <v>223902.22</v>
      </c>
      <c r="R41" s="134"/>
      <c r="S41" s="134">
        <v>57132.12</v>
      </c>
      <c r="T41" s="134"/>
      <c r="U41" s="134"/>
      <c r="V41" s="134">
        <v>34739.55</v>
      </c>
      <c r="W41" s="134"/>
      <c r="X41" s="134"/>
      <c r="Y41" s="158"/>
      <c r="Z41" s="85"/>
      <c r="AA41" s="85"/>
      <c r="AB41" s="85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>
        <v>150000</v>
      </c>
      <c r="AM41" s="159"/>
      <c r="AN41" s="174"/>
      <c r="AO41" s="169">
        <f t="shared" si="6"/>
        <v>337357.92</v>
      </c>
      <c r="AP41" s="170">
        <f t="shared" si="7"/>
        <v>150000</v>
      </c>
      <c r="AQ41" s="172">
        <f t="shared" si="5"/>
        <v>187357.92</v>
      </c>
      <c r="AR41" s="173">
        <f>AQ41-X41-W41-V41</f>
        <v>152618.37</v>
      </c>
      <c r="AS41" s="184" t="s">
        <v>222</v>
      </c>
      <c r="AT41" s="182"/>
      <c r="AU41" s="205">
        <v>152618.37</v>
      </c>
      <c r="AV41" s="179"/>
      <c r="AW41" s="180">
        <f>VLOOKUP(D41,Sheet3!D:O,12,FALSE)</f>
        <v>56918.41</v>
      </c>
      <c r="AX41" s="180">
        <f t="shared" si="4"/>
        <v>130439.51</v>
      </c>
    </row>
    <row r="42" s="20" customFormat="1" ht="24" customHeight="1" spans="2:50">
      <c r="B42" s="48" t="s">
        <v>81</v>
      </c>
      <c r="C42" s="90" t="s">
        <v>217</v>
      </c>
      <c r="D42" s="127" t="s">
        <v>223</v>
      </c>
      <c r="E42" s="128"/>
      <c r="F42" s="137"/>
      <c r="G42" s="138"/>
      <c r="H42" s="148"/>
      <c r="I42" s="137"/>
      <c r="J42" s="138"/>
      <c r="K42" s="138"/>
      <c r="L42" s="203"/>
      <c r="M42" s="133"/>
      <c r="N42" s="134"/>
      <c r="O42" s="134"/>
      <c r="P42" s="134"/>
      <c r="Q42" s="134"/>
      <c r="R42" s="134"/>
      <c r="S42" s="134"/>
      <c r="T42" s="134"/>
      <c r="U42" s="134"/>
      <c r="V42" s="134">
        <v>25628.4</v>
      </c>
      <c r="W42" s="134"/>
      <c r="X42" s="134">
        <v>19933.2</v>
      </c>
      <c r="Y42" s="158"/>
      <c r="Z42" s="85"/>
      <c r="AA42" s="85"/>
      <c r="AB42" s="85"/>
      <c r="AC42" s="159"/>
      <c r="AD42" s="159"/>
      <c r="AE42" s="159"/>
      <c r="AF42" s="159"/>
      <c r="AG42" s="159"/>
      <c r="AH42" s="159"/>
      <c r="AI42" s="159"/>
      <c r="AJ42" s="159"/>
      <c r="AK42" s="159"/>
      <c r="AL42" s="159"/>
      <c r="AM42" s="159"/>
      <c r="AN42" s="174"/>
      <c r="AO42" s="169">
        <f t="shared" si="6"/>
        <v>45561.6</v>
      </c>
      <c r="AP42" s="170">
        <f t="shared" si="7"/>
        <v>0</v>
      </c>
      <c r="AQ42" s="172">
        <f t="shared" si="5"/>
        <v>45561.6</v>
      </c>
      <c r="AR42" s="173">
        <f>AQ42-X42</f>
        <v>25628.4</v>
      </c>
      <c r="AS42" s="184" t="s">
        <v>101</v>
      </c>
      <c r="AT42" s="182"/>
      <c r="AU42" s="204"/>
      <c r="AV42" s="179">
        <v>25628.4</v>
      </c>
      <c r="AW42" s="180">
        <f>VLOOKUP(D42,Sheet3!D:O,12,FALSE)</f>
        <v>32747.5</v>
      </c>
      <c r="AX42" s="180">
        <f t="shared" si="4"/>
        <v>12814.1</v>
      </c>
    </row>
    <row r="43" s="20" customFormat="1" ht="24" customHeight="1" spans="2:50">
      <c r="B43" s="48" t="s">
        <v>81</v>
      </c>
      <c r="C43" s="90" t="s">
        <v>238</v>
      </c>
      <c r="D43" s="127" t="s">
        <v>219</v>
      </c>
      <c r="E43" s="128"/>
      <c r="F43" s="137"/>
      <c r="G43" s="138"/>
      <c r="H43" s="148"/>
      <c r="I43" s="137"/>
      <c r="J43" s="138"/>
      <c r="K43" s="138"/>
      <c r="L43" s="203"/>
      <c r="M43" s="133"/>
      <c r="N43" s="134"/>
      <c r="O43" s="134"/>
      <c r="P43" s="134"/>
      <c r="Q43" s="134"/>
      <c r="R43" s="134"/>
      <c r="S43" s="134"/>
      <c r="T43" s="134"/>
      <c r="U43" s="134">
        <v>27400</v>
      </c>
      <c r="V43" s="134"/>
      <c r="W43" s="134"/>
      <c r="X43" s="134"/>
      <c r="Y43" s="158"/>
      <c r="Z43" s="85"/>
      <c r="AA43" s="85"/>
      <c r="AB43" s="85"/>
      <c r="AC43" s="159"/>
      <c r="AD43" s="159"/>
      <c r="AE43" s="159"/>
      <c r="AF43" s="159"/>
      <c r="AG43" s="159"/>
      <c r="AH43" s="159"/>
      <c r="AI43" s="159"/>
      <c r="AJ43" s="159"/>
      <c r="AK43" s="159"/>
      <c r="AL43" s="159"/>
      <c r="AM43" s="159">
        <v>27400</v>
      </c>
      <c r="AN43" s="174"/>
      <c r="AO43" s="169">
        <f t="shared" si="6"/>
        <v>27400</v>
      </c>
      <c r="AP43" s="170">
        <f t="shared" si="7"/>
        <v>27400</v>
      </c>
      <c r="AQ43" s="172">
        <f t="shared" si="5"/>
        <v>0</v>
      </c>
      <c r="AR43" s="173">
        <f t="shared" si="3"/>
        <v>0</v>
      </c>
      <c r="AS43" s="184" t="s">
        <v>101</v>
      </c>
      <c r="AT43" s="182"/>
      <c r="AU43" s="204"/>
      <c r="AV43" s="179"/>
      <c r="AW43" s="180">
        <f>VLOOKUP(D43,Sheet3!D:O,12,FALSE)</f>
        <v>0</v>
      </c>
      <c r="AX43" s="180">
        <f t="shared" si="4"/>
        <v>0</v>
      </c>
    </row>
    <row r="44" s="20" customFormat="1" ht="24" customHeight="1" spans="2:50">
      <c r="B44" s="48" t="s">
        <v>81</v>
      </c>
      <c r="C44" s="90" t="s">
        <v>239</v>
      </c>
      <c r="D44" s="127" t="s">
        <v>240</v>
      </c>
      <c r="E44" s="128"/>
      <c r="F44" s="137"/>
      <c r="G44" s="138"/>
      <c r="H44" s="148"/>
      <c r="I44" s="137"/>
      <c r="J44" s="138"/>
      <c r="K44" s="148"/>
      <c r="L44" s="203"/>
      <c r="M44" s="133"/>
      <c r="N44" s="134"/>
      <c r="O44" s="134">
        <v>2542.2</v>
      </c>
      <c r="P44" s="134"/>
      <c r="Q44" s="134"/>
      <c r="R44" s="134"/>
      <c r="S44" s="134"/>
      <c r="T44" s="139"/>
      <c r="U44" s="134"/>
      <c r="V44" s="134"/>
      <c r="W44" s="134"/>
      <c r="X44" s="134"/>
      <c r="Y44" s="158"/>
      <c r="Z44" s="85"/>
      <c r="AA44" s="85"/>
      <c r="AB44" s="85"/>
      <c r="AC44" s="159"/>
      <c r="AD44" s="159"/>
      <c r="AE44" s="159">
        <v>2542.2</v>
      </c>
      <c r="AF44" s="159"/>
      <c r="AG44" s="159"/>
      <c r="AH44" s="159"/>
      <c r="AI44" s="159"/>
      <c r="AJ44" s="159"/>
      <c r="AK44" s="159"/>
      <c r="AL44" s="159"/>
      <c r="AM44" s="159"/>
      <c r="AN44" s="174"/>
      <c r="AO44" s="169">
        <f t="shared" si="6"/>
        <v>2542.2</v>
      </c>
      <c r="AP44" s="170">
        <f t="shared" si="7"/>
        <v>2542.2</v>
      </c>
      <c r="AQ44" s="172">
        <f t="shared" si="5"/>
        <v>0</v>
      </c>
      <c r="AR44" s="173">
        <f t="shared" si="3"/>
        <v>0</v>
      </c>
      <c r="AS44" s="184" t="s">
        <v>96</v>
      </c>
      <c r="AT44" s="182"/>
      <c r="AU44" s="204"/>
      <c r="AV44" s="179"/>
      <c r="AW44" s="180">
        <v>0</v>
      </c>
      <c r="AX44" s="180">
        <f t="shared" si="4"/>
        <v>0</v>
      </c>
    </row>
    <row r="45" s="20" customFormat="1" ht="24" customHeight="1" spans="2:50">
      <c r="B45" s="48" t="s">
        <v>81</v>
      </c>
      <c r="C45" s="90" t="s">
        <v>224</v>
      </c>
      <c r="D45" s="127" t="s">
        <v>225</v>
      </c>
      <c r="E45" s="128"/>
      <c r="F45" s="137"/>
      <c r="G45" s="138"/>
      <c r="H45" s="148"/>
      <c r="I45" s="137"/>
      <c r="J45" s="138"/>
      <c r="K45" s="148"/>
      <c r="L45" s="203"/>
      <c r="M45" s="133"/>
      <c r="N45" s="134"/>
      <c r="O45" s="134"/>
      <c r="P45" s="134">
        <v>106663.87</v>
      </c>
      <c r="Q45" s="134"/>
      <c r="R45" s="134">
        <v>111079</v>
      </c>
      <c r="S45" s="134"/>
      <c r="T45" s="139"/>
      <c r="U45" s="134"/>
      <c r="V45" s="134"/>
      <c r="W45" s="134"/>
      <c r="X45" s="134"/>
      <c r="Y45" s="158"/>
      <c r="Z45" s="85"/>
      <c r="AA45" s="85"/>
      <c r="AB45" s="85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74"/>
      <c r="AO45" s="169">
        <f t="shared" si="6"/>
        <v>217742.87</v>
      </c>
      <c r="AP45" s="170">
        <f t="shared" si="7"/>
        <v>0</v>
      </c>
      <c r="AQ45" s="172">
        <f t="shared" si="5"/>
        <v>217742.87</v>
      </c>
      <c r="AR45" s="173">
        <f>AQ45-X45-W45-V45</f>
        <v>217742.87</v>
      </c>
      <c r="AS45" s="184" t="s">
        <v>222</v>
      </c>
      <c r="AT45" s="182"/>
      <c r="AU45" s="205">
        <v>111079</v>
      </c>
      <c r="AV45" s="179"/>
      <c r="AW45" s="180">
        <f>VLOOKUP(D45,Sheet3!D:O,12,FALSE)</f>
        <v>182408.67</v>
      </c>
      <c r="AX45" s="180">
        <f t="shared" si="4"/>
        <v>35334.2</v>
      </c>
    </row>
    <row r="46" s="20" customFormat="1" ht="24" customHeight="1" spans="2:50">
      <c r="B46" s="48" t="s">
        <v>81</v>
      </c>
      <c r="C46" s="90" t="s">
        <v>226</v>
      </c>
      <c r="D46" s="127" t="s">
        <v>227</v>
      </c>
      <c r="E46" s="128"/>
      <c r="F46" s="137"/>
      <c r="G46" s="138"/>
      <c r="H46" s="148"/>
      <c r="I46" s="137"/>
      <c r="J46" s="138"/>
      <c r="K46" s="148"/>
      <c r="L46" s="203"/>
      <c r="M46" s="133"/>
      <c r="N46" s="134"/>
      <c r="O46" s="134"/>
      <c r="P46" s="134"/>
      <c r="Q46" s="134"/>
      <c r="R46" s="134"/>
      <c r="S46" s="134"/>
      <c r="T46" s="139"/>
      <c r="U46" s="134"/>
      <c r="V46" s="134">
        <v>5979.6</v>
      </c>
      <c r="W46" s="134"/>
      <c r="X46" s="134">
        <v>594</v>
      </c>
      <c r="Y46" s="158"/>
      <c r="Z46" s="85"/>
      <c r="AA46" s="85"/>
      <c r="AB46" s="85"/>
      <c r="AC46" s="159"/>
      <c r="AD46" s="159"/>
      <c r="AE46" s="159"/>
      <c r="AF46" s="159"/>
      <c r="AG46" s="159"/>
      <c r="AH46" s="159"/>
      <c r="AI46" s="159"/>
      <c r="AJ46" s="159"/>
      <c r="AK46" s="159"/>
      <c r="AL46" s="159"/>
      <c r="AM46" s="159"/>
      <c r="AN46" s="174"/>
      <c r="AO46" s="169">
        <f t="shared" si="6"/>
        <v>6573.6</v>
      </c>
      <c r="AP46" s="170">
        <f t="shared" si="7"/>
        <v>0</v>
      </c>
      <c r="AQ46" s="172">
        <f t="shared" si="5"/>
        <v>6573.6</v>
      </c>
      <c r="AR46" s="173">
        <f>AQ46-X46</f>
        <v>5979.6</v>
      </c>
      <c r="AS46" s="184" t="s">
        <v>101</v>
      </c>
      <c r="AT46" s="182"/>
      <c r="AU46" s="205">
        <v>5979.6</v>
      </c>
      <c r="AV46" s="179"/>
      <c r="AW46" s="180">
        <f>VLOOKUP(D46,Sheet3!D:O,12,FALSE)</f>
        <v>0</v>
      </c>
      <c r="AX46" s="180">
        <f t="shared" si="4"/>
        <v>6573.6</v>
      </c>
    </row>
    <row r="47" s="20" customFormat="1" ht="24" customHeight="1" spans="2:50">
      <c r="B47" s="48" t="s">
        <v>81</v>
      </c>
      <c r="C47" s="90" t="s">
        <v>228</v>
      </c>
      <c r="D47" s="127" t="s">
        <v>229</v>
      </c>
      <c r="E47" s="128"/>
      <c r="F47" s="137"/>
      <c r="G47" s="138"/>
      <c r="H47" s="148"/>
      <c r="I47" s="137"/>
      <c r="J47" s="138"/>
      <c r="K47" s="148"/>
      <c r="L47" s="203"/>
      <c r="M47" s="133"/>
      <c r="N47" s="134"/>
      <c r="O47" s="134">
        <v>30854.97</v>
      </c>
      <c r="P47" s="134"/>
      <c r="Q47" s="134"/>
      <c r="R47" s="134"/>
      <c r="S47" s="134"/>
      <c r="T47" s="139"/>
      <c r="U47" s="134"/>
      <c r="V47" s="134"/>
      <c r="W47" s="134">
        <v>8018.39</v>
      </c>
      <c r="X47" s="134"/>
      <c r="Y47" s="158"/>
      <c r="Z47" s="85"/>
      <c r="AA47" s="85"/>
      <c r="AB47" s="85"/>
      <c r="AC47" s="159"/>
      <c r="AD47" s="159"/>
      <c r="AE47" s="159"/>
      <c r="AF47" s="159"/>
      <c r="AG47" s="159"/>
      <c r="AH47" s="159"/>
      <c r="AI47" s="159"/>
      <c r="AJ47" s="159"/>
      <c r="AK47" s="159"/>
      <c r="AL47" s="159"/>
      <c r="AM47" s="159">
        <v>30854.97</v>
      </c>
      <c r="AN47" s="174"/>
      <c r="AO47" s="169">
        <f t="shared" si="6"/>
        <v>38873.36</v>
      </c>
      <c r="AP47" s="170">
        <f t="shared" si="7"/>
        <v>30854.97</v>
      </c>
      <c r="AQ47" s="172">
        <f t="shared" si="5"/>
        <v>8018.39</v>
      </c>
      <c r="AR47" s="173">
        <f t="shared" si="3"/>
        <v>0</v>
      </c>
      <c r="AS47" s="184" t="s">
        <v>85</v>
      </c>
      <c r="AT47" s="182"/>
      <c r="AU47" s="204"/>
      <c r="AV47" s="179"/>
      <c r="AW47" s="180"/>
      <c r="AX47" s="180"/>
    </row>
    <row r="48" s="20" customFormat="1" ht="24" customHeight="1" spans="2:50">
      <c r="B48" s="48" t="s">
        <v>81</v>
      </c>
      <c r="C48" s="122" t="s">
        <v>230</v>
      </c>
      <c r="D48" s="50" t="s">
        <v>231</v>
      </c>
      <c r="E48" s="123"/>
      <c r="F48" s="135"/>
      <c r="G48" s="136"/>
      <c r="H48" s="136"/>
      <c r="I48" s="135"/>
      <c r="J48" s="136"/>
      <c r="K48" s="136"/>
      <c r="L48" s="145"/>
      <c r="M48" s="9"/>
      <c r="N48" s="124"/>
      <c r="O48" s="124"/>
      <c r="P48" s="124"/>
      <c r="Q48" s="124"/>
      <c r="R48" s="124">
        <v>3169474.4</v>
      </c>
      <c r="S48" s="124"/>
      <c r="T48" s="124"/>
      <c r="U48" s="124"/>
      <c r="V48" s="124"/>
      <c r="W48" s="124">
        <v>887312.2</v>
      </c>
      <c r="X48" s="124">
        <f>108208.8*2</f>
        <v>216417.6</v>
      </c>
      <c r="Y48" s="156"/>
      <c r="Z48" s="79"/>
      <c r="AA48" s="79"/>
      <c r="AB48" s="79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>
        <v>1000000</v>
      </c>
      <c r="AN48" s="168">
        <v>2169474.4</v>
      </c>
      <c r="AO48" s="169">
        <f t="shared" si="6"/>
        <v>4273204.2</v>
      </c>
      <c r="AP48" s="170">
        <f t="shared" si="7"/>
        <v>3169474.4</v>
      </c>
      <c r="AQ48" s="172">
        <f t="shared" si="5"/>
        <v>1103729.8</v>
      </c>
      <c r="AR48" s="173">
        <f t="shared" si="3"/>
        <v>0</v>
      </c>
      <c r="AS48" s="177" t="s">
        <v>241</v>
      </c>
      <c r="AT48" s="178"/>
      <c r="AU48" s="205">
        <v>2169474.4</v>
      </c>
      <c r="AV48" s="179"/>
      <c r="AW48" s="180">
        <f>VLOOKUP(D48,Sheet3!D:O,12,FALSE)</f>
        <v>562589.14</v>
      </c>
      <c r="AX48" s="180">
        <f t="shared" si="4"/>
        <v>541140.659999999</v>
      </c>
    </row>
    <row r="49" s="20" customFormat="1" ht="24" customHeight="1" spans="2:50">
      <c r="B49" s="129" t="s">
        <v>81</v>
      </c>
      <c r="C49" s="90" t="s">
        <v>186</v>
      </c>
      <c r="D49" s="126" t="s">
        <v>187</v>
      </c>
      <c r="E49" s="123">
        <v>1745182.33</v>
      </c>
      <c r="F49" s="135">
        <v>1040684.8</v>
      </c>
      <c r="G49" s="136">
        <v>289573.8</v>
      </c>
      <c r="H49" s="147">
        <f>16000</f>
        <v>16000</v>
      </c>
      <c r="I49" s="135"/>
      <c r="J49" s="136"/>
      <c r="K49" s="147">
        <v>320129</v>
      </c>
      <c r="L49" s="145">
        <f t="shared" ref="L49" si="8">SUM(I49:K49)+E49</f>
        <v>2065311.33</v>
      </c>
      <c r="M49" s="9">
        <v>149456.06</v>
      </c>
      <c r="N49" s="124">
        <v>2056724.82</v>
      </c>
      <c r="O49" s="124">
        <v>197945.79</v>
      </c>
      <c r="P49" s="124">
        <v>311102.56</v>
      </c>
      <c r="Q49" s="124">
        <f>443106.62+11186.26</f>
        <v>454292.88</v>
      </c>
      <c r="R49" s="124">
        <f>198972.66+354266.3</f>
        <v>553238.96</v>
      </c>
      <c r="S49" s="124">
        <v>231220.6</v>
      </c>
      <c r="T49" s="124">
        <v>107564.34</v>
      </c>
      <c r="U49" s="124">
        <v>129079.9</v>
      </c>
      <c r="V49" s="124">
        <f>207174.2+538701.01+4859</f>
        <v>750734.21</v>
      </c>
      <c r="W49" s="124">
        <v>-10426.18</v>
      </c>
      <c r="X49" s="124">
        <f>650588.66-163042.54</f>
        <v>487546.12</v>
      </c>
      <c r="Y49" s="158"/>
      <c r="Z49" s="85"/>
      <c r="AA49" s="79" t="s">
        <v>84</v>
      </c>
      <c r="AB49" s="79" t="s">
        <v>84</v>
      </c>
      <c r="AC49" s="159">
        <v>600000</v>
      </c>
      <c r="AD49" s="159"/>
      <c r="AE49" s="159">
        <f>378820-250000</f>
        <v>128820</v>
      </c>
      <c r="AF49" s="159"/>
      <c r="AG49" s="159">
        <v>10500</v>
      </c>
      <c r="AH49" s="159">
        <f>2239.89+12430</f>
        <v>14669.89</v>
      </c>
      <c r="AI49" s="159"/>
      <c r="AJ49" s="159">
        <f>200000+10638.96</f>
        <v>210638.96</v>
      </c>
      <c r="AK49" s="159">
        <v>200000</v>
      </c>
      <c r="AL49" s="159">
        <v>100000</v>
      </c>
      <c r="AM49" s="159">
        <f>300000+200000</f>
        <v>500000</v>
      </c>
      <c r="AN49" s="174">
        <f>900000+150000</f>
        <v>1050000</v>
      </c>
      <c r="AO49" s="169">
        <f t="shared" si="6"/>
        <v>7483791.39</v>
      </c>
      <c r="AP49" s="170">
        <f t="shared" si="7"/>
        <v>2814628.85</v>
      </c>
      <c r="AQ49" s="172">
        <f t="shared" si="5"/>
        <v>4669162.54</v>
      </c>
      <c r="AR49" s="173">
        <f t="shared" si="3"/>
        <v>4192042.6</v>
      </c>
      <c r="AS49" s="181"/>
      <c r="AT49" s="182"/>
      <c r="AU49" s="205">
        <v>200000</v>
      </c>
      <c r="AV49" s="179">
        <v>200000</v>
      </c>
      <c r="AW49" s="180">
        <f>VLOOKUP(D49,Sheet3!D:O,12,FALSE)</f>
        <v>104394.1</v>
      </c>
      <c r="AX49" s="180">
        <f t="shared" si="4"/>
        <v>4564768.44</v>
      </c>
    </row>
    <row r="50" s="21" customFormat="1" ht="24" customHeight="1" spans="2:48">
      <c r="B50" s="92"/>
      <c r="C50" s="93"/>
      <c r="D50" s="94" t="s">
        <v>142</v>
      </c>
      <c r="E50" s="187">
        <f>SUM(E5:E49)</f>
        <v>2758142.22</v>
      </c>
      <c r="F50" s="188"/>
      <c r="G50" s="189">
        <f t="shared" ref="G50:AQ50" si="9">SUM(G5:G49)</f>
        <v>333580.75</v>
      </c>
      <c r="H50" s="189">
        <f t="shared" si="9"/>
        <v>26937.5</v>
      </c>
      <c r="I50" s="189">
        <f t="shared" si="9"/>
        <v>755825</v>
      </c>
      <c r="J50" s="189">
        <f t="shared" si="9"/>
        <v>2193040.65</v>
      </c>
      <c r="K50" s="189">
        <f t="shared" si="9"/>
        <v>1693626.34</v>
      </c>
      <c r="L50" s="190">
        <f t="shared" si="9"/>
        <v>7400634.21</v>
      </c>
      <c r="M50" s="185">
        <f t="shared" si="9"/>
        <v>1786678.1</v>
      </c>
      <c r="N50" s="186">
        <f t="shared" si="9"/>
        <v>2539553.76</v>
      </c>
      <c r="O50" s="186">
        <f t="shared" si="9"/>
        <v>609965.42</v>
      </c>
      <c r="P50" s="186">
        <f t="shared" si="9"/>
        <v>2492019.5</v>
      </c>
      <c r="Q50" s="186">
        <f t="shared" si="9"/>
        <v>4769286.35</v>
      </c>
      <c r="R50" s="186">
        <f t="shared" si="9"/>
        <v>6375418.92</v>
      </c>
      <c r="S50" s="186">
        <f t="shared" si="9"/>
        <v>1539469.79</v>
      </c>
      <c r="T50" s="186">
        <f t="shared" si="9"/>
        <v>471784.75</v>
      </c>
      <c r="U50" s="186">
        <f t="shared" si="9"/>
        <v>1731854.68</v>
      </c>
      <c r="V50" s="186">
        <f t="shared" si="9"/>
        <v>2313855.74</v>
      </c>
      <c r="W50" s="186">
        <f t="shared" si="9"/>
        <v>1547284.61</v>
      </c>
      <c r="X50" s="186">
        <f t="shared" si="9"/>
        <v>1348526.43</v>
      </c>
      <c r="Y50" s="191">
        <f t="shared" si="9"/>
        <v>0</v>
      </c>
      <c r="Z50" s="192">
        <f t="shared" si="9"/>
        <v>0</v>
      </c>
      <c r="AA50" s="192">
        <f t="shared" si="9"/>
        <v>0</v>
      </c>
      <c r="AB50" s="192">
        <f t="shared" si="9"/>
        <v>0</v>
      </c>
      <c r="AC50" s="192">
        <f t="shared" si="9"/>
        <v>603390</v>
      </c>
      <c r="AD50" s="192">
        <f t="shared" si="9"/>
        <v>2159095.6</v>
      </c>
      <c r="AE50" s="192">
        <f t="shared" si="9"/>
        <v>2155410.69</v>
      </c>
      <c r="AF50" s="192">
        <f t="shared" si="9"/>
        <v>1214408.1</v>
      </c>
      <c r="AG50" s="192">
        <f t="shared" si="9"/>
        <v>1195377.39</v>
      </c>
      <c r="AH50" s="192">
        <f t="shared" si="9"/>
        <v>1177304</v>
      </c>
      <c r="AI50" s="192">
        <f t="shared" si="9"/>
        <v>1162488.58</v>
      </c>
      <c r="AJ50" s="192">
        <f t="shared" si="9"/>
        <v>3972454.69</v>
      </c>
      <c r="AK50" s="192">
        <f t="shared" si="9"/>
        <v>2462204.76</v>
      </c>
      <c r="AL50" s="192">
        <f t="shared" si="9"/>
        <v>2236666.65</v>
      </c>
      <c r="AM50" s="192">
        <f t="shared" si="9"/>
        <v>3258650.51</v>
      </c>
      <c r="AN50" s="195">
        <f t="shared" si="9"/>
        <v>3950008.18</v>
      </c>
      <c r="AO50" s="196">
        <f t="shared" si="9"/>
        <v>34926332.26</v>
      </c>
      <c r="AP50" s="197">
        <f t="shared" si="9"/>
        <v>25547459.15</v>
      </c>
      <c r="AQ50" s="104">
        <f t="shared" si="9"/>
        <v>9378873.11</v>
      </c>
      <c r="AR50" s="195">
        <f>AQ50-V50-W50</f>
        <v>5517732.76</v>
      </c>
      <c r="AS50" s="199"/>
      <c r="AT50" s="200"/>
      <c r="AU50" s="201">
        <f>SUM(AU5:AU49)</f>
        <v>3182537.87</v>
      </c>
      <c r="AV50" s="201">
        <f>SUM(AV5:AV49)</f>
        <v>1444216.74</v>
      </c>
    </row>
    <row r="51" customHeight="1" spans="5:44">
      <c r="E51" s="99"/>
      <c r="F51" s="99"/>
      <c r="G51" s="99"/>
      <c r="H51" s="99"/>
      <c r="I51" s="99">
        <f>SUM(I5:I44)</f>
        <v>755825</v>
      </c>
      <c r="J51" s="99">
        <f t="shared" ref="J51:AO51" si="10">SUM(J5:J44)</f>
        <v>2193040.65</v>
      </c>
      <c r="K51" s="99">
        <f t="shared" si="10"/>
        <v>1373497.34</v>
      </c>
      <c r="L51" s="99">
        <f t="shared" si="10"/>
        <v>5335322.88</v>
      </c>
      <c r="M51" s="99">
        <f t="shared" si="10"/>
        <v>1637222.04</v>
      </c>
      <c r="N51" s="99">
        <f t="shared" si="10"/>
        <v>482828.94</v>
      </c>
      <c r="O51" s="99">
        <f t="shared" si="10"/>
        <v>381164.66</v>
      </c>
      <c r="P51" s="99">
        <f t="shared" si="10"/>
        <v>2074253.07</v>
      </c>
      <c r="Q51" s="99">
        <f t="shared" si="10"/>
        <v>4314993.47</v>
      </c>
      <c r="R51" s="99">
        <f t="shared" si="10"/>
        <v>2541626.56</v>
      </c>
      <c r="S51" s="99">
        <f t="shared" si="10"/>
        <v>1308249.19</v>
      </c>
      <c r="T51" s="99">
        <f t="shared" si="10"/>
        <v>364220.41</v>
      </c>
      <c r="U51" s="99">
        <f t="shared" si="10"/>
        <v>1602774.78</v>
      </c>
      <c r="V51" s="99">
        <f t="shared" si="10"/>
        <v>1557141.93</v>
      </c>
      <c r="W51" s="99">
        <f t="shared" si="10"/>
        <v>662380.2</v>
      </c>
      <c r="X51" s="99">
        <f t="shared" si="10"/>
        <v>643968.71</v>
      </c>
      <c r="Y51" s="99">
        <f t="shared" si="10"/>
        <v>0</v>
      </c>
      <c r="Z51" s="99">
        <f t="shared" si="10"/>
        <v>0</v>
      </c>
      <c r="AA51" s="99">
        <f t="shared" si="10"/>
        <v>0</v>
      </c>
      <c r="AB51" s="99">
        <f t="shared" si="10"/>
        <v>0</v>
      </c>
      <c r="AC51" s="99">
        <f t="shared" si="10"/>
        <v>3390</v>
      </c>
      <c r="AD51" s="99">
        <f t="shared" si="10"/>
        <v>2159095.6</v>
      </c>
      <c r="AE51" s="99">
        <f t="shared" si="10"/>
        <v>2026590.69</v>
      </c>
      <c r="AF51" s="99">
        <f t="shared" si="10"/>
        <v>1214408.1</v>
      </c>
      <c r="AG51" s="99">
        <f t="shared" si="10"/>
        <v>1184877.39</v>
      </c>
      <c r="AH51" s="99">
        <f t="shared" si="10"/>
        <v>1162634.11</v>
      </c>
      <c r="AI51" s="99">
        <f t="shared" si="10"/>
        <v>1162488.58</v>
      </c>
      <c r="AJ51" s="99">
        <f t="shared" si="10"/>
        <v>3761815.73</v>
      </c>
      <c r="AK51" s="99">
        <f t="shared" si="10"/>
        <v>2262204.76</v>
      </c>
      <c r="AL51" s="99">
        <f t="shared" si="10"/>
        <v>2136666.65</v>
      </c>
      <c r="AM51" s="99">
        <f t="shared" si="10"/>
        <v>1727795.54</v>
      </c>
      <c r="AN51" s="99">
        <f t="shared" si="10"/>
        <v>730533.78</v>
      </c>
      <c r="AO51" s="99">
        <f t="shared" si="10"/>
        <v>22906146.84</v>
      </c>
      <c r="AP51" s="99">
        <f>SUM(AP5:AP48)</f>
        <v>22732830.3</v>
      </c>
      <c r="AQ51" s="99">
        <f t="shared" ref="AQ51:AR51" si="11">SUM(AQ5:AQ48)</f>
        <v>4709710.57</v>
      </c>
      <c r="AR51" s="99">
        <f t="shared" si="11"/>
        <v>2492547.35</v>
      </c>
    </row>
    <row r="52" customHeight="1" spans="5:24"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</row>
    <row r="53" ht="15.6" spans="4:45">
      <c r="D53" s="100" t="s">
        <v>143</v>
      </c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100"/>
      <c r="AP53" s="100"/>
      <c r="AQ53" s="100"/>
      <c r="AR53" s="100"/>
      <c r="AS53" s="100"/>
    </row>
    <row r="64" spans="2:45">
      <c r="B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</row>
    <row r="67" s="22" customFormat="1"/>
  </sheetData>
  <autoFilter ref="A4:AX51">
    <extLst/>
  </autoFilter>
  <mergeCells count="53">
    <mergeCell ref="B1:AN1"/>
    <mergeCell ref="E2:H2"/>
    <mergeCell ref="I2:L2"/>
    <mergeCell ref="M2:X2"/>
    <mergeCell ref="Z2:AB2"/>
    <mergeCell ref="AO2:AS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2:AT4"/>
    <mergeCell ref="AU2:AU4"/>
    <mergeCell ref="AV2:AV4"/>
  </mergeCells>
  <conditionalFormatting sqref="D48">
    <cfRule type="duplicateValues" dxfId="0" priority="3"/>
  </conditionalFormatting>
  <conditionalFormatting sqref="D42:D43">
    <cfRule type="duplicateValues" dxfId="0" priority="4"/>
  </conditionalFormatting>
  <conditionalFormatting sqref="D44:D47">
    <cfRule type="duplicateValues" dxfId="0" priority="5"/>
  </conditionalFormatting>
  <conditionalFormatting sqref="D1:D41 D49:D1048576">
    <cfRule type="duplicateValues" dxfId="0" priority="7"/>
  </conditionalFormatting>
  <conditionalFormatting sqref="AP1:AR1 AP52:AR1048576">
    <cfRule type="duplicateValues" dxfId="0" priority="6"/>
  </conditionalFormatting>
  <pageMargins left="0.7" right="0.7" top="0.75" bottom="0.75" header="0.3" footer="0.3"/>
  <pageSetup paperSize="9" orientation="portrait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J71"/>
  <sheetViews>
    <sheetView zoomScale="80" zoomScaleNormal="80" workbookViewId="0">
      <pane xSplit="4" ySplit="4" topLeftCell="AC24" activePane="bottomRight" state="frozen"/>
      <selection/>
      <selection pane="topRight"/>
      <selection pane="bottomLeft"/>
      <selection pane="bottomRight" activeCell="AQ27" sqref="AQ27"/>
    </sheetView>
  </sheetViews>
  <sheetFormatPr defaultColWidth="8" defaultRowHeight="15"/>
  <cols>
    <col min="1" max="1" width="1.4537037037037" style="22" customWidth="1"/>
    <col min="2" max="2" width="7.09259259259259" style="23" customWidth="1"/>
    <col min="3" max="3" width="10.6296296296296" style="22" customWidth="1"/>
    <col min="4" max="4" width="27.3611111111111" style="24" customWidth="1"/>
    <col min="5" max="6" width="13.9074074074074" style="111" customWidth="1"/>
    <col min="7" max="8" width="12.2685185185185" style="111" customWidth="1"/>
    <col min="9" max="9" width="13.9074074074074" style="111" customWidth="1"/>
    <col min="10" max="11" width="12.2685185185185" style="111" customWidth="1"/>
    <col min="12" max="24" width="14.2685185185185" style="111" customWidth="1"/>
    <col min="25" max="25" width="3.62962962962963" style="22" customWidth="1"/>
    <col min="26" max="26" width="6.72222222222222" style="22" customWidth="1"/>
    <col min="27" max="28" width="4.72222222222222" style="22" customWidth="1"/>
    <col min="29" max="30" width="16.3611111111111" style="112" customWidth="1"/>
    <col min="31" max="40" width="13" style="112" customWidth="1"/>
    <col min="41" max="43" width="17.2685185185185" style="24" customWidth="1"/>
    <col min="44" max="51" width="17.2685185185185" style="24" hidden="1" customWidth="1"/>
    <col min="52" max="55" width="17.2685185185185" style="24" customWidth="1"/>
    <col min="56" max="56" width="14" style="24" customWidth="1"/>
    <col min="57" max="57" width="20.7222222222222" style="22" customWidth="1"/>
    <col min="58" max="59" width="13.0925925925926" style="22" customWidth="1"/>
    <col min="60" max="60" width="13.9074074074074" style="22" customWidth="1"/>
    <col min="61" max="61" width="8" style="22"/>
    <col min="62" max="62" width="11.4537037037037" style="22"/>
    <col min="63" max="16384" width="8" style="22"/>
  </cols>
  <sheetData>
    <row r="1" ht="21" customHeight="1" spans="2:57">
      <c r="B1" s="113" t="s">
        <v>242</v>
      </c>
      <c r="C1" s="114"/>
      <c r="D1" s="114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4"/>
      <c r="Z1" s="114"/>
      <c r="AA1" s="114"/>
      <c r="AB1" s="114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4"/>
    </row>
    <row r="2" ht="18" customHeight="1" spans="2:61">
      <c r="B2" s="29" t="s">
        <v>1</v>
      </c>
      <c r="C2" s="30" t="s">
        <v>2</v>
      </c>
      <c r="D2" s="31" t="s">
        <v>3</v>
      </c>
      <c r="E2" s="116" t="s">
        <v>190</v>
      </c>
      <c r="F2" s="117"/>
      <c r="G2" s="117"/>
      <c r="H2" s="117"/>
      <c r="I2" s="140" t="s">
        <v>190</v>
      </c>
      <c r="J2" s="141"/>
      <c r="K2" s="141"/>
      <c r="L2" s="142"/>
      <c r="M2" s="116" t="s">
        <v>243</v>
      </c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51" t="s">
        <v>36</v>
      </c>
      <c r="Z2" s="64" t="s">
        <v>37</v>
      </c>
      <c r="AA2" s="64"/>
      <c r="AB2" s="64"/>
      <c r="AC2" s="152" t="s">
        <v>192</v>
      </c>
      <c r="AD2" s="152" t="s">
        <v>193</v>
      </c>
      <c r="AE2" s="152" t="s">
        <v>158</v>
      </c>
      <c r="AF2" s="152" t="s">
        <v>159</v>
      </c>
      <c r="AG2" s="152" t="s">
        <v>160</v>
      </c>
      <c r="AH2" s="152" t="s">
        <v>161</v>
      </c>
      <c r="AI2" s="152" t="s">
        <v>162</v>
      </c>
      <c r="AJ2" s="152" t="s">
        <v>163</v>
      </c>
      <c r="AK2" s="152" t="s">
        <v>164</v>
      </c>
      <c r="AL2" s="152" t="s">
        <v>165</v>
      </c>
      <c r="AM2" s="152" t="s">
        <v>166</v>
      </c>
      <c r="AN2" s="163" t="s">
        <v>167</v>
      </c>
      <c r="AO2" s="164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175"/>
      <c r="BE2" s="67" t="s">
        <v>36</v>
      </c>
      <c r="BF2" s="67" t="s">
        <v>244</v>
      </c>
      <c r="BI2" s="22" t="s">
        <v>3</v>
      </c>
    </row>
    <row r="3" ht="31.5" customHeight="1" spans="2:58">
      <c r="B3" s="34"/>
      <c r="C3" s="35"/>
      <c r="D3" s="36"/>
      <c r="E3" s="118" t="s">
        <v>245</v>
      </c>
      <c r="F3" s="119" t="s">
        <v>246</v>
      </c>
      <c r="G3" s="119" t="s">
        <v>247</v>
      </c>
      <c r="H3" s="119" t="s">
        <v>248</v>
      </c>
      <c r="I3" s="202" t="s">
        <v>246</v>
      </c>
      <c r="J3" s="202" t="s">
        <v>247</v>
      </c>
      <c r="K3" s="202" t="s">
        <v>248</v>
      </c>
      <c r="L3" s="143" t="s">
        <v>249</v>
      </c>
      <c r="M3" s="118" t="s">
        <v>73</v>
      </c>
      <c r="N3" s="119" t="s">
        <v>74</v>
      </c>
      <c r="O3" s="119" t="s">
        <v>169</v>
      </c>
      <c r="P3" s="119" t="s">
        <v>170</v>
      </c>
      <c r="Q3" s="119" t="s">
        <v>171</v>
      </c>
      <c r="R3" s="119" t="s">
        <v>172</v>
      </c>
      <c r="S3" s="119" t="s">
        <v>173</v>
      </c>
      <c r="T3" s="119" t="s">
        <v>174</v>
      </c>
      <c r="U3" s="119" t="s">
        <v>175</v>
      </c>
      <c r="V3" s="119" t="s">
        <v>70</v>
      </c>
      <c r="W3" s="119" t="s">
        <v>71</v>
      </c>
      <c r="X3" s="119" t="s">
        <v>72</v>
      </c>
      <c r="Y3" s="153"/>
      <c r="Z3" s="154" t="s">
        <v>76</v>
      </c>
      <c r="AA3" s="154" t="s">
        <v>77</v>
      </c>
      <c r="AB3" s="154" t="s">
        <v>78</v>
      </c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65"/>
      <c r="AO3" s="166" t="s">
        <v>250</v>
      </c>
      <c r="AP3" s="56" t="s">
        <v>251</v>
      </c>
      <c r="AQ3" s="167" t="s">
        <v>252</v>
      </c>
      <c r="AR3" s="56" t="s">
        <v>253</v>
      </c>
      <c r="AS3" s="56" t="s">
        <v>254</v>
      </c>
      <c r="AT3" s="56" t="s">
        <v>255</v>
      </c>
      <c r="AU3" s="56" t="s">
        <v>256</v>
      </c>
      <c r="AV3" s="56" t="s">
        <v>257</v>
      </c>
      <c r="AW3" s="56" t="s">
        <v>258</v>
      </c>
      <c r="AX3" s="56" t="s">
        <v>259</v>
      </c>
      <c r="AY3" s="56" t="s">
        <v>260</v>
      </c>
      <c r="AZ3" s="56" t="s">
        <v>261</v>
      </c>
      <c r="BA3" s="56" t="s">
        <v>262</v>
      </c>
      <c r="BB3" s="56" t="s">
        <v>263</v>
      </c>
      <c r="BC3" s="56" t="s">
        <v>236</v>
      </c>
      <c r="BD3" s="176" t="s">
        <v>203</v>
      </c>
      <c r="BE3" s="74"/>
      <c r="BF3" s="74"/>
    </row>
    <row r="4" ht="18" customHeight="1" spans="2:58">
      <c r="B4" s="34"/>
      <c r="C4" s="35"/>
      <c r="D4" s="36"/>
      <c r="E4" s="120"/>
      <c r="F4" s="121"/>
      <c r="G4" s="121"/>
      <c r="H4" s="121"/>
      <c r="I4" s="121"/>
      <c r="J4" s="121"/>
      <c r="K4" s="121"/>
      <c r="L4" s="144"/>
      <c r="M4" s="120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53"/>
      <c r="Z4" s="154"/>
      <c r="AA4" s="154"/>
      <c r="AB4" s="154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65"/>
      <c r="AO4" s="166"/>
      <c r="AP4" s="56"/>
      <c r="AQ4" s="167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6"/>
      <c r="BD4" s="176"/>
      <c r="BE4" s="74"/>
      <c r="BF4" s="74"/>
    </row>
    <row r="5" s="20" customFormat="1" ht="24" customHeight="1" spans="2:62">
      <c r="B5" s="42" t="s">
        <v>81</v>
      </c>
      <c r="C5" s="122" t="s">
        <v>82</v>
      </c>
      <c r="D5" s="43" t="s">
        <v>83</v>
      </c>
      <c r="E5" s="123">
        <v>0</v>
      </c>
      <c r="F5" s="135"/>
      <c r="G5" s="136"/>
      <c r="H5" s="136"/>
      <c r="I5" s="135"/>
      <c r="J5" s="136"/>
      <c r="K5" s="136"/>
      <c r="L5" s="145">
        <f t="shared" ref="L5:L26" si="0">SUM(I5:K5)+E5</f>
        <v>0</v>
      </c>
      <c r="M5" s="9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56"/>
      <c r="Z5" s="162"/>
      <c r="AA5" s="79"/>
      <c r="AB5" s="79" t="s">
        <v>84</v>
      </c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168"/>
      <c r="AO5" s="169">
        <f>SUM(L5:X5)</f>
        <v>0</v>
      </c>
      <c r="AP5" s="170">
        <f>SUM(AC5:AN5)</f>
        <v>0</v>
      </c>
      <c r="AQ5" s="171">
        <f t="shared" ref="AQ5:AQ27" si="1">AO5-AP5</f>
        <v>0</v>
      </c>
      <c r="AR5" s="172" t="str">
        <f t="shared" ref="AR5:AR17" si="2">IF(AQ5-SUM(M5:X5)+K5&gt;0,AQ5-SUM(M5:X5)+K5,"")</f>
        <v/>
      </c>
      <c r="AS5" s="172" t="str">
        <f t="shared" ref="AS5:AS17" si="3">IF(AQ5-SUM(M5:X5)&gt;0,AQ5-SUM(M5:X5),"")</f>
        <v/>
      </c>
      <c r="AT5" s="173" t="str">
        <f t="shared" ref="AT5:AT17" si="4">IF(AQ5-SUM(N5:X5)&gt;0,AQ5-SUM(N5:X5),"")</f>
        <v/>
      </c>
      <c r="AU5" s="108" t="str">
        <f>IF(AQ5-SUM(O5:X5)&gt;0,AQ5-SUM(O5:X5),"")</f>
        <v/>
      </c>
      <c r="AV5" s="108" t="str">
        <f t="shared" ref="AV5:AV17" si="5">IF(AQ5-SUM(P5:X5)&gt;0,AQ5-SUM(P5:X5),"")</f>
        <v/>
      </c>
      <c r="AW5" s="108" t="str">
        <f>IF(AQ5-SUM(Q5:Y5)&gt;0,AQ5-SUM(Q5:Y5),"")</f>
        <v/>
      </c>
      <c r="AX5" s="108"/>
      <c r="AY5" s="108"/>
      <c r="AZ5" s="108"/>
      <c r="BA5" s="108"/>
      <c r="BB5" s="108"/>
      <c r="BC5" s="108"/>
      <c r="BD5" s="177" t="s">
        <v>85</v>
      </c>
      <c r="BE5" s="178"/>
      <c r="BF5" s="179"/>
      <c r="BG5" s="180">
        <f>VLOOKUP(D5,Sheet3!D:O,12,FALSE)</f>
        <v>0</v>
      </c>
      <c r="BH5" s="180">
        <f t="shared" ref="BH5:BH53" si="6">AQ5-BG5</f>
        <v>0</v>
      </c>
      <c r="BI5" s="20" t="s">
        <v>83</v>
      </c>
      <c r="BJ5" s="20">
        <f>SUM(M5:U5)</f>
        <v>0</v>
      </c>
    </row>
    <row r="6" s="20" customFormat="1" ht="24" customHeight="1" spans="1:62">
      <c r="A6" s="132"/>
      <c r="B6" s="42" t="s">
        <v>81</v>
      </c>
      <c r="C6" s="122" t="s">
        <v>86</v>
      </c>
      <c r="D6" s="43" t="s">
        <v>87</v>
      </c>
      <c r="E6" s="123">
        <v>60229</v>
      </c>
      <c r="F6" s="135">
        <v>60229</v>
      </c>
      <c r="G6" s="136"/>
      <c r="H6" s="136"/>
      <c r="I6" s="135"/>
      <c r="J6" s="136"/>
      <c r="K6" s="136"/>
      <c r="L6" s="145">
        <f t="shared" si="0"/>
        <v>60229</v>
      </c>
      <c r="M6" s="9"/>
      <c r="N6" s="124"/>
      <c r="O6" s="124"/>
      <c r="P6" s="124"/>
      <c r="Q6" s="124"/>
      <c r="R6" s="124"/>
      <c r="S6" s="150"/>
      <c r="T6" s="150"/>
      <c r="U6" s="124"/>
      <c r="V6" s="124"/>
      <c r="W6" s="124"/>
      <c r="X6" s="124"/>
      <c r="Y6" s="156"/>
      <c r="Z6" s="79"/>
      <c r="AA6" s="79"/>
      <c r="AB6" s="79" t="s">
        <v>84</v>
      </c>
      <c r="AC6" s="7"/>
      <c r="AD6" s="7"/>
      <c r="AE6" s="7"/>
      <c r="AF6" s="7">
        <v>60229</v>
      </c>
      <c r="AG6" s="7"/>
      <c r="AH6" s="7"/>
      <c r="AI6" s="7"/>
      <c r="AJ6" s="7"/>
      <c r="AK6" s="7"/>
      <c r="AL6" s="7"/>
      <c r="AM6" s="7"/>
      <c r="AN6" s="168"/>
      <c r="AO6" s="169">
        <f t="shared" ref="AO6:AO35" si="7">SUM(L6:X6)</f>
        <v>60229</v>
      </c>
      <c r="AP6" s="170">
        <f t="shared" ref="AP6:AP36" si="8">SUM(AC6:AN6)</f>
        <v>60229</v>
      </c>
      <c r="AQ6" s="171">
        <f t="shared" si="1"/>
        <v>0</v>
      </c>
      <c r="AR6" s="172" t="str">
        <f t="shared" si="2"/>
        <v/>
      </c>
      <c r="AS6" s="172" t="str">
        <f t="shared" si="3"/>
        <v/>
      </c>
      <c r="AT6" s="173" t="str">
        <f t="shared" si="4"/>
        <v/>
      </c>
      <c r="AU6" s="108" t="str">
        <f t="shared" ref="AU6:AU26" si="9">IF(AQ6-SUM(O6:X6)&gt;0,AQ6-SUM(O6:X6),"")</f>
        <v/>
      </c>
      <c r="AV6" s="108" t="str">
        <f t="shared" si="5"/>
        <v/>
      </c>
      <c r="AW6" s="108" t="str">
        <f>IF(AQ6-SUM(Q6:Y6)&gt;0,AQ6-SUM(Q6:Y6),"")</f>
        <v/>
      </c>
      <c r="AX6" s="108"/>
      <c r="AY6" s="108"/>
      <c r="AZ6" s="108"/>
      <c r="BA6" s="108"/>
      <c r="BB6" s="108"/>
      <c r="BC6" s="108"/>
      <c r="BD6" s="177" t="s">
        <v>85</v>
      </c>
      <c r="BE6" s="178"/>
      <c r="BF6" s="179"/>
      <c r="BG6" s="180">
        <f>VLOOKUP(D6,Sheet3!D:O,12,FALSE)</f>
        <v>0</v>
      </c>
      <c r="BH6" s="180">
        <f t="shared" si="6"/>
        <v>0</v>
      </c>
      <c r="BI6" s="20" t="s">
        <v>87</v>
      </c>
      <c r="BJ6" s="20">
        <f t="shared" ref="BJ6:BJ53" si="10">SUM(M6:U6)</f>
        <v>0</v>
      </c>
    </row>
    <row r="7" s="20" customFormat="1" ht="24" customHeight="1" spans="2:62">
      <c r="B7" s="42" t="s">
        <v>81</v>
      </c>
      <c r="C7" s="122" t="s">
        <v>88</v>
      </c>
      <c r="D7" s="43" t="s">
        <v>89</v>
      </c>
      <c r="E7" s="123">
        <v>0</v>
      </c>
      <c r="F7" s="135"/>
      <c r="G7" s="136"/>
      <c r="H7" s="136"/>
      <c r="I7" s="135"/>
      <c r="J7" s="136"/>
      <c r="K7" s="136"/>
      <c r="L7" s="145">
        <f t="shared" si="0"/>
        <v>0</v>
      </c>
      <c r="M7" s="9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56"/>
      <c r="Z7" s="79"/>
      <c r="AA7" s="79"/>
      <c r="AB7" s="79" t="s">
        <v>84</v>
      </c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168"/>
      <c r="AO7" s="169">
        <f t="shared" si="7"/>
        <v>0</v>
      </c>
      <c r="AP7" s="170">
        <f t="shared" si="8"/>
        <v>0</v>
      </c>
      <c r="AQ7" s="171">
        <f t="shared" si="1"/>
        <v>0</v>
      </c>
      <c r="AR7" s="172" t="str">
        <f t="shared" si="2"/>
        <v/>
      </c>
      <c r="AS7" s="172" t="str">
        <f t="shared" si="3"/>
        <v/>
      </c>
      <c r="AT7" s="173" t="str">
        <f t="shared" si="4"/>
        <v/>
      </c>
      <c r="AU7" s="108" t="str">
        <f t="shared" si="9"/>
        <v/>
      </c>
      <c r="AV7" s="108" t="str">
        <f t="shared" si="5"/>
        <v/>
      </c>
      <c r="AW7" s="108" t="str">
        <f>IF(AQ7-SUM(Q7:Y7)&gt;0,AQ7-SUM(Q7:Y7),"")</f>
        <v/>
      </c>
      <c r="AX7" s="108"/>
      <c r="AY7" s="108"/>
      <c r="AZ7" s="108"/>
      <c r="BA7" s="108"/>
      <c r="BB7" s="108"/>
      <c r="BC7" s="108"/>
      <c r="BD7" s="177" t="s">
        <v>85</v>
      </c>
      <c r="BE7" s="178"/>
      <c r="BF7" s="179"/>
      <c r="BG7" s="180">
        <f>VLOOKUP(D7,Sheet3!D:O,12,FALSE)</f>
        <v>0</v>
      </c>
      <c r="BH7" s="180">
        <f t="shared" si="6"/>
        <v>0</v>
      </c>
      <c r="BI7" s="20" t="s">
        <v>89</v>
      </c>
      <c r="BJ7" s="20">
        <f t="shared" si="10"/>
        <v>0</v>
      </c>
    </row>
    <row r="8" s="20" customFormat="1" ht="24" customHeight="1" spans="2:62">
      <c r="B8" s="42" t="s">
        <v>81</v>
      </c>
      <c r="C8" s="122" t="s">
        <v>90</v>
      </c>
      <c r="D8" s="43" t="s">
        <v>91</v>
      </c>
      <c r="E8" s="123">
        <v>267449.5</v>
      </c>
      <c r="F8" s="135">
        <v>266774.92</v>
      </c>
      <c r="G8" s="136"/>
      <c r="H8" s="136"/>
      <c r="I8" s="135"/>
      <c r="J8" s="136"/>
      <c r="K8" s="136"/>
      <c r="L8" s="145">
        <f t="shared" si="0"/>
        <v>267449.5</v>
      </c>
      <c r="M8" s="9">
        <v>63967.04</v>
      </c>
      <c r="N8" s="124">
        <v>25764</v>
      </c>
      <c r="O8" s="124">
        <v>27572</v>
      </c>
      <c r="P8" s="124"/>
      <c r="Q8" s="124">
        <f>5424+17138.94</f>
        <v>22562.94</v>
      </c>
      <c r="R8" s="124">
        <v>13560</v>
      </c>
      <c r="S8" s="124"/>
      <c r="T8" s="124"/>
      <c r="U8" s="124">
        <f>49381+35595</f>
        <v>84976</v>
      </c>
      <c r="V8" s="124">
        <v>19097</v>
      </c>
      <c r="W8" s="124"/>
      <c r="X8" s="124"/>
      <c r="Y8" s="156"/>
      <c r="Z8" s="79"/>
      <c r="AA8" s="79"/>
      <c r="AB8" s="79" t="s">
        <v>84</v>
      </c>
      <c r="AC8" s="7">
        <v>100000</v>
      </c>
      <c r="AD8" s="7"/>
      <c r="AE8" s="7">
        <v>50000</v>
      </c>
      <c r="AF8" s="7">
        <v>100000</v>
      </c>
      <c r="AG8" s="7">
        <v>100000</v>
      </c>
      <c r="AH8" s="7"/>
      <c r="AI8" s="7"/>
      <c r="AJ8" s="7">
        <v>34752.54</v>
      </c>
      <c r="AK8" s="7">
        <v>22562.94</v>
      </c>
      <c r="AL8" s="7"/>
      <c r="AM8" s="7"/>
      <c r="AN8" s="168"/>
      <c r="AO8" s="169">
        <f t="shared" si="7"/>
        <v>524948.48</v>
      </c>
      <c r="AP8" s="170">
        <f t="shared" si="8"/>
        <v>407315.48</v>
      </c>
      <c r="AQ8" s="171">
        <f t="shared" si="1"/>
        <v>117633</v>
      </c>
      <c r="AR8" s="172" t="str">
        <f t="shared" si="2"/>
        <v/>
      </c>
      <c r="AS8" s="172" t="str">
        <f t="shared" si="3"/>
        <v/>
      </c>
      <c r="AT8" s="173" t="str">
        <f t="shared" si="4"/>
        <v/>
      </c>
      <c r="AU8" s="108" t="str">
        <f t="shared" si="9"/>
        <v/>
      </c>
      <c r="AV8" s="108" t="str">
        <f t="shared" si="5"/>
        <v/>
      </c>
      <c r="AW8" s="108" t="str">
        <f>IF($AQ8-SUM(Q8:$X8)&gt;0,$AQ8-SUM(Q8:$X8),"")</f>
        <v/>
      </c>
      <c r="AX8" s="108" t="str">
        <f>IF($AQ8-SUM(R8:$X8)&gt;0,$AQ8-SUM(R8:$X8),"")</f>
        <v/>
      </c>
      <c r="AY8" s="108">
        <f>IF($AQ8-SUM(S8:$X8)&gt;0,$AQ8-SUM(S8:$X8),"")</f>
        <v>13560</v>
      </c>
      <c r="AZ8" s="108">
        <f>IF($AQ8-SUM(T8:$X8)&gt;0,$AQ8-SUM(T8:$X8),"")</f>
        <v>13560</v>
      </c>
      <c r="BA8" s="108">
        <f>IF($AQ8-SUM(U8:$X8)&gt;0,$AQ8-SUM(U8:$X8),"")</f>
        <v>13560</v>
      </c>
      <c r="BB8" s="108">
        <f>IF($AQ8-SUM(V8:$X8)&gt;0,$AQ8-SUM(V8:$X8),"")</f>
        <v>98536</v>
      </c>
      <c r="BC8" s="108">
        <f>IF($AQ8-SUM(W8:$X8)&gt;0,$AQ8-SUM(W8:$X8),"")</f>
        <v>117633</v>
      </c>
      <c r="BD8" s="177" t="s">
        <v>85</v>
      </c>
      <c r="BE8" s="178"/>
      <c r="BF8" s="179"/>
      <c r="BG8" s="180">
        <f>VLOOKUP(D8,Sheet3!D:O,12,FALSE)</f>
        <v>188371</v>
      </c>
      <c r="BH8" s="180">
        <f t="shared" si="6"/>
        <v>-70738</v>
      </c>
      <c r="BI8" s="20" t="s">
        <v>91</v>
      </c>
      <c r="BJ8" s="20">
        <f t="shared" si="10"/>
        <v>238401.98</v>
      </c>
    </row>
    <row r="9" s="20" customFormat="1" ht="24" customHeight="1" spans="2:62">
      <c r="B9" s="42" t="s">
        <v>81</v>
      </c>
      <c r="C9" s="122" t="s">
        <v>92</v>
      </c>
      <c r="D9" s="43" t="s">
        <v>93</v>
      </c>
      <c r="E9" s="123">
        <v>0</v>
      </c>
      <c r="F9" s="135"/>
      <c r="G9" s="136"/>
      <c r="H9" s="136"/>
      <c r="I9" s="135"/>
      <c r="J9" s="136"/>
      <c r="K9" s="136"/>
      <c r="L9" s="145">
        <f t="shared" si="0"/>
        <v>0</v>
      </c>
      <c r="M9" s="9"/>
      <c r="N9" s="124"/>
      <c r="O9" s="124">
        <f>5450.36+5451.12+1817.04</f>
        <v>12718.52</v>
      </c>
      <c r="P9" s="124"/>
      <c r="Q9" s="124">
        <v>7268.16</v>
      </c>
      <c r="R9" s="124">
        <v>8782.36</v>
      </c>
      <c r="S9" s="124"/>
      <c r="T9" s="124">
        <v>19836.02</v>
      </c>
      <c r="U9" s="124">
        <v>5451.12</v>
      </c>
      <c r="V9" s="124">
        <v>4542.6</v>
      </c>
      <c r="W9" s="124">
        <v>4542.6</v>
      </c>
      <c r="X9" s="124">
        <v>10447.98</v>
      </c>
      <c r="Y9" s="156"/>
      <c r="Z9" s="79"/>
      <c r="AA9" s="79"/>
      <c r="AB9" s="79" t="s">
        <v>84</v>
      </c>
      <c r="AC9" s="7"/>
      <c r="AD9" s="7"/>
      <c r="AE9" s="7"/>
      <c r="AF9" s="7"/>
      <c r="AG9" s="7"/>
      <c r="AH9" s="7"/>
      <c r="AI9" s="7"/>
      <c r="AJ9" s="7">
        <v>12718.52</v>
      </c>
      <c r="AK9" s="7">
        <f>7268.16+8782.36</f>
        <v>16050.52</v>
      </c>
      <c r="AL9" s="7"/>
      <c r="AM9" s="7"/>
      <c r="AN9" s="168">
        <v>19836.02</v>
      </c>
      <c r="AO9" s="169">
        <f t="shared" si="7"/>
        <v>73589.36</v>
      </c>
      <c r="AP9" s="170">
        <f t="shared" si="8"/>
        <v>48605.06</v>
      </c>
      <c r="AQ9" s="171">
        <f t="shared" si="1"/>
        <v>24984.3</v>
      </c>
      <c r="AR9" s="172" t="str">
        <f t="shared" si="2"/>
        <v/>
      </c>
      <c r="AS9" s="172" t="str">
        <f t="shared" si="3"/>
        <v/>
      </c>
      <c r="AT9" s="173" t="str">
        <f t="shared" si="4"/>
        <v/>
      </c>
      <c r="AU9" s="108" t="str">
        <f t="shared" si="9"/>
        <v/>
      </c>
      <c r="AV9" s="108" t="str">
        <f t="shared" si="5"/>
        <v/>
      </c>
      <c r="AW9" s="108" t="str">
        <f>IF($AQ9-SUM(Q9:$X9)&gt;0,$AQ9-SUM(Q9:$X9),"")</f>
        <v/>
      </c>
      <c r="AX9" s="108" t="str">
        <f>IF($AQ9-SUM(R9:$X9)&gt;0,$AQ9-SUM(R9:$X9),"")</f>
        <v/>
      </c>
      <c r="AY9" s="108" t="str">
        <f>IF($AQ9-SUM(S9:$X9)&gt;0,$AQ9-SUM(S9:$X9),"")</f>
        <v/>
      </c>
      <c r="AZ9" s="108" t="str">
        <f>IF($AQ9-SUM(T9:$X9)&gt;0,$AQ9-SUM(T9:$X9),"")</f>
        <v/>
      </c>
      <c r="BA9" s="108" t="str">
        <f>IF($AQ9-SUM(U9:$X9)&gt;0,$AQ9-SUM(U9:$X9),"")</f>
        <v/>
      </c>
      <c r="BB9" s="108">
        <f>IF($AQ9-SUM(V9:$X9)&gt;0,$AQ9-SUM(V9:$X9),"")</f>
        <v>5451.12</v>
      </c>
      <c r="BC9" s="108">
        <f>IF($AQ9-SUM(W9:$X9)&gt;0,$AQ9-SUM(W9:$X9),"")</f>
        <v>9993.72</v>
      </c>
      <c r="BD9" s="177" t="s">
        <v>85</v>
      </c>
      <c r="BE9" s="178"/>
      <c r="BF9" s="179"/>
      <c r="BG9" s="180">
        <f>VLOOKUP(D9,Sheet3!D:O,12,FALSE)</f>
        <v>49503.04</v>
      </c>
      <c r="BH9" s="180">
        <f t="shared" si="6"/>
        <v>-24518.74</v>
      </c>
      <c r="BI9" s="20" t="s">
        <v>93</v>
      </c>
      <c r="BJ9" s="20">
        <f t="shared" si="10"/>
        <v>54056.18</v>
      </c>
    </row>
    <row r="10" s="20" customFormat="1" ht="24" customHeight="1" spans="2:62">
      <c r="B10" s="42" t="s">
        <v>81</v>
      </c>
      <c r="C10" s="122" t="s">
        <v>94</v>
      </c>
      <c r="D10" s="43" t="s">
        <v>95</v>
      </c>
      <c r="E10" s="123">
        <v>0</v>
      </c>
      <c r="F10" s="135"/>
      <c r="G10" s="136"/>
      <c r="H10" s="136"/>
      <c r="I10" s="135"/>
      <c r="J10" s="136"/>
      <c r="K10" s="136"/>
      <c r="L10" s="145">
        <f t="shared" si="0"/>
        <v>0</v>
      </c>
      <c r="M10" s="9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56"/>
      <c r="Z10" s="79"/>
      <c r="AA10" s="79"/>
      <c r="AB10" s="79" t="s">
        <v>84</v>
      </c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168"/>
      <c r="AO10" s="169">
        <f t="shared" si="7"/>
        <v>0</v>
      </c>
      <c r="AP10" s="170">
        <f t="shared" si="8"/>
        <v>0</v>
      </c>
      <c r="AQ10" s="171">
        <f t="shared" si="1"/>
        <v>0</v>
      </c>
      <c r="AR10" s="172" t="str">
        <f t="shared" si="2"/>
        <v/>
      </c>
      <c r="AS10" s="172" t="str">
        <f t="shared" si="3"/>
        <v/>
      </c>
      <c r="AT10" s="173" t="str">
        <f t="shared" si="4"/>
        <v/>
      </c>
      <c r="AU10" s="108" t="str">
        <f t="shared" si="9"/>
        <v/>
      </c>
      <c r="AV10" s="108" t="str">
        <f t="shared" si="5"/>
        <v/>
      </c>
      <c r="AW10" s="108" t="str">
        <f>IF(AQ10-SUM(Q10:Y10)&gt;0,AQ10-SUM(Q10:Y10),"")</f>
        <v/>
      </c>
      <c r="AX10" s="108"/>
      <c r="AY10" s="108"/>
      <c r="AZ10" s="108"/>
      <c r="BA10" s="108"/>
      <c r="BB10" s="108"/>
      <c r="BC10" s="108"/>
      <c r="BD10" s="177" t="s">
        <v>96</v>
      </c>
      <c r="BE10" s="178"/>
      <c r="BF10" s="179"/>
      <c r="BG10" s="180">
        <f>VLOOKUP(D10,Sheet3!D:O,12,FALSE)</f>
        <v>0</v>
      </c>
      <c r="BH10" s="180">
        <f t="shared" si="6"/>
        <v>0</v>
      </c>
      <c r="BI10" s="20" t="s">
        <v>95</v>
      </c>
      <c r="BJ10" s="20">
        <f t="shared" si="10"/>
        <v>0</v>
      </c>
    </row>
    <row r="11" s="20" customFormat="1" ht="24" customHeight="1" spans="2:62">
      <c r="B11" s="42" t="s">
        <v>81</v>
      </c>
      <c r="C11" s="122" t="s">
        <v>97</v>
      </c>
      <c r="D11" s="43" t="s">
        <v>98</v>
      </c>
      <c r="E11" s="123">
        <v>26287.46</v>
      </c>
      <c r="F11" s="135">
        <v>16012.1</v>
      </c>
      <c r="G11" s="136"/>
      <c r="H11" s="136"/>
      <c r="I11" s="135"/>
      <c r="J11" s="136"/>
      <c r="K11" s="136"/>
      <c r="L11" s="145">
        <f t="shared" si="0"/>
        <v>26287.46</v>
      </c>
      <c r="M11" s="9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56"/>
      <c r="Z11" s="79"/>
      <c r="AA11" s="79"/>
      <c r="AB11" s="79" t="s">
        <v>84</v>
      </c>
      <c r="AC11" s="7"/>
      <c r="AD11" s="7"/>
      <c r="AE11" s="7">
        <v>26287.46</v>
      </c>
      <c r="AF11" s="7"/>
      <c r="AG11" s="7"/>
      <c r="AH11" s="7"/>
      <c r="AI11" s="7"/>
      <c r="AJ11" s="7"/>
      <c r="AK11" s="7"/>
      <c r="AL11" s="7"/>
      <c r="AM11" s="7"/>
      <c r="AN11" s="168"/>
      <c r="AO11" s="169">
        <f t="shared" si="7"/>
        <v>26287.46</v>
      </c>
      <c r="AP11" s="170">
        <f t="shared" si="8"/>
        <v>26287.46</v>
      </c>
      <c r="AQ11" s="171">
        <f t="shared" si="1"/>
        <v>0</v>
      </c>
      <c r="AR11" s="172" t="str">
        <f t="shared" si="2"/>
        <v/>
      </c>
      <c r="AS11" s="172" t="str">
        <f t="shared" si="3"/>
        <v/>
      </c>
      <c r="AT11" s="173" t="str">
        <f t="shared" si="4"/>
        <v/>
      </c>
      <c r="AU11" s="108" t="str">
        <f t="shared" si="9"/>
        <v/>
      </c>
      <c r="AV11" s="108" t="str">
        <f t="shared" si="5"/>
        <v/>
      </c>
      <c r="AW11" s="108" t="str">
        <f>IF(AQ11-SUM(Q11:Y11)&gt;0,AQ11-SUM(Q11:Y11),"")</f>
        <v/>
      </c>
      <c r="AX11" s="108"/>
      <c r="AY11" s="108"/>
      <c r="AZ11" s="108"/>
      <c r="BA11" s="108"/>
      <c r="BB11" s="108"/>
      <c r="BC11" s="108"/>
      <c r="BD11" s="177" t="s">
        <v>85</v>
      </c>
      <c r="BE11" s="178"/>
      <c r="BF11" s="179"/>
      <c r="BG11" s="180">
        <f>VLOOKUP(D11,Sheet3!D:O,12,FALSE)</f>
        <v>4520</v>
      </c>
      <c r="BH11" s="180">
        <f t="shared" si="6"/>
        <v>-4520</v>
      </c>
      <c r="BI11" s="20" t="s">
        <v>98</v>
      </c>
      <c r="BJ11" s="20">
        <f t="shared" si="10"/>
        <v>0</v>
      </c>
    </row>
    <row r="12" s="20" customFormat="1" ht="24" customHeight="1" spans="2:62">
      <c r="B12" s="42" t="s">
        <v>81</v>
      </c>
      <c r="C12" s="122" t="s">
        <v>99</v>
      </c>
      <c r="D12" s="43" t="s">
        <v>100</v>
      </c>
      <c r="E12" s="123">
        <v>0</v>
      </c>
      <c r="F12" s="135"/>
      <c r="G12" s="136"/>
      <c r="H12" s="136"/>
      <c r="I12" s="135"/>
      <c r="J12" s="136"/>
      <c r="K12" s="136"/>
      <c r="L12" s="145">
        <f t="shared" si="0"/>
        <v>0</v>
      </c>
      <c r="M12" s="9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56"/>
      <c r="Z12" s="79"/>
      <c r="AA12" s="79"/>
      <c r="AB12" s="79" t="s">
        <v>84</v>
      </c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168"/>
      <c r="AO12" s="169">
        <f t="shared" si="7"/>
        <v>0</v>
      </c>
      <c r="AP12" s="170">
        <f t="shared" si="8"/>
        <v>0</v>
      </c>
      <c r="AQ12" s="171">
        <f t="shared" si="1"/>
        <v>0</v>
      </c>
      <c r="AR12" s="172" t="str">
        <f t="shared" si="2"/>
        <v/>
      </c>
      <c r="AS12" s="172" t="str">
        <f t="shared" si="3"/>
        <v/>
      </c>
      <c r="AT12" s="173" t="str">
        <f t="shared" si="4"/>
        <v/>
      </c>
      <c r="AU12" s="108" t="str">
        <f t="shared" si="9"/>
        <v/>
      </c>
      <c r="AV12" s="108" t="str">
        <f t="shared" si="5"/>
        <v/>
      </c>
      <c r="AW12" s="108" t="str">
        <f>IF(AQ12-SUM(Q12:Y12)&gt;0,AQ12-SUM(Q12:Y12),"")</f>
        <v/>
      </c>
      <c r="AX12" s="108"/>
      <c r="AY12" s="108"/>
      <c r="AZ12" s="108"/>
      <c r="BA12" s="108"/>
      <c r="BB12" s="108"/>
      <c r="BC12" s="108"/>
      <c r="BD12" s="177" t="s">
        <v>101</v>
      </c>
      <c r="BE12" s="178"/>
      <c r="BF12" s="179"/>
      <c r="BG12" s="180">
        <f>VLOOKUP(D12,Sheet3!D:O,12,FALSE)</f>
        <v>0</v>
      </c>
      <c r="BH12" s="180">
        <f t="shared" si="6"/>
        <v>0</v>
      </c>
      <c r="BI12" s="20" t="s">
        <v>100</v>
      </c>
      <c r="BJ12" s="20">
        <f t="shared" si="10"/>
        <v>0</v>
      </c>
    </row>
    <row r="13" s="20" customFormat="1" ht="24" customHeight="1" spans="2:62">
      <c r="B13" s="42" t="s">
        <v>81</v>
      </c>
      <c r="C13" s="122" t="s">
        <v>105</v>
      </c>
      <c r="D13" s="43" t="s">
        <v>106</v>
      </c>
      <c r="E13" s="123">
        <v>238049.14</v>
      </c>
      <c r="F13" s="135">
        <v>135057.46</v>
      </c>
      <c r="G13" s="136"/>
      <c r="H13" s="136">
        <v>19960.32</v>
      </c>
      <c r="I13" s="135"/>
      <c r="J13" s="136"/>
      <c r="K13" s="136"/>
      <c r="L13" s="145">
        <f t="shared" si="0"/>
        <v>238049.14</v>
      </c>
      <c r="M13" s="9">
        <v>31188</v>
      </c>
      <c r="N13" s="124"/>
      <c r="O13" s="124"/>
      <c r="P13" s="124">
        <v>47405.76</v>
      </c>
      <c r="Q13" s="124">
        <v>28069.2</v>
      </c>
      <c r="R13" s="124">
        <v>16217.76</v>
      </c>
      <c r="S13" s="124">
        <v>24950.4</v>
      </c>
      <c r="T13" s="124">
        <v>12475.2</v>
      </c>
      <c r="U13" s="124">
        <v>14970.24</v>
      </c>
      <c r="V13" s="124">
        <v>24950.4</v>
      </c>
      <c r="W13" s="124"/>
      <c r="X13" s="124">
        <v>31185.92</v>
      </c>
      <c r="Y13" s="156"/>
      <c r="Z13" s="79"/>
      <c r="AA13" s="79"/>
      <c r="AB13" s="79" t="s">
        <v>84</v>
      </c>
      <c r="AC13" s="7">
        <v>150000</v>
      </c>
      <c r="AD13" s="7"/>
      <c r="AE13" s="7">
        <v>100000</v>
      </c>
      <c r="AF13" s="7">
        <v>19237.14</v>
      </c>
      <c r="AG13" s="7"/>
      <c r="AH13" s="7"/>
      <c r="AI13" s="7"/>
      <c r="AJ13" s="7">
        <v>47405.76</v>
      </c>
      <c r="AK13" s="7">
        <f>28069.2+16217.76</f>
        <v>44286.96</v>
      </c>
      <c r="AL13" s="7"/>
      <c r="AM13" s="7"/>
      <c r="AN13" s="168">
        <v>37425.6</v>
      </c>
      <c r="AO13" s="169">
        <f t="shared" si="7"/>
        <v>469462.02</v>
      </c>
      <c r="AP13" s="170">
        <f t="shared" si="8"/>
        <v>398355.46</v>
      </c>
      <c r="AQ13" s="171">
        <f t="shared" si="1"/>
        <v>71106.5600000001</v>
      </c>
      <c r="AR13" s="172" t="str">
        <f t="shared" si="2"/>
        <v/>
      </c>
      <c r="AS13" s="172" t="str">
        <f t="shared" si="3"/>
        <v/>
      </c>
      <c r="AT13" s="173" t="str">
        <f t="shared" si="4"/>
        <v/>
      </c>
      <c r="AU13" s="108" t="str">
        <f t="shared" si="9"/>
        <v/>
      </c>
      <c r="AV13" s="108" t="str">
        <f t="shared" si="5"/>
        <v/>
      </c>
      <c r="AW13" s="108" t="str">
        <f>IF($AQ13-SUM(Q13:$X13)&gt;0,$AQ13-SUM(Q13:$X13),"")</f>
        <v/>
      </c>
      <c r="AX13" s="108" t="str">
        <f>IF($AQ13-SUM(R13:$X13)&gt;0,$AQ13-SUM(R13:$X13),"")</f>
        <v/>
      </c>
      <c r="AY13" s="108" t="str">
        <f>IF($AQ13-SUM(S13:$X13)&gt;0,$AQ13-SUM(S13:$X13),"")</f>
        <v/>
      </c>
      <c r="AZ13" s="108" t="str">
        <f>IF($AQ13-SUM(T13:$X13)&gt;0,$AQ13-SUM(T13:$X13),"")</f>
        <v/>
      </c>
      <c r="BA13" s="108">
        <f>IF($AQ13-SUM(U13:$X13)&gt;0,$AQ13-SUM(U13:$X13),"")</f>
        <v>5.82076609134674e-11</v>
      </c>
      <c r="BB13" s="108">
        <f>IF($AQ13-SUM(V13:$X13)&gt;0,$AQ13-SUM(V13:$X13),"")</f>
        <v>14970.2400000001</v>
      </c>
      <c r="BC13" s="108">
        <f>IF($AQ13-SUM(W13:$X13)&gt;0,$AQ13-SUM(W13:$X13),"")</f>
        <v>39920.6400000001</v>
      </c>
      <c r="BD13" s="177" t="s">
        <v>85</v>
      </c>
      <c r="BE13" s="178"/>
      <c r="BF13" s="179"/>
      <c r="BG13" s="180">
        <f>VLOOKUP(D13,Sheet3!D:O,12,FALSE)</f>
        <v>310820.26</v>
      </c>
      <c r="BH13" s="180">
        <f t="shared" si="6"/>
        <v>-239713.7</v>
      </c>
      <c r="BI13" s="20" t="s">
        <v>106</v>
      </c>
      <c r="BJ13" s="20">
        <f t="shared" si="10"/>
        <v>175276.56</v>
      </c>
    </row>
    <row r="14" s="20" customFormat="1" ht="24" customHeight="1" spans="2:62">
      <c r="B14" s="42" t="s">
        <v>81</v>
      </c>
      <c r="C14" s="122" t="s">
        <v>107</v>
      </c>
      <c r="D14" s="43" t="s">
        <v>108</v>
      </c>
      <c r="E14" s="123">
        <v>329800.91</v>
      </c>
      <c r="F14" s="135">
        <v>219867.26</v>
      </c>
      <c r="G14" s="136">
        <v>54966.82</v>
      </c>
      <c r="H14" s="136">
        <v>164900.45</v>
      </c>
      <c r="I14" s="135"/>
      <c r="J14" s="136"/>
      <c r="K14" s="136"/>
      <c r="L14" s="145">
        <f t="shared" si="0"/>
        <v>329800.91</v>
      </c>
      <c r="M14" s="9">
        <v>274834.08</v>
      </c>
      <c r="N14" s="124">
        <v>164900.45</v>
      </c>
      <c r="O14" s="124">
        <v>164900.45</v>
      </c>
      <c r="P14" s="124">
        <v>219867.26</v>
      </c>
      <c r="Q14" s="124">
        <v>54954.09</v>
      </c>
      <c r="R14" s="124">
        <v>159403.77</v>
      </c>
      <c r="S14" s="124">
        <v>219867.26</v>
      </c>
      <c r="T14" s="124">
        <v>164900.45</v>
      </c>
      <c r="U14" s="124">
        <v>164900.45</v>
      </c>
      <c r="V14" s="124">
        <v>164900.45</v>
      </c>
      <c r="W14" s="124">
        <v>219867.26</v>
      </c>
      <c r="X14" s="124">
        <v>219867.26</v>
      </c>
      <c r="Y14" s="156"/>
      <c r="Z14" s="79"/>
      <c r="AA14" s="79"/>
      <c r="AB14" s="79" t="s">
        <v>84</v>
      </c>
      <c r="AC14" s="7">
        <v>164900.46</v>
      </c>
      <c r="AD14" s="7"/>
      <c r="AE14" s="7">
        <v>60000</v>
      </c>
      <c r="AF14" s="7">
        <v>379734.53</v>
      </c>
      <c r="AG14" s="7">
        <v>164900.45</v>
      </c>
      <c r="AH14" s="7">
        <v>164900.45</v>
      </c>
      <c r="AI14" s="7"/>
      <c r="AJ14" s="7">
        <v>219867.26</v>
      </c>
      <c r="AK14" s="7">
        <f>214357.86+16217.76</f>
        <v>230575.62</v>
      </c>
      <c r="AL14" s="7"/>
      <c r="AM14" s="7">
        <v>203000</v>
      </c>
      <c r="AN14" s="168"/>
      <c r="AO14" s="169">
        <f t="shared" si="7"/>
        <v>2522964.14</v>
      </c>
      <c r="AP14" s="170">
        <f t="shared" si="8"/>
        <v>1587878.77</v>
      </c>
      <c r="AQ14" s="171">
        <f t="shared" si="1"/>
        <v>935085.37</v>
      </c>
      <c r="AR14" s="172" t="str">
        <f t="shared" si="2"/>
        <v/>
      </c>
      <c r="AS14" s="172" t="str">
        <f t="shared" si="3"/>
        <v/>
      </c>
      <c r="AT14" s="173" t="str">
        <f t="shared" si="4"/>
        <v/>
      </c>
      <c r="AU14" s="108" t="str">
        <f t="shared" si="9"/>
        <v/>
      </c>
      <c r="AV14" s="108" t="str">
        <f t="shared" si="5"/>
        <v/>
      </c>
      <c r="AW14" s="108" t="str">
        <f>IF($AQ14-SUM(Q14:$X14)&gt;0,$AQ14-SUM(Q14:$X14),"")</f>
        <v/>
      </c>
      <c r="AX14" s="108" t="str">
        <f>IF($AQ14-SUM(R14:$X14)&gt;0,$AQ14-SUM(R14:$X14),"")</f>
        <v/>
      </c>
      <c r="AY14" s="108" t="str">
        <f>IF($AQ14-SUM(S14:$X14)&gt;0,$AQ14-SUM(S14:$X14),"")</f>
        <v/>
      </c>
      <c r="AZ14" s="108">
        <f>IF($AQ14-SUM(T14:$X14)&gt;0,$AQ14-SUM(T14:$X14),"")</f>
        <v>649.499999999534</v>
      </c>
      <c r="BA14" s="108">
        <f>IF($AQ14-SUM(U14:$X14)&gt;0,$AQ14-SUM(U14:$X14),"")</f>
        <v>165549.95</v>
      </c>
      <c r="BB14" s="108">
        <f>IF($AQ14-SUM(V14:$X14)&gt;0,$AQ14-SUM(V14:$X14),"")</f>
        <v>330450.4</v>
      </c>
      <c r="BC14" s="108">
        <f>IF($AQ14-SUM(W14:$X14)&gt;0,$AQ14-SUM(W14:$X14),"")</f>
        <v>495350.85</v>
      </c>
      <c r="BD14" s="177" t="s">
        <v>85</v>
      </c>
      <c r="BE14" s="178"/>
      <c r="BF14" s="179"/>
      <c r="BG14" s="180">
        <f>VLOOKUP(D14,Sheet3!D:O,12,FALSE)</f>
        <v>494786.71</v>
      </c>
      <c r="BH14" s="180">
        <f t="shared" si="6"/>
        <v>440298.66</v>
      </c>
      <c r="BI14" s="20" t="s">
        <v>108</v>
      </c>
      <c r="BJ14" s="20">
        <f t="shared" si="10"/>
        <v>1588528.26</v>
      </c>
    </row>
    <row r="15" s="20" customFormat="1" ht="24" customHeight="1" spans="2:62">
      <c r="B15" s="42" t="s">
        <v>81</v>
      </c>
      <c r="C15" s="122" t="s">
        <v>109</v>
      </c>
      <c r="D15" s="43" t="s">
        <v>204</v>
      </c>
      <c r="E15" s="123">
        <v>62.7000000000698</v>
      </c>
      <c r="F15" s="135">
        <v>6597.88</v>
      </c>
      <c r="G15" s="136">
        <v>37.97</v>
      </c>
      <c r="H15" s="136"/>
      <c r="I15" s="135"/>
      <c r="J15" s="136"/>
      <c r="K15" s="136"/>
      <c r="L15" s="145">
        <f t="shared" si="0"/>
        <v>62.7000000000698</v>
      </c>
      <c r="M15" s="9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56"/>
      <c r="Z15" s="79"/>
      <c r="AA15" s="79"/>
      <c r="AB15" s="79" t="s">
        <v>84</v>
      </c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168"/>
      <c r="AO15" s="169">
        <f t="shared" si="7"/>
        <v>62.7000000000698</v>
      </c>
      <c r="AP15" s="170">
        <f t="shared" si="8"/>
        <v>0</v>
      </c>
      <c r="AQ15" s="171">
        <f t="shared" si="1"/>
        <v>62.7000000000698</v>
      </c>
      <c r="AR15" s="172">
        <f t="shared" si="2"/>
        <v>62.7000000000698</v>
      </c>
      <c r="AS15" s="172">
        <f t="shared" si="3"/>
        <v>62.7000000000698</v>
      </c>
      <c r="AT15" s="173">
        <f t="shared" si="4"/>
        <v>62.7000000000698</v>
      </c>
      <c r="AU15" s="108">
        <f t="shared" si="9"/>
        <v>62.7000000000698</v>
      </c>
      <c r="AV15" s="108">
        <f t="shared" si="5"/>
        <v>62.7000000000698</v>
      </c>
      <c r="AW15" s="108">
        <f>IF($AQ15-SUM(Q15:$X15)&gt;0,$AQ15-SUM(Q15:$X15),"")</f>
        <v>62.7000000000698</v>
      </c>
      <c r="AX15" s="108">
        <f>IF($AQ15-SUM(R15:$X15)&gt;0,$AQ15-SUM(R15:$X15),"")</f>
        <v>62.7000000000698</v>
      </c>
      <c r="AY15" s="108">
        <f>IF($AQ15-SUM(S15:$X15)&gt;0,$AQ15-SUM(S15:$X15),"")</f>
        <v>62.7000000000698</v>
      </c>
      <c r="AZ15" s="108">
        <f>IF($AQ15-SUM(T15:$X15)&gt;0,$AQ15-SUM(T15:$X15),"")</f>
        <v>62.7000000000698</v>
      </c>
      <c r="BA15" s="108">
        <f>IF($AQ15-SUM(U15:$X15)&gt;0,$AQ15-SUM(U15:$X15),"")</f>
        <v>62.7000000000698</v>
      </c>
      <c r="BB15" s="108">
        <f>IF($AQ15-SUM(V15:$X15)&gt;0,$AQ15-SUM(V15:$X15),"")</f>
        <v>62.7000000000698</v>
      </c>
      <c r="BC15" s="108">
        <f>IF($AQ15-SUM(W15:$X15)&gt;0,$AQ15-SUM(W15:$X15),"")</f>
        <v>62.7000000000698</v>
      </c>
      <c r="BD15" s="177" t="s">
        <v>111</v>
      </c>
      <c r="BE15" s="178"/>
      <c r="BF15" s="179"/>
      <c r="BG15" s="180">
        <f>VLOOKUP(D15,Sheet3!D:O,12,FALSE)</f>
        <v>62.7</v>
      </c>
      <c r="BH15" s="180">
        <f t="shared" si="6"/>
        <v>6.97966129337146e-11</v>
      </c>
      <c r="BI15" s="20" t="s">
        <v>204</v>
      </c>
      <c r="BJ15" s="20">
        <f t="shared" si="10"/>
        <v>0</v>
      </c>
    </row>
    <row r="16" s="20" customFormat="1" ht="24" customHeight="1" spans="2:62">
      <c r="B16" s="42" t="s">
        <v>81</v>
      </c>
      <c r="C16" s="122" t="s">
        <v>112</v>
      </c>
      <c r="D16" s="43" t="s">
        <v>113</v>
      </c>
      <c r="E16" s="123">
        <v>402041.4</v>
      </c>
      <c r="F16" s="135">
        <v>64055.69</v>
      </c>
      <c r="G16" s="136">
        <v>21990.53</v>
      </c>
      <c r="H16" s="136">
        <v>64802.17</v>
      </c>
      <c r="I16" s="135"/>
      <c r="J16" s="136"/>
      <c r="K16" s="136"/>
      <c r="L16" s="145">
        <f t="shared" si="0"/>
        <v>402041.4</v>
      </c>
      <c r="M16" s="9">
        <v>42537.15</v>
      </c>
      <c r="N16" s="124">
        <v>42849.6</v>
      </c>
      <c r="O16" s="124">
        <v>41943.51</v>
      </c>
      <c r="P16" s="124">
        <v>45070.5</v>
      </c>
      <c r="Q16" s="124">
        <v>21281.97</v>
      </c>
      <c r="R16" s="124">
        <v>32137.2</v>
      </c>
      <c r="S16" s="124">
        <v>31271.28</v>
      </c>
      <c r="T16" s="124">
        <v>42809.43</v>
      </c>
      <c r="U16" s="124"/>
      <c r="V16" s="124"/>
      <c r="W16" s="124"/>
      <c r="X16" s="124"/>
      <c r="Y16" s="156"/>
      <c r="Z16" s="79"/>
      <c r="AA16" s="79"/>
      <c r="AB16" s="79" t="s">
        <v>84</v>
      </c>
      <c r="AC16" s="7">
        <v>150000</v>
      </c>
      <c r="AD16" s="7"/>
      <c r="AE16" s="7">
        <v>100000</v>
      </c>
      <c r="AF16" s="7">
        <v>150000</v>
      </c>
      <c r="AG16" s="7">
        <v>100000</v>
      </c>
      <c r="AH16" s="7"/>
      <c r="AI16" s="7">
        <v>70000</v>
      </c>
      <c r="AJ16" s="7">
        <v>4442.16</v>
      </c>
      <c r="AK16" s="7">
        <f>21281.97+32137.2</f>
        <v>53419.17</v>
      </c>
      <c r="AL16" s="7"/>
      <c r="AM16" s="7"/>
      <c r="AN16" s="168">
        <v>31271.28</v>
      </c>
      <c r="AO16" s="169">
        <f t="shared" si="7"/>
        <v>701942.04</v>
      </c>
      <c r="AP16" s="170">
        <f t="shared" si="8"/>
        <v>659132.61</v>
      </c>
      <c r="AQ16" s="171">
        <f t="shared" si="1"/>
        <v>42809.4299999999</v>
      </c>
      <c r="AR16" s="172" t="str">
        <f t="shared" si="2"/>
        <v/>
      </c>
      <c r="AS16" s="172" t="str">
        <f t="shared" si="3"/>
        <v/>
      </c>
      <c r="AT16" s="173" t="str">
        <f t="shared" si="4"/>
        <v/>
      </c>
      <c r="AU16" s="108" t="str">
        <f t="shared" si="9"/>
        <v/>
      </c>
      <c r="AV16" s="108" t="str">
        <f t="shared" si="5"/>
        <v/>
      </c>
      <c r="AW16" s="108" t="str">
        <f>IF($AQ16-SUM(Q16:$X16)&gt;0,$AQ16-SUM(Q16:$X16),"")</f>
        <v/>
      </c>
      <c r="AX16" s="108" t="str">
        <f>IF($AQ16-SUM(R16:$X16)&gt;0,$AQ16-SUM(R16:$X16),"")</f>
        <v/>
      </c>
      <c r="AY16" s="108" t="str">
        <f>IF($AQ16-SUM(S16:$X16)&gt;0,$AQ16-SUM(S16:$X16),"")</f>
        <v/>
      </c>
      <c r="AZ16" s="108" t="str">
        <f>IF($AQ16-SUM(T16:$X16)&gt;0,$AQ16-SUM(T16:$X16),"")</f>
        <v/>
      </c>
      <c r="BA16" s="108">
        <f>IF($AQ16-SUM(U16:$X16)&gt;0,$AQ16-SUM(U16:$X16),"")</f>
        <v>42809.4299999999</v>
      </c>
      <c r="BB16" s="108">
        <f>IF($AQ16-SUM(V16:$X16)&gt;0,$AQ16-SUM(V16:$X16),"")</f>
        <v>42809.4299999999</v>
      </c>
      <c r="BC16" s="108">
        <f>IF($AQ16-SUM(W16:$X16)&gt;0,$AQ16-SUM(W16:$X16),"")</f>
        <v>42809.4299999999</v>
      </c>
      <c r="BD16" s="177" t="s">
        <v>85</v>
      </c>
      <c r="BE16" s="178"/>
      <c r="BF16" s="179"/>
      <c r="BG16" s="180">
        <f>VLOOKUP(D16,Sheet3!D:O,12,FALSE)</f>
        <v>205279.13</v>
      </c>
      <c r="BH16" s="180">
        <f t="shared" si="6"/>
        <v>-162469.7</v>
      </c>
      <c r="BI16" s="20" t="s">
        <v>113</v>
      </c>
      <c r="BJ16" s="20">
        <f t="shared" si="10"/>
        <v>299900.64</v>
      </c>
    </row>
    <row r="17" s="20" customFormat="1" ht="24" customHeight="1" spans="2:62">
      <c r="B17" s="42" t="s">
        <v>81</v>
      </c>
      <c r="C17" s="122" t="s">
        <v>114</v>
      </c>
      <c r="D17" s="43" t="s">
        <v>115</v>
      </c>
      <c r="E17" s="123">
        <v>363932.32</v>
      </c>
      <c r="F17" s="135"/>
      <c r="G17" s="136">
        <v>152260.72</v>
      </c>
      <c r="H17" s="136"/>
      <c r="I17" s="135"/>
      <c r="J17" s="136"/>
      <c r="K17" s="136"/>
      <c r="L17" s="145">
        <f t="shared" si="0"/>
        <v>363932.32</v>
      </c>
      <c r="M17" s="9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56"/>
      <c r="Z17" s="79"/>
      <c r="AA17" s="79"/>
      <c r="AB17" s="79" t="s">
        <v>84</v>
      </c>
      <c r="AC17" s="7">
        <v>50000</v>
      </c>
      <c r="AD17" s="7">
        <v>100000</v>
      </c>
      <c r="AE17" s="7">
        <f>61671.6+152260.72</f>
        <v>213932.32</v>
      </c>
      <c r="AF17" s="7"/>
      <c r="AG17" s="7"/>
      <c r="AH17" s="7"/>
      <c r="AI17" s="7"/>
      <c r="AJ17" s="7"/>
      <c r="AK17" s="7"/>
      <c r="AL17" s="7"/>
      <c r="AM17" s="7"/>
      <c r="AN17" s="168"/>
      <c r="AO17" s="169">
        <f t="shared" si="7"/>
        <v>363932.32</v>
      </c>
      <c r="AP17" s="170">
        <f t="shared" si="8"/>
        <v>363932.32</v>
      </c>
      <c r="AQ17" s="171">
        <f t="shared" si="1"/>
        <v>0</v>
      </c>
      <c r="AR17" s="172" t="str">
        <f t="shared" si="2"/>
        <v/>
      </c>
      <c r="AS17" s="172" t="str">
        <f t="shared" si="3"/>
        <v/>
      </c>
      <c r="AT17" s="173" t="str">
        <f t="shared" si="4"/>
        <v/>
      </c>
      <c r="AU17" s="108" t="str">
        <f t="shared" si="9"/>
        <v/>
      </c>
      <c r="AV17" s="108" t="str">
        <f t="shared" si="5"/>
        <v/>
      </c>
      <c r="AW17" s="108" t="str">
        <f>IF(AQ17-SUM(Q17:Y17)&gt;0,AQ17-SUM(Q17:Y17),"")</f>
        <v/>
      </c>
      <c r="AX17" s="108"/>
      <c r="AY17" s="108"/>
      <c r="AZ17" s="108"/>
      <c r="BA17" s="108"/>
      <c r="BB17" s="108"/>
      <c r="BC17" s="108"/>
      <c r="BD17" s="177" t="s">
        <v>85</v>
      </c>
      <c r="BE17" s="178"/>
      <c r="BF17" s="179"/>
      <c r="BG17" s="180">
        <f>VLOOKUP(D17,Sheet3!D:O,12,FALSE)</f>
        <v>193535.11</v>
      </c>
      <c r="BH17" s="180">
        <f t="shared" si="6"/>
        <v>-193535.11</v>
      </c>
      <c r="BI17" s="20" t="s">
        <v>115</v>
      </c>
      <c r="BJ17" s="20">
        <f t="shared" si="10"/>
        <v>0</v>
      </c>
    </row>
    <row r="18" s="20" customFormat="1" ht="24" customHeight="1" spans="2:62">
      <c r="B18" s="42" t="s">
        <v>81</v>
      </c>
      <c r="C18" s="122" t="s">
        <v>116</v>
      </c>
      <c r="D18" s="43" t="s">
        <v>205</v>
      </c>
      <c r="E18" s="123">
        <v>24206.86</v>
      </c>
      <c r="F18" s="135">
        <v>8203.8</v>
      </c>
      <c r="G18" s="136">
        <v>6883.96</v>
      </c>
      <c r="H18" s="136"/>
      <c r="I18" s="135"/>
      <c r="J18" s="136"/>
      <c r="K18" s="136"/>
      <c r="L18" s="145">
        <f t="shared" si="0"/>
        <v>24206.86</v>
      </c>
      <c r="M18" s="9">
        <v>14977.02</v>
      </c>
      <c r="N18" s="124"/>
      <c r="O18" s="124"/>
      <c r="P18" s="124"/>
      <c r="Q18" s="124"/>
      <c r="R18" s="124">
        <v>7082.84</v>
      </c>
      <c r="S18" s="124"/>
      <c r="T18" s="124"/>
      <c r="U18" s="124"/>
      <c r="V18" s="124"/>
      <c r="W18" s="124"/>
      <c r="X18" s="124"/>
      <c r="Y18" s="156"/>
      <c r="Z18" s="79"/>
      <c r="AA18" s="79"/>
      <c r="AB18" s="79" t="s">
        <v>84</v>
      </c>
      <c r="AC18" s="7"/>
      <c r="AD18" s="7"/>
      <c r="AE18" s="7"/>
      <c r="AF18" s="7">
        <v>30000</v>
      </c>
      <c r="AG18" s="7"/>
      <c r="AH18" s="7"/>
      <c r="AI18" s="7"/>
      <c r="AJ18" s="7"/>
      <c r="AK18" s="7">
        <v>16266.72</v>
      </c>
      <c r="AL18" s="7"/>
      <c r="AM18" s="7"/>
      <c r="AN18" s="168"/>
      <c r="AO18" s="169">
        <f t="shared" si="7"/>
        <v>46266.72</v>
      </c>
      <c r="AP18" s="170">
        <f t="shared" si="8"/>
        <v>46266.72</v>
      </c>
      <c r="AQ18" s="171">
        <f t="shared" si="1"/>
        <v>0</v>
      </c>
      <c r="AR18" s="172" t="str">
        <f>IF(AQ18-SUM(M18:X18)+K18+J18&gt;0,AQ18-SUM(M18:X18)+K18+J18,"")</f>
        <v/>
      </c>
      <c r="AS18" s="172" t="str">
        <f>IF(AQ18-SUM(M18:X18)+K18&gt;0,AQ18-SUM(M18:X18)+K18,"")</f>
        <v/>
      </c>
      <c r="AT18" s="173" t="str">
        <f>IF(AQ18-SUM(M18:X18)&gt;0,AQ18-SUM(M18:X18),"")</f>
        <v/>
      </c>
      <c r="AU18" s="108" t="str">
        <f>IF(AQ18-SUM(N18:X18)&gt;0,AQ18-SUM(N18:X18),"")</f>
        <v/>
      </c>
      <c r="AV18" s="108" t="str">
        <f>IF(AQ18-SUM(O18:X18)&gt;0,AQ18-SUM(O18:X18),"")</f>
        <v/>
      </c>
      <c r="AW18" s="108" t="str">
        <f>IF($AQ18-SUM(Q18:$X18)&gt;0,$AQ18-SUM(Q18:$X18),"")</f>
        <v/>
      </c>
      <c r="AX18" s="108" t="str">
        <f>IF($AQ18-SUM(R18:$X18)&gt;0,$AQ18-SUM(R18:$X18),"")</f>
        <v/>
      </c>
      <c r="AY18" s="108" t="str">
        <f>IF($AQ18-SUM(S18:$X18)&gt;0,$AQ18-SUM(S18:$X18),"")</f>
        <v/>
      </c>
      <c r="AZ18" s="108" t="str">
        <f>IF($AQ18-SUM(T18:$X18)&gt;0,$AQ18-SUM(T18:$X18),"")</f>
        <v/>
      </c>
      <c r="BA18" s="108" t="str">
        <f>IF($AQ18-SUM(U18:$X18)&gt;0,$AQ18-SUM(U18:$X18),"")</f>
        <v/>
      </c>
      <c r="BB18" s="108"/>
      <c r="BC18" s="108"/>
      <c r="BD18" s="177" t="s">
        <v>264</v>
      </c>
      <c r="BE18" s="178"/>
      <c r="BF18" s="179"/>
      <c r="BG18" s="180">
        <f>VLOOKUP(D18,Sheet3!D:O,12,FALSE)</f>
        <v>0</v>
      </c>
      <c r="BH18" s="180">
        <f t="shared" si="6"/>
        <v>0</v>
      </c>
      <c r="BI18" s="20" t="s">
        <v>205</v>
      </c>
      <c r="BJ18" s="20">
        <f t="shared" si="10"/>
        <v>22059.86</v>
      </c>
    </row>
    <row r="19" s="20" customFormat="1" ht="24" customHeight="1" spans="2:62">
      <c r="B19" s="42" t="s">
        <v>81</v>
      </c>
      <c r="C19" s="122" t="s">
        <v>118</v>
      </c>
      <c r="D19" s="43" t="s">
        <v>119</v>
      </c>
      <c r="E19" s="123">
        <v>0</v>
      </c>
      <c r="F19" s="135"/>
      <c r="G19" s="136"/>
      <c r="H19" s="136"/>
      <c r="I19" s="135"/>
      <c r="J19" s="136"/>
      <c r="K19" s="136"/>
      <c r="L19" s="145">
        <f t="shared" si="0"/>
        <v>0</v>
      </c>
      <c r="M19" s="9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56"/>
      <c r="Z19" s="79"/>
      <c r="AA19" s="79"/>
      <c r="AB19" s="79" t="s">
        <v>84</v>
      </c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168"/>
      <c r="AO19" s="169">
        <f t="shared" si="7"/>
        <v>0</v>
      </c>
      <c r="AP19" s="170">
        <f t="shared" si="8"/>
        <v>0</v>
      </c>
      <c r="AQ19" s="171">
        <f t="shared" si="1"/>
        <v>0</v>
      </c>
      <c r="AR19" s="172" t="str">
        <f t="shared" ref="AR19:AR26" si="11">IF(AQ19-SUM(M19:X19)+K19&gt;0,AQ19-SUM(M19:X19)+K19,"")</f>
        <v/>
      </c>
      <c r="AS19" s="172" t="str">
        <f t="shared" ref="AS19:AS26" si="12">IF(AQ19-SUM(M19:X19)&gt;0,AQ19-SUM(M19:X19),"")</f>
        <v/>
      </c>
      <c r="AT19" s="173" t="str">
        <f t="shared" ref="AT19:AT26" si="13">IF(AQ19-SUM(N19:X19)&gt;0,AQ19-SUM(N19:X19),"")</f>
        <v/>
      </c>
      <c r="AU19" s="108" t="str">
        <f t="shared" si="9"/>
        <v/>
      </c>
      <c r="AV19" s="108" t="str">
        <f t="shared" ref="AV19:AV26" si="14">IF(AQ19-SUM(P19:X19)&gt;0,AQ19-SUM(P19:X19),"")</f>
        <v/>
      </c>
      <c r="AW19" s="108" t="str">
        <f>IF(AQ19-SUM(Q19:Y19)&gt;0,AQ19-SUM(Q19:Y19),"")</f>
        <v/>
      </c>
      <c r="AX19" s="108"/>
      <c r="AY19" s="108"/>
      <c r="AZ19" s="108"/>
      <c r="BA19" s="108"/>
      <c r="BB19" s="108"/>
      <c r="BC19" s="108"/>
      <c r="BD19" s="177" t="s">
        <v>85</v>
      </c>
      <c r="BE19" s="178"/>
      <c r="BF19" s="179"/>
      <c r="BG19" s="180">
        <f>VLOOKUP(D19,Sheet3!D:O,12,FALSE)</f>
        <v>0</v>
      </c>
      <c r="BH19" s="180">
        <f t="shared" si="6"/>
        <v>0</v>
      </c>
      <c r="BI19" s="20" t="s">
        <v>119</v>
      </c>
      <c r="BJ19" s="20">
        <f t="shared" si="10"/>
        <v>0</v>
      </c>
    </row>
    <row r="20" s="20" customFormat="1" ht="24" customHeight="1" spans="2:62">
      <c r="B20" s="48" t="s">
        <v>81</v>
      </c>
      <c r="C20" s="122" t="s">
        <v>120</v>
      </c>
      <c r="D20" s="43" t="s">
        <v>121</v>
      </c>
      <c r="E20" s="123">
        <v>0</v>
      </c>
      <c r="F20" s="135"/>
      <c r="G20" s="136"/>
      <c r="H20" s="136"/>
      <c r="I20" s="135"/>
      <c r="J20" s="136"/>
      <c r="K20" s="136"/>
      <c r="L20" s="145">
        <f t="shared" si="0"/>
        <v>0</v>
      </c>
      <c r="M20" s="9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56"/>
      <c r="Z20" s="79"/>
      <c r="AA20" s="79"/>
      <c r="AB20" s="79" t="s">
        <v>84</v>
      </c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168"/>
      <c r="AO20" s="169">
        <f t="shared" si="7"/>
        <v>0</v>
      </c>
      <c r="AP20" s="170">
        <f t="shared" si="8"/>
        <v>0</v>
      </c>
      <c r="AQ20" s="171">
        <f t="shared" si="1"/>
        <v>0</v>
      </c>
      <c r="AR20" s="172" t="str">
        <f t="shared" si="11"/>
        <v/>
      </c>
      <c r="AS20" s="172" t="str">
        <f t="shared" si="12"/>
        <v/>
      </c>
      <c r="AT20" s="173" t="str">
        <f t="shared" si="13"/>
        <v/>
      </c>
      <c r="AU20" s="108" t="str">
        <f t="shared" si="9"/>
        <v/>
      </c>
      <c r="AV20" s="108" t="str">
        <f t="shared" si="14"/>
        <v/>
      </c>
      <c r="AW20" s="108" t="str">
        <f>IF(AQ20-SUM(Q20:Y20)&gt;0,AQ20-SUM(Q20:Y20),"")</f>
        <v/>
      </c>
      <c r="AX20" s="108"/>
      <c r="AY20" s="108"/>
      <c r="AZ20" s="108"/>
      <c r="BA20" s="108"/>
      <c r="BB20" s="108"/>
      <c r="BC20" s="108"/>
      <c r="BD20" s="177" t="s">
        <v>85</v>
      </c>
      <c r="BE20" s="178"/>
      <c r="BF20" s="179"/>
      <c r="BG20" s="180">
        <f>VLOOKUP(D20,Sheet3!D:O,12,FALSE)</f>
        <v>0</v>
      </c>
      <c r="BH20" s="180">
        <f t="shared" si="6"/>
        <v>0</v>
      </c>
      <c r="BI20" s="20" t="s">
        <v>121</v>
      </c>
      <c r="BJ20" s="20">
        <f t="shared" si="10"/>
        <v>0</v>
      </c>
    </row>
    <row r="21" s="20" customFormat="1" ht="24" customHeight="1" spans="2:62">
      <c r="B21" s="48" t="s">
        <v>81</v>
      </c>
      <c r="C21" s="122" t="s">
        <v>122</v>
      </c>
      <c r="D21" s="43" t="s">
        <v>123</v>
      </c>
      <c r="E21" s="123">
        <v>614853.109999999</v>
      </c>
      <c r="F21" s="135">
        <v>169942.72</v>
      </c>
      <c r="G21" s="136">
        <v>126150.76</v>
      </c>
      <c r="H21" s="136">
        <v>224796.55</v>
      </c>
      <c r="I21" s="135"/>
      <c r="J21" s="136"/>
      <c r="K21" s="136"/>
      <c r="L21" s="145">
        <f t="shared" si="0"/>
        <v>614853.109999999</v>
      </c>
      <c r="M21" s="9">
        <f>80976.53+110446.2</f>
        <v>191422.73</v>
      </c>
      <c r="N21" s="124">
        <f>1260+108799.23+51281.66+110446.2</f>
        <v>271787.09</v>
      </c>
      <c r="O21" s="124">
        <f>49074.93+77964.6+97346.68</f>
        <v>224386.21</v>
      </c>
      <c r="P21" s="124">
        <f>98174.4+70771.47+101227.66</f>
        <v>270173.53</v>
      </c>
      <c r="Q21" s="124"/>
      <c r="R21" s="124">
        <f>110446.2+108004.11+68715.3+68234.29</f>
        <v>355399.9</v>
      </c>
      <c r="S21" s="124">
        <f>88322.56+110446.2</f>
        <v>198768.76</v>
      </c>
      <c r="T21" s="124">
        <f>109944.48+111060.42+110446.2</f>
        <v>331451.1</v>
      </c>
      <c r="U21" s="124">
        <f>71349.39+75901.08</f>
        <v>147250.47</v>
      </c>
      <c r="V21" s="124">
        <f>109564.24+112234.99</f>
        <v>221799.23</v>
      </c>
      <c r="W21" s="124">
        <f>110446.2+48449.07</f>
        <v>158895.27</v>
      </c>
      <c r="X21" s="124">
        <v>176578.93</v>
      </c>
      <c r="Y21" s="156"/>
      <c r="Z21" s="79"/>
      <c r="AA21" s="79"/>
      <c r="AB21" s="79" t="s">
        <v>84</v>
      </c>
      <c r="AC21" s="7">
        <v>263905.8</v>
      </c>
      <c r="AD21" s="7"/>
      <c r="AE21" s="7">
        <f>126150.76+330000</f>
        <v>456150.76</v>
      </c>
      <c r="AF21" s="7">
        <v>86219.28</v>
      </c>
      <c r="AG21" s="7">
        <v>271787.09</v>
      </c>
      <c r="AH21" s="7"/>
      <c r="AI21" s="7">
        <v>224386.21</v>
      </c>
      <c r="AJ21" s="7">
        <v>270173.53</v>
      </c>
      <c r="AK21" s="7">
        <f>250000+105399.9</f>
        <v>355399.9</v>
      </c>
      <c r="AL21" s="7"/>
      <c r="AM21" s="7">
        <v>195000</v>
      </c>
      <c r="AN21" s="168">
        <v>198768.76</v>
      </c>
      <c r="AO21" s="169">
        <f t="shared" si="7"/>
        <v>3162766.33</v>
      </c>
      <c r="AP21" s="170">
        <f t="shared" si="8"/>
        <v>2321791.33</v>
      </c>
      <c r="AQ21" s="171">
        <f t="shared" si="1"/>
        <v>840975</v>
      </c>
      <c r="AR21" s="172" t="str">
        <f t="shared" si="11"/>
        <v/>
      </c>
      <c r="AS21" s="172" t="str">
        <f t="shared" si="12"/>
        <v/>
      </c>
      <c r="AT21" s="173" t="str">
        <f t="shared" si="13"/>
        <v/>
      </c>
      <c r="AU21" s="108" t="str">
        <f t="shared" si="9"/>
        <v/>
      </c>
      <c r="AV21" s="108" t="str">
        <f t="shared" si="14"/>
        <v/>
      </c>
      <c r="AW21" s="108" t="str">
        <f>IF($AQ21-SUM(Q21:$X21)&gt;0,$AQ21-SUM(Q21:$X21),"")</f>
        <v/>
      </c>
      <c r="AX21" s="108" t="str">
        <f>IF($AQ21-SUM(R21:$X21)&gt;0,$AQ21-SUM(R21:$X21),"")</f>
        <v/>
      </c>
      <c r="AY21" s="108" t="str">
        <f>IF($AQ21-SUM(S21:$X21)&gt;0,$AQ21-SUM(S21:$X21),"")</f>
        <v/>
      </c>
      <c r="AZ21" s="108" t="str">
        <f>IF($AQ21-SUM(T21:$X21)&gt;0,$AQ21-SUM(T21:$X21),"")</f>
        <v/>
      </c>
      <c r="BA21" s="108">
        <f>IF($AQ21-SUM(U21:$X21)&gt;0,$AQ21-SUM(U21:$X21),"")</f>
        <v>136451.1</v>
      </c>
      <c r="BB21" s="108">
        <f>IF($AQ21-SUM(V21:$X21)&gt;0,$AQ21-SUM(V21:$X21),"")</f>
        <v>283701.57</v>
      </c>
      <c r="BC21" s="108">
        <f>IF($AQ21-SUM(W21:$X21)&gt;0,$AQ21-SUM(W21:$X21),"")</f>
        <v>505500.8</v>
      </c>
      <c r="BD21" s="177" t="s">
        <v>85</v>
      </c>
      <c r="BE21" s="178"/>
      <c r="BF21" s="179"/>
      <c r="BG21" s="180">
        <f>VLOOKUP(D21,Sheet3!D:O,12,FALSE)</f>
        <v>355657.92</v>
      </c>
      <c r="BH21" s="180">
        <f t="shared" si="6"/>
        <v>485317.08</v>
      </c>
      <c r="BI21" s="20" t="s">
        <v>123</v>
      </c>
      <c r="BJ21" s="20">
        <f t="shared" si="10"/>
        <v>1990639.79</v>
      </c>
    </row>
    <row r="22" s="20" customFormat="1" ht="24" customHeight="1" spans="2:62">
      <c r="B22" s="48" t="s">
        <v>81</v>
      </c>
      <c r="C22" s="122" t="s">
        <v>124</v>
      </c>
      <c r="D22" s="43" t="s">
        <v>125</v>
      </c>
      <c r="E22" s="123">
        <v>0</v>
      </c>
      <c r="F22" s="135"/>
      <c r="G22" s="136"/>
      <c r="H22" s="136"/>
      <c r="I22" s="135"/>
      <c r="J22" s="136"/>
      <c r="K22" s="136"/>
      <c r="L22" s="145">
        <f t="shared" si="0"/>
        <v>0</v>
      </c>
      <c r="M22" s="9">
        <f>7973.28+26008.08</f>
        <v>33981.36</v>
      </c>
      <c r="N22" s="124">
        <f>1423.8+3986.64</f>
        <v>5410.44</v>
      </c>
      <c r="O22" s="124">
        <v>3986.64</v>
      </c>
      <c r="P22" s="124"/>
      <c r="Q22" s="124"/>
      <c r="R22" s="124"/>
      <c r="S22" s="124"/>
      <c r="T22" s="124"/>
      <c r="U22" s="124"/>
      <c r="V22" s="124"/>
      <c r="W22" s="124"/>
      <c r="X22" s="124"/>
      <c r="Y22" s="156"/>
      <c r="Z22" s="79"/>
      <c r="AA22" s="79"/>
      <c r="AB22" s="79" t="s">
        <v>84</v>
      </c>
      <c r="AC22" s="7"/>
      <c r="AD22" s="157" t="s">
        <v>265</v>
      </c>
      <c r="AE22" s="7"/>
      <c r="AF22" s="7"/>
      <c r="AG22" s="7"/>
      <c r="AH22" s="7"/>
      <c r="AI22" s="7"/>
      <c r="AJ22" s="7"/>
      <c r="AK22" s="7"/>
      <c r="AL22" s="7"/>
      <c r="AM22" s="7"/>
      <c r="AN22" s="168"/>
      <c r="AO22" s="169">
        <f t="shared" si="7"/>
        <v>43378.44</v>
      </c>
      <c r="AP22" s="170">
        <f t="shared" si="8"/>
        <v>0</v>
      </c>
      <c r="AQ22" s="171">
        <f t="shared" si="1"/>
        <v>43378.44</v>
      </c>
      <c r="AR22" s="172" t="str">
        <f t="shared" si="11"/>
        <v/>
      </c>
      <c r="AS22" s="172" t="str">
        <f t="shared" si="12"/>
        <v/>
      </c>
      <c r="AT22" s="173">
        <f t="shared" si="13"/>
        <v>33981.36</v>
      </c>
      <c r="AU22" s="108">
        <f t="shared" si="9"/>
        <v>39391.8</v>
      </c>
      <c r="AV22" s="108">
        <f t="shared" si="14"/>
        <v>43378.44</v>
      </c>
      <c r="AW22" s="108">
        <f>IF($AQ22-SUM(Q22:$X22)&gt;0,$AQ22-SUM(Q22:$X22),"")</f>
        <v>43378.44</v>
      </c>
      <c r="AX22" s="108">
        <f>IF($AQ22-SUM(R22:$X22)&gt;0,$AQ22-SUM(R22:$X22),"")</f>
        <v>43378.44</v>
      </c>
      <c r="AY22" s="108">
        <f>IF($AQ22-SUM(S22:$X22)&gt;0,$AQ22-SUM(S22:$X22),"")</f>
        <v>43378.44</v>
      </c>
      <c r="AZ22" s="108">
        <f>IF($AQ22-SUM(T22:$X22)&gt;0,$AQ22-SUM(T22:$X22),"")</f>
        <v>43378.44</v>
      </c>
      <c r="BA22" s="108">
        <f>IF($AQ22-SUM(U22:$X22)&gt;0,$AQ22-SUM(U22:$X22),"")</f>
        <v>43378.44</v>
      </c>
      <c r="BB22" s="108">
        <f>IF($AQ22-SUM(V22:$X22)&gt;0,$AQ22-SUM(V22:$X22),"")</f>
        <v>43378.44</v>
      </c>
      <c r="BC22" s="108">
        <f>IF($AQ22-SUM(W22:$X22)&gt;0,$AQ22-SUM(W22:$X22),"")</f>
        <v>43378.44</v>
      </c>
      <c r="BD22" s="177" t="s">
        <v>85</v>
      </c>
      <c r="BE22" s="178" t="s">
        <v>266</v>
      </c>
      <c r="BF22" s="179"/>
      <c r="BG22" s="180">
        <f>VLOOKUP(D22,Sheet3!D:O,12,FALSE)</f>
        <v>43378.44</v>
      </c>
      <c r="BH22" s="180">
        <f t="shared" si="6"/>
        <v>0</v>
      </c>
      <c r="BI22" s="20" t="s">
        <v>125</v>
      </c>
      <c r="BJ22" s="20">
        <f t="shared" si="10"/>
        <v>43378.44</v>
      </c>
    </row>
    <row r="23" s="20" customFormat="1" ht="24" customHeight="1" spans="2:62">
      <c r="B23" s="48" t="s">
        <v>81</v>
      </c>
      <c r="C23" s="122" t="s">
        <v>126</v>
      </c>
      <c r="D23" s="43" t="s">
        <v>127</v>
      </c>
      <c r="E23" s="123">
        <v>0</v>
      </c>
      <c r="F23" s="135"/>
      <c r="G23" s="136"/>
      <c r="H23" s="136"/>
      <c r="I23" s="135"/>
      <c r="J23" s="136"/>
      <c r="K23" s="136"/>
      <c r="L23" s="145">
        <f t="shared" si="0"/>
        <v>0</v>
      </c>
      <c r="M23" s="9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56"/>
      <c r="Z23" s="79"/>
      <c r="AA23" s="79"/>
      <c r="AB23" s="79" t="s">
        <v>84</v>
      </c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168"/>
      <c r="AO23" s="169">
        <f t="shared" si="7"/>
        <v>0</v>
      </c>
      <c r="AP23" s="170">
        <f t="shared" si="8"/>
        <v>0</v>
      </c>
      <c r="AQ23" s="171">
        <f t="shared" si="1"/>
        <v>0</v>
      </c>
      <c r="AR23" s="172" t="str">
        <f t="shared" si="11"/>
        <v/>
      </c>
      <c r="AS23" s="172" t="str">
        <f t="shared" si="12"/>
        <v/>
      </c>
      <c r="AT23" s="173" t="str">
        <f t="shared" si="13"/>
        <v/>
      </c>
      <c r="AU23" s="108" t="str">
        <f t="shared" si="9"/>
        <v/>
      </c>
      <c r="AV23" s="108" t="str">
        <f t="shared" si="14"/>
        <v/>
      </c>
      <c r="AW23" s="108" t="str">
        <f>IF(AQ23-SUM(Q23:Y23)&gt;0,AQ23-SUM(Q23:Y23),"")</f>
        <v/>
      </c>
      <c r="AX23" s="108"/>
      <c r="AY23" s="108"/>
      <c r="AZ23" s="108"/>
      <c r="BA23" s="108"/>
      <c r="BB23" s="108"/>
      <c r="BC23" s="108"/>
      <c r="BD23" s="177" t="s">
        <v>96</v>
      </c>
      <c r="BE23" s="178"/>
      <c r="BF23" s="179"/>
      <c r="BG23" s="180">
        <f>VLOOKUP(D23,Sheet3!D:O,12,FALSE)</f>
        <v>0</v>
      </c>
      <c r="BH23" s="180">
        <f t="shared" si="6"/>
        <v>0</v>
      </c>
      <c r="BI23" s="20" t="s">
        <v>127</v>
      </c>
      <c r="BJ23" s="20">
        <f t="shared" si="10"/>
        <v>0</v>
      </c>
    </row>
    <row r="24" s="20" customFormat="1" ht="24" customHeight="1" spans="2:62">
      <c r="B24" s="48" t="s">
        <v>81</v>
      </c>
      <c r="C24" s="122" t="s">
        <v>128</v>
      </c>
      <c r="D24" s="43" t="s">
        <v>129</v>
      </c>
      <c r="E24" s="123">
        <v>92269.6600000001</v>
      </c>
      <c r="F24" s="135">
        <v>47132.53</v>
      </c>
      <c r="G24" s="136">
        <v>1130</v>
      </c>
      <c r="H24" s="136">
        <v>10794.89</v>
      </c>
      <c r="I24" s="135"/>
      <c r="J24" s="136"/>
      <c r="K24" s="146">
        <v>39520.62</v>
      </c>
      <c r="L24" s="145">
        <f t="shared" si="0"/>
        <v>131790.28</v>
      </c>
      <c r="M24" s="9">
        <v>27162.94</v>
      </c>
      <c r="N24" s="124">
        <v>16479.92</v>
      </c>
      <c r="O24" s="124">
        <v>30769.9</v>
      </c>
      <c r="P24" s="124">
        <v>14805.26</v>
      </c>
      <c r="Q24" s="124">
        <f>29095.24+9040</f>
        <v>38135.24</v>
      </c>
      <c r="R24" s="124">
        <v>16110.41</v>
      </c>
      <c r="S24" s="124"/>
      <c r="T24" s="124">
        <v>20990.11</v>
      </c>
      <c r="U24" s="124">
        <v>24360.11</v>
      </c>
      <c r="V24" s="124">
        <v>21710.01</v>
      </c>
      <c r="W24" s="124">
        <v>23909.67</v>
      </c>
      <c r="X24" s="124">
        <v>23358.23</v>
      </c>
      <c r="Y24" s="156"/>
      <c r="Z24" s="79"/>
      <c r="AA24" s="79"/>
      <c r="AB24" s="79" t="s">
        <v>84</v>
      </c>
      <c r="AC24" s="7">
        <v>33212.24</v>
      </c>
      <c r="AD24" s="7"/>
      <c r="AE24" s="7">
        <v>86220.36</v>
      </c>
      <c r="AF24" s="7"/>
      <c r="AG24" s="7">
        <v>16479.92</v>
      </c>
      <c r="AH24" s="7"/>
      <c r="AI24" s="7">
        <v>30769.9</v>
      </c>
      <c r="AJ24" s="7">
        <v>14805.26</v>
      </c>
      <c r="AK24" s="7">
        <f>38135.24+16110.41</f>
        <v>54245.65</v>
      </c>
      <c r="AL24" s="7"/>
      <c r="AM24" s="7"/>
      <c r="AN24" s="168">
        <v>60510.73</v>
      </c>
      <c r="AO24" s="169">
        <f t="shared" si="7"/>
        <v>389582.08</v>
      </c>
      <c r="AP24" s="170">
        <f t="shared" si="8"/>
        <v>296244.06</v>
      </c>
      <c r="AQ24" s="171">
        <f t="shared" si="1"/>
        <v>93338.0200000001</v>
      </c>
      <c r="AR24" s="172" t="str">
        <f t="shared" si="11"/>
        <v/>
      </c>
      <c r="AS24" s="172" t="str">
        <f t="shared" si="12"/>
        <v/>
      </c>
      <c r="AT24" s="173" t="str">
        <f t="shared" si="13"/>
        <v/>
      </c>
      <c r="AU24" s="108" t="str">
        <f t="shared" si="9"/>
        <v/>
      </c>
      <c r="AV24" s="108" t="str">
        <f t="shared" si="14"/>
        <v/>
      </c>
      <c r="AW24" s="108" t="str">
        <f>IF($AQ24-SUM(Q24:$X24)&gt;0,$AQ24-SUM(Q24:$X24),"")</f>
        <v/>
      </c>
      <c r="AX24" s="108" t="str">
        <f>IF($AQ24-SUM(R24:$X24)&gt;0,$AQ24-SUM(R24:$X24),"")</f>
        <v/>
      </c>
      <c r="AY24" s="108" t="str">
        <f>IF($AQ24-SUM(S24:$X24)&gt;0,$AQ24-SUM(S24:$X24),"")</f>
        <v/>
      </c>
      <c r="AZ24" s="108" t="str">
        <f>IF($AQ24-SUM(T24:$X24)&gt;0,$AQ24-SUM(T24:$X24),"")</f>
        <v/>
      </c>
      <c r="BA24" s="108">
        <f>IF($AQ24-SUM(U24:$X24)&gt;0,$AQ24-SUM(U24:$X24),"")</f>
        <v>8.73114913702011e-11</v>
      </c>
      <c r="BB24" s="108">
        <f>IF($AQ24-SUM(V24:$X24)&gt;0,$AQ24-SUM(V24:$X24),"")</f>
        <v>24360.1100000001</v>
      </c>
      <c r="BC24" s="108">
        <f>IF($AQ24-SUM(W24:$X24)&gt;0,$AQ24-SUM(W24:$X24),"")</f>
        <v>46070.1200000001</v>
      </c>
      <c r="BD24" s="177" t="s">
        <v>85</v>
      </c>
      <c r="BE24" s="178"/>
      <c r="BF24" s="179"/>
      <c r="BG24" s="180">
        <f>VLOOKUP(D24,Sheet3!D:O,12,FALSE)</f>
        <v>112483.76</v>
      </c>
      <c r="BH24" s="180">
        <f t="shared" si="6"/>
        <v>-19145.7399999999</v>
      </c>
      <c r="BI24" s="20" t="s">
        <v>129</v>
      </c>
      <c r="BJ24" s="20">
        <f t="shared" si="10"/>
        <v>188813.89</v>
      </c>
    </row>
    <row r="25" s="20" customFormat="1" ht="24" customHeight="1" spans="2:62">
      <c r="B25" s="48" t="s">
        <v>81</v>
      </c>
      <c r="C25" s="122" t="s">
        <v>130</v>
      </c>
      <c r="D25" s="43" t="s">
        <v>131</v>
      </c>
      <c r="E25" s="123">
        <v>-11076.8</v>
      </c>
      <c r="F25" s="135"/>
      <c r="G25" s="136"/>
      <c r="H25" s="136"/>
      <c r="I25" s="135"/>
      <c r="J25" s="136"/>
      <c r="K25" s="136">
        <v>9000</v>
      </c>
      <c r="L25" s="145">
        <f t="shared" si="0"/>
        <v>-2076.8</v>
      </c>
      <c r="M25" s="9"/>
      <c r="N25" s="124"/>
      <c r="O25" s="124"/>
      <c r="P25" s="124"/>
      <c r="Q25" s="124"/>
      <c r="R25" s="124"/>
      <c r="S25" s="124"/>
      <c r="T25" s="124"/>
      <c r="U25" s="124"/>
      <c r="V25" s="149">
        <v>2076.8</v>
      </c>
      <c r="W25" s="124"/>
      <c r="X25" s="124"/>
      <c r="Y25" s="156"/>
      <c r="Z25" s="79"/>
      <c r="AA25" s="79"/>
      <c r="AB25" s="79" t="s">
        <v>84</v>
      </c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168"/>
      <c r="AO25" s="169">
        <f t="shared" si="7"/>
        <v>0</v>
      </c>
      <c r="AP25" s="170">
        <f t="shared" si="8"/>
        <v>0</v>
      </c>
      <c r="AQ25" s="171">
        <f t="shared" si="1"/>
        <v>0</v>
      </c>
      <c r="AR25" s="172">
        <f t="shared" si="11"/>
        <v>6923.2</v>
      </c>
      <c r="AS25" s="172" t="str">
        <f t="shared" si="12"/>
        <v/>
      </c>
      <c r="AT25" s="173" t="str">
        <f t="shared" si="13"/>
        <v/>
      </c>
      <c r="AU25" s="108" t="str">
        <f t="shared" si="9"/>
        <v/>
      </c>
      <c r="AV25" s="108" t="str">
        <f t="shared" si="14"/>
        <v/>
      </c>
      <c r="AW25" s="108" t="str">
        <f>IF($AQ25-SUM(Q25:$X25)&gt;0,$AQ25-SUM(Q25:$X25),"")</f>
        <v/>
      </c>
      <c r="AX25" s="108" t="str">
        <f>IF($AQ25-SUM(R25:$X25)&gt;0,$AQ25-SUM(R25:$X25),"")</f>
        <v/>
      </c>
      <c r="AY25" s="108" t="str">
        <f>IF($AQ25-SUM(S25:$X25)&gt;0,$AQ25-SUM(S25:$X25),"")</f>
        <v/>
      </c>
      <c r="AZ25" s="108" t="str">
        <f>IF($AQ25-SUM(T25:$X25)&gt;0,$AQ25-SUM(T25:$X25),"")</f>
        <v/>
      </c>
      <c r="BA25" s="108" t="str">
        <f>IF($AQ25-SUM(U25:$X25)&gt;0,$AQ25-SUM(U25:$X25),"")</f>
        <v/>
      </c>
      <c r="BB25" s="108" t="str">
        <f>IF($AQ25-SUM(V25:$X25)&gt;0,$AQ25-SUM(V25:$X25),"")</f>
        <v/>
      </c>
      <c r="BC25" s="108" t="str">
        <f>IF($AQ25-SUM(W25:$X25)&gt;0,$AQ25-SUM(W25:$X25),"")</f>
        <v/>
      </c>
      <c r="BD25" s="177" t="s">
        <v>85</v>
      </c>
      <c r="BE25" s="178"/>
      <c r="BF25" s="179"/>
      <c r="BG25" s="180">
        <f>VLOOKUP(D25,Sheet3!D:O,12,FALSE)</f>
        <v>2000</v>
      </c>
      <c r="BH25" s="180">
        <f t="shared" si="6"/>
        <v>-2000</v>
      </c>
      <c r="BI25" s="20" t="s">
        <v>131</v>
      </c>
      <c r="BJ25" s="20">
        <f t="shared" si="10"/>
        <v>0</v>
      </c>
    </row>
    <row r="26" s="20" customFormat="1" ht="24" customHeight="1" spans="2:62">
      <c r="B26" s="48" t="s">
        <v>81</v>
      </c>
      <c r="C26" s="122" t="s">
        <v>102</v>
      </c>
      <c r="D26" s="50" t="s">
        <v>103</v>
      </c>
      <c r="E26" s="123">
        <v>0.139999999664724</v>
      </c>
      <c r="F26" s="135">
        <v>83727.08</v>
      </c>
      <c r="G26" s="136">
        <v>103488.12</v>
      </c>
      <c r="H26" s="136">
        <v>109247.88</v>
      </c>
      <c r="I26" s="135"/>
      <c r="J26" s="136"/>
      <c r="K26" s="136"/>
      <c r="L26" s="145">
        <f t="shared" si="0"/>
        <v>0.139999999664724</v>
      </c>
      <c r="M26" s="9">
        <v>103253.96</v>
      </c>
      <c r="N26" s="9"/>
      <c r="O26" s="124">
        <f>143577.58+138429.96</f>
        <v>282007.54</v>
      </c>
      <c r="P26" s="124">
        <f>95208.32</f>
        <v>95208.32</v>
      </c>
      <c r="Q26" s="124"/>
      <c r="R26" s="124">
        <v>64734.62</v>
      </c>
      <c r="S26" s="124">
        <v>76707.42</v>
      </c>
      <c r="T26" s="124">
        <v>22941.32</v>
      </c>
      <c r="U26" s="124">
        <v>33766.26</v>
      </c>
      <c r="V26" s="124">
        <v>78991.44</v>
      </c>
      <c r="W26" s="124">
        <v>22471.7</v>
      </c>
      <c r="X26" s="124"/>
      <c r="Y26" s="156"/>
      <c r="Z26" s="79"/>
      <c r="AA26" s="79"/>
      <c r="AB26" s="79" t="s">
        <v>84</v>
      </c>
      <c r="AC26" s="7"/>
      <c r="AD26" s="7">
        <v>103253.98</v>
      </c>
      <c r="AE26" s="7"/>
      <c r="AF26" s="7">
        <v>282007.54</v>
      </c>
      <c r="AG26" s="7">
        <v>95208.32</v>
      </c>
      <c r="AH26" s="7">
        <v>30932.24</v>
      </c>
      <c r="AI26" s="7">
        <v>33802.38</v>
      </c>
      <c r="AJ26" s="7">
        <v>76707.4200000002</v>
      </c>
      <c r="AK26" s="7">
        <v>22941.32</v>
      </c>
      <c r="AL26" s="7">
        <v>33766.26</v>
      </c>
      <c r="AM26" s="7">
        <v>78991.44</v>
      </c>
      <c r="AN26" s="168">
        <v>22471.6999999996</v>
      </c>
      <c r="AO26" s="169">
        <f t="shared" si="7"/>
        <v>780082.72</v>
      </c>
      <c r="AP26" s="170">
        <f t="shared" si="8"/>
        <v>780082.6</v>
      </c>
      <c r="AQ26" s="171">
        <f t="shared" si="1"/>
        <v>0.119999999995343</v>
      </c>
      <c r="AR26" s="172" t="str">
        <f t="shared" si="11"/>
        <v/>
      </c>
      <c r="AS26" s="172" t="str">
        <f t="shared" si="12"/>
        <v/>
      </c>
      <c r="AT26" s="173" t="str">
        <f t="shared" si="13"/>
        <v/>
      </c>
      <c r="AU26" s="108" t="str">
        <f t="shared" si="9"/>
        <v/>
      </c>
      <c r="AV26" s="108" t="str">
        <f t="shared" si="14"/>
        <v/>
      </c>
      <c r="AW26" s="108" t="str">
        <f>IF($AQ26-SUM(Q26:$X26)&gt;0,$AQ26-SUM(Q26:$X26),"")</f>
        <v/>
      </c>
      <c r="AX26" s="108" t="str">
        <f>IF($AQ26-SUM(R26:$X26)&gt;0,$AQ26-SUM(R26:$X26),"")</f>
        <v/>
      </c>
      <c r="AY26" s="108" t="str">
        <f>IF($AQ26-SUM(S26:$X26)&gt;0,$AQ26-SUM(S26:$X26),"")</f>
        <v/>
      </c>
      <c r="AZ26" s="108" t="str">
        <f>IF($AQ26-SUM(T26:$X26)&gt;0,$AQ26-SUM(T26:$X26),"")</f>
        <v/>
      </c>
      <c r="BA26" s="108" t="str">
        <f>IF($AQ26-SUM(U26:$X26)&gt;0,$AQ26-SUM(U26:$X26),"")</f>
        <v/>
      </c>
      <c r="BB26" s="108" t="str">
        <f>IF($AQ26-SUM(V26:$X26)&gt;0,$AQ26-SUM(V26:$X26),"")</f>
        <v/>
      </c>
      <c r="BC26" s="108" t="str">
        <f>IF($AQ26-SUM(W26:$X26)&gt;0,$AQ26-SUM(W26:$X26),"")</f>
        <v/>
      </c>
      <c r="BD26" s="177" t="s">
        <v>104</v>
      </c>
      <c r="BE26" s="178"/>
      <c r="BF26" s="179"/>
      <c r="BG26" s="180">
        <f>VLOOKUP(D26,Sheet3!D:O,12,FALSE)</f>
        <v>79072.23</v>
      </c>
      <c r="BH26" s="180">
        <f t="shared" si="6"/>
        <v>-79072.11</v>
      </c>
      <c r="BI26" s="20" t="s">
        <v>103</v>
      </c>
      <c r="BJ26" s="20">
        <f t="shared" si="10"/>
        <v>678619.44</v>
      </c>
    </row>
    <row r="27" s="20" customFormat="1" ht="24" customHeight="1" spans="2:62">
      <c r="B27" s="48" t="s">
        <v>81</v>
      </c>
      <c r="C27" s="122" t="s">
        <v>267</v>
      </c>
      <c r="D27" s="50" t="s">
        <v>268</v>
      </c>
      <c r="E27" s="123"/>
      <c r="F27" s="135"/>
      <c r="G27" s="136"/>
      <c r="H27" s="136"/>
      <c r="I27" s="135"/>
      <c r="J27" s="136"/>
      <c r="K27" s="136"/>
      <c r="L27" s="145"/>
      <c r="M27" s="9"/>
      <c r="N27" s="131"/>
      <c r="O27" s="124"/>
      <c r="P27" s="124"/>
      <c r="Q27" s="124"/>
      <c r="R27" s="124"/>
      <c r="S27" s="124"/>
      <c r="T27" s="124"/>
      <c r="U27" s="124">
        <v>180073.43</v>
      </c>
      <c r="V27" s="124"/>
      <c r="W27" s="124">
        <f>129620.04+27892.92</f>
        <v>157512.96</v>
      </c>
      <c r="X27" s="124">
        <v>36506.91</v>
      </c>
      <c r="Y27" s="156"/>
      <c r="Z27" s="79"/>
      <c r="AA27" s="79"/>
      <c r="AB27" s="79"/>
      <c r="AC27" s="7"/>
      <c r="AD27" s="7"/>
      <c r="AE27" s="7"/>
      <c r="AF27" s="7"/>
      <c r="AG27" s="7"/>
      <c r="AH27" s="7"/>
      <c r="AI27" s="7"/>
      <c r="AJ27" s="7">
        <v>79987.06</v>
      </c>
      <c r="AK27" s="7">
        <v>48607.52</v>
      </c>
      <c r="AL27" s="7">
        <v>51478.85</v>
      </c>
      <c r="AM27" s="7">
        <v>129620.04</v>
      </c>
      <c r="AN27" s="168">
        <v>27892.9200000001</v>
      </c>
      <c r="AO27" s="169">
        <f t="shared" si="7"/>
        <v>374093.3</v>
      </c>
      <c r="AP27" s="170">
        <f t="shared" si="8"/>
        <v>337586.39</v>
      </c>
      <c r="AQ27" s="171">
        <f t="shared" si="1"/>
        <v>36506.91</v>
      </c>
      <c r="AR27" s="172"/>
      <c r="AS27" s="172"/>
      <c r="AT27" s="173"/>
      <c r="AU27" s="108"/>
      <c r="AV27" s="108"/>
      <c r="AW27" s="108"/>
      <c r="AX27" s="108"/>
      <c r="AY27" s="108"/>
      <c r="AZ27" s="108" t="str">
        <f>IF($AQ27-SUM(T27:$X27)&gt;0,$AQ27-SUM(T27:$X27),"")</f>
        <v/>
      </c>
      <c r="BA27" s="108" t="str">
        <f>IF($AQ27-SUM(U27:$X27)&gt;0,$AQ27-SUM(U27:$X27),"")</f>
        <v/>
      </c>
      <c r="BB27" s="108" t="str">
        <f>IF($AQ27-SUM(V27:$X27)&gt;0,$AQ27-SUM(V27:$X27),"")</f>
        <v/>
      </c>
      <c r="BC27" s="108" t="str">
        <f>IF($AQ27-SUM(W27:$X27)&gt;0,$AQ27-SUM(W27:$X27),"")</f>
        <v/>
      </c>
      <c r="BD27" s="177"/>
      <c r="BE27" s="178"/>
      <c r="BF27" s="179"/>
      <c r="BG27" s="180">
        <f>VLOOKUP(D27,Sheet3!D:O,12,FALSE)</f>
        <v>66236.89</v>
      </c>
      <c r="BH27" s="180">
        <f t="shared" si="6"/>
        <v>-29729.98</v>
      </c>
      <c r="BI27" s="20" t="s">
        <v>268</v>
      </c>
      <c r="BJ27" s="20">
        <f t="shared" si="10"/>
        <v>180073.43</v>
      </c>
    </row>
    <row r="28" s="20" customFormat="1" ht="24" customHeight="1" spans="2:62">
      <c r="B28" s="48" t="s">
        <v>81</v>
      </c>
      <c r="C28" s="122" t="s">
        <v>132</v>
      </c>
      <c r="D28" s="50" t="s">
        <v>133</v>
      </c>
      <c r="E28" s="123">
        <v>356135.57</v>
      </c>
      <c r="F28" s="135"/>
      <c r="G28" s="136"/>
      <c r="H28" s="136"/>
      <c r="I28" s="135"/>
      <c r="J28" s="136"/>
      <c r="K28" s="136"/>
      <c r="L28" s="145">
        <f t="shared" ref="L28:L49" si="15">SUM(I28:K28)+E28</f>
        <v>356135.57</v>
      </c>
      <c r="M28" s="9"/>
      <c r="N28" s="124">
        <v>64247.28</v>
      </c>
      <c r="O28" s="124">
        <v>513978.24</v>
      </c>
      <c r="P28" s="124">
        <v>53539.4</v>
      </c>
      <c r="Q28" s="124"/>
      <c r="R28" s="124"/>
      <c r="S28" s="124"/>
      <c r="T28" s="124"/>
      <c r="U28" s="124"/>
      <c r="V28" s="124"/>
      <c r="W28" s="124"/>
      <c r="X28" s="124">
        <v>-32123.64</v>
      </c>
      <c r="Y28" s="156"/>
      <c r="Z28" s="79"/>
      <c r="AA28" s="79"/>
      <c r="AB28" s="79" t="s">
        <v>84</v>
      </c>
      <c r="AC28" s="7"/>
      <c r="AD28" s="7">
        <v>127423.78</v>
      </c>
      <c r="AE28" s="7">
        <v>139202.44</v>
      </c>
      <c r="AF28" s="7">
        <v>451337.16</v>
      </c>
      <c r="AG28" s="7">
        <v>57822.56</v>
      </c>
      <c r="AH28" s="7">
        <v>32659.04</v>
      </c>
      <c r="AI28" s="7">
        <v>15526.42</v>
      </c>
      <c r="AJ28" s="7">
        <v>11778.6599999999</v>
      </c>
      <c r="AK28" s="7"/>
      <c r="AL28" s="7"/>
      <c r="AM28" s="7"/>
      <c r="AN28" s="168"/>
      <c r="AO28" s="169">
        <f t="shared" si="7"/>
        <v>955776.85</v>
      </c>
      <c r="AP28" s="170">
        <f t="shared" si="8"/>
        <v>835750.06</v>
      </c>
      <c r="AQ28" s="171">
        <f t="shared" ref="AQ28:AQ53" si="16">AO28-AP28</f>
        <v>120026.79</v>
      </c>
      <c r="AR28" s="172" t="str">
        <f t="shared" ref="AR28:AR51" si="17">IF(AQ28-SUM(M28:X28)+K28&gt;0,AQ28-SUM(M28:X28)+K28,"")</f>
        <v/>
      </c>
      <c r="AS28" s="172" t="str">
        <f t="shared" ref="AS28:AS51" si="18">IF(AQ28-SUM(M28:X28)&gt;0,AQ28-SUM(M28:X28),"")</f>
        <v/>
      </c>
      <c r="AT28" s="173" t="str">
        <f t="shared" ref="AT28:AT51" si="19">IF(AQ28-SUM(N28:X28)&gt;0,AQ28-SUM(N28:X28),"")</f>
        <v/>
      </c>
      <c r="AU28" s="108" t="str">
        <f t="shared" ref="AU28:AU39" si="20">IF(AQ28-SUM(O28:X28)&gt;0,AQ28-SUM(O28:X28),"")</f>
        <v/>
      </c>
      <c r="AV28" s="108">
        <f t="shared" ref="AV28:AV51" si="21">IF(AQ28-SUM(P28:X28)&gt;0,AQ28-SUM(P28:X28),"")</f>
        <v>98611.03</v>
      </c>
      <c r="AW28" s="108">
        <f>IF($AQ28-SUM(Q28:$X28)&gt;0,$AQ28-SUM(Q28:$X28),"")</f>
        <v>152150.43</v>
      </c>
      <c r="AX28" s="108">
        <f>IF($AQ28-SUM(R28:$X28)&gt;0,$AQ28-SUM(R28:$X28),"")</f>
        <v>152150.43</v>
      </c>
      <c r="AY28" s="108">
        <f>IF($AQ28-SUM(S28:$X28)&gt;0,$AQ28-SUM(S28:$X28),"")</f>
        <v>152150.43</v>
      </c>
      <c r="AZ28" s="108">
        <f>IF($AQ28-SUM(T28:$X28)&gt;0,$AQ28-SUM(T28:$X28),"")</f>
        <v>152150.43</v>
      </c>
      <c r="BA28" s="108">
        <f>IF($AQ28-SUM(U28:$X28)&gt;0,$AQ28-SUM(U28:$X28),"")</f>
        <v>152150.43</v>
      </c>
      <c r="BB28" s="108">
        <f>IF($AQ28-SUM(V28:$X28)&gt;0,$AQ28-SUM(V28:$X28),"")</f>
        <v>152150.43</v>
      </c>
      <c r="BC28" s="108">
        <f>IF($AQ28-SUM(W28:$X28)&gt;0,$AQ28-SUM(W28:$X28),"")</f>
        <v>152150.43</v>
      </c>
      <c r="BD28" s="177" t="s">
        <v>104</v>
      </c>
      <c r="BE28" s="178"/>
      <c r="BF28" s="179"/>
      <c r="BG28" s="180">
        <f>VLOOKUP(D28,Sheet3!D:O,12,FALSE)</f>
        <v>0</v>
      </c>
      <c r="BH28" s="180">
        <f t="shared" si="6"/>
        <v>120026.79</v>
      </c>
      <c r="BI28" s="20" t="s">
        <v>133</v>
      </c>
      <c r="BJ28" s="20">
        <f t="shared" si="10"/>
        <v>631764.92</v>
      </c>
    </row>
    <row r="29" s="20" customFormat="1" ht="24" customHeight="1" spans="2:62">
      <c r="B29" s="48" t="s">
        <v>134</v>
      </c>
      <c r="C29" s="122">
        <v>1951024</v>
      </c>
      <c r="D29" s="43" t="s">
        <v>206</v>
      </c>
      <c r="E29" s="123">
        <v>0</v>
      </c>
      <c r="F29" s="135"/>
      <c r="G29" s="136"/>
      <c r="H29" s="136"/>
      <c r="I29" s="135"/>
      <c r="J29" s="136"/>
      <c r="K29" s="136"/>
      <c r="L29" s="145">
        <f t="shared" si="15"/>
        <v>0</v>
      </c>
      <c r="M29" s="9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56"/>
      <c r="Z29" s="79"/>
      <c r="AA29" s="79"/>
      <c r="AB29" s="79" t="s">
        <v>84</v>
      </c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168"/>
      <c r="AO29" s="169">
        <f t="shared" si="7"/>
        <v>0</v>
      </c>
      <c r="AP29" s="170">
        <f t="shared" si="8"/>
        <v>0</v>
      </c>
      <c r="AQ29" s="171">
        <f t="shared" si="16"/>
        <v>0</v>
      </c>
      <c r="AR29" s="172" t="str">
        <f t="shared" si="17"/>
        <v/>
      </c>
      <c r="AS29" s="172" t="str">
        <f t="shared" si="18"/>
        <v/>
      </c>
      <c r="AT29" s="173" t="str">
        <f t="shared" si="19"/>
        <v/>
      </c>
      <c r="AU29" s="108" t="str">
        <f t="shared" si="20"/>
        <v/>
      </c>
      <c r="AV29" s="108" t="str">
        <f t="shared" si="21"/>
        <v/>
      </c>
      <c r="AW29" s="108" t="str">
        <f t="shared" ref="AW29:AW51" si="22">IF(AQ29-SUM(Q29:Y29)&gt;0,AQ29-SUM(Q29:Y29),"")</f>
        <v/>
      </c>
      <c r="AX29" s="108"/>
      <c r="AY29" s="108"/>
      <c r="AZ29" s="108"/>
      <c r="BA29" s="108"/>
      <c r="BB29" s="108"/>
      <c r="BC29" s="108"/>
      <c r="BD29" s="177" t="s">
        <v>111</v>
      </c>
      <c r="BE29" s="178"/>
      <c r="BF29" s="179"/>
      <c r="BG29" s="180">
        <f>VLOOKUP(D29,Sheet3!D:O,12,FALSE)</f>
        <v>0</v>
      </c>
      <c r="BH29" s="180">
        <f t="shared" si="6"/>
        <v>0</v>
      </c>
      <c r="BI29" s="20" t="s">
        <v>206</v>
      </c>
      <c r="BJ29" s="20">
        <f t="shared" si="10"/>
        <v>0</v>
      </c>
    </row>
    <row r="30" s="20" customFormat="1" ht="24" customHeight="1" spans="2:62">
      <c r="B30" s="48" t="s">
        <v>81</v>
      </c>
      <c r="C30" s="125" t="s">
        <v>136</v>
      </c>
      <c r="D30" s="126" t="s">
        <v>137</v>
      </c>
      <c r="E30" s="123">
        <v>57609.0899999999</v>
      </c>
      <c r="F30" s="135">
        <v>58699</v>
      </c>
      <c r="G30" s="136">
        <v>28075.84</v>
      </c>
      <c r="H30" s="136">
        <v>29533.25</v>
      </c>
      <c r="I30" s="135"/>
      <c r="J30" s="136"/>
      <c r="K30" s="136"/>
      <c r="L30" s="145">
        <f t="shared" si="15"/>
        <v>57609.0899999999</v>
      </c>
      <c r="M30" s="9">
        <f>95133.65+18018.98</f>
        <v>113152.63</v>
      </c>
      <c r="N30" s="124"/>
      <c r="O30" s="124">
        <f>97108.3+71346.7</f>
        <v>168455</v>
      </c>
      <c r="P30" s="124">
        <f>46653.58+67942.55</f>
        <v>114596.13</v>
      </c>
      <c r="Q30" s="124">
        <v>56137.51</v>
      </c>
      <c r="R30" s="124">
        <v>56179.98</v>
      </c>
      <c r="S30" s="124">
        <v>34606.56</v>
      </c>
      <c r="T30" s="124">
        <v>54289.65</v>
      </c>
      <c r="U30" s="124"/>
      <c r="V30" s="124">
        <f>51595.03+68134.05</f>
        <v>119729.08</v>
      </c>
      <c r="W30" s="124">
        <f>49448.8+47605.26</f>
        <v>97054.06</v>
      </c>
      <c r="X30" s="124"/>
      <c r="Y30" s="158"/>
      <c r="Z30" s="85"/>
      <c r="AA30" s="85"/>
      <c r="AB30" s="79" t="s">
        <v>84</v>
      </c>
      <c r="AC30" s="159"/>
      <c r="AD30" s="159"/>
      <c r="AE30" s="7">
        <v>60000</v>
      </c>
      <c r="AF30" s="7">
        <v>110761.72</v>
      </c>
      <c r="AG30" s="7">
        <v>100000</v>
      </c>
      <c r="AH30" s="7"/>
      <c r="AI30" s="7">
        <v>90000</v>
      </c>
      <c r="AJ30" s="7">
        <v>90000</v>
      </c>
      <c r="AK30" s="7">
        <f>59188.64+56179.98</f>
        <v>115368.62</v>
      </c>
      <c r="AL30" s="7"/>
      <c r="AM30" s="7"/>
      <c r="AN30" s="168"/>
      <c r="AO30" s="169">
        <f t="shared" si="7"/>
        <v>871809.69</v>
      </c>
      <c r="AP30" s="170">
        <f t="shared" si="8"/>
        <v>566130.34</v>
      </c>
      <c r="AQ30" s="171">
        <f t="shared" si="16"/>
        <v>305679.35</v>
      </c>
      <c r="AR30" s="172" t="str">
        <f t="shared" si="17"/>
        <v/>
      </c>
      <c r="AS30" s="172" t="str">
        <f t="shared" si="18"/>
        <v/>
      </c>
      <c r="AT30" s="173" t="str">
        <f t="shared" si="19"/>
        <v/>
      </c>
      <c r="AU30" s="108" t="str">
        <f t="shared" si="20"/>
        <v/>
      </c>
      <c r="AV30" s="108" t="str">
        <f t="shared" si="21"/>
        <v/>
      </c>
      <c r="AW30" s="108" t="str">
        <f>IF($AQ30-SUM(Q30:$X30)&gt;0,$AQ30-SUM(Q30:$X30),"")</f>
        <v/>
      </c>
      <c r="AX30" s="108" t="str">
        <f>IF($AQ30-SUM(R30:$X30)&gt;0,$AQ30-SUM(R30:$X30),"")</f>
        <v/>
      </c>
      <c r="AY30" s="108" t="str">
        <f>IF($AQ30-SUM(S30:$X30)&gt;0,$AQ30-SUM(S30:$X30),"")</f>
        <v/>
      </c>
      <c r="AZ30" s="108">
        <f>IF($AQ30-SUM(T30:$X30)&gt;0,$AQ30-SUM(T30:$X30),"")</f>
        <v>34606.5599999999</v>
      </c>
      <c r="BA30" s="108">
        <f>IF($AQ30-SUM(U30:$X30)&gt;0,$AQ30-SUM(U30:$X30),"")</f>
        <v>88896.21</v>
      </c>
      <c r="BB30" s="108">
        <f>IF($AQ30-SUM(V30:$X30)&gt;0,$AQ30-SUM(V30:$X30),"")</f>
        <v>88896.21</v>
      </c>
      <c r="BC30" s="108">
        <f>IF($AQ30-SUM(W30:$X30)&gt;0,$AQ30-SUM(W30:$X30),"")</f>
        <v>208625.29</v>
      </c>
      <c r="BD30" s="181" t="s">
        <v>85</v>
      </c>
      <c r="BE30" s="182"/>
      <c r="BF30" s="179"/>
      <c r="BG30" s="180">
        <f>VLOOKUP(D30,Sheet3!D:O,12,FALSE)</f>
        <v>341680.9</v>
      </c>
      <c r="BH30" s="180">
        <f t="shared" si="6"/>
        <v>-36001.55</v>
      </c>
      <c r="BI30" s="20" t="s">
        <v>137</v>
      </c>
      <c r="BJ30" s="20">
        <f t="shared" si="10"/>
        <v>597417.46</v>
      </c>
    </row>
    <row r="31" s="20" customFormat="1" ht="24" customHeight="1" spans="2:62">
      <c r="B31" s="48" t="s">
        <v>81</v>
      </c>
      <c r="C31" s="125" t="s">
        <v>138</v>
      </c>
      <c r="D31" s="126" t="s">
        <v>139</v>
      </c>
      <c r="E31" s="123">
        <v>0</v>
      </c>
      <c r="F31" s="135"/>
      <c r="G31" s="136"/>
      <c r="H31" s="147"/>
      <c r="I31" s="135"/>
      <c r="J31" s="136"/>
      <c r="K31" s="147"/>
      <c r="L31" s="145">
        <f t="shared" si="15"/>
        <v>0</v>
      </c>
      <c r="M31" s="9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58"/>
      <c r="Z31" s="85"/>
      <c r="AA31" s="85"/>
      <c r="AB31" s="79" t="s">
        <v>84</v>
      </c>
      <c r="AC31" s="159"/>
      <c r="AD31" s="159"/>
      <c r="AE31" s="7"/>
      <c r="AF31" s="7"/>
      <c r="AG31" s="7"/>
      <c r="AH31" s="7"/>
      <c r="AI31" s="7"/>
      <c r="AJ31" s="7"/>
      <c r="AK31" s="7"/>
      <c r="AL31" s="7"/>
      <c r="AM31" s="7"/>
      <c r="AN31" s="168"/>
      <c r="AO31" s="169">
        <f t="shared" si="7"/>
        <v>0</v>
      </c>
      <c r="AP31" s="170">
        <f t="shared" si="8"/>
        <v>0</v>
      </c>
      <c r="AQ31" s="171">
        <f t="shared" si="16"/>
        <v>0</v>
      </c>
      <c r="AR31" s="172" t="str">
        <f t="shared" si="17"/>
        <v/>
      </c>
      <c r="AS31" s="172" t="str">
        <f t="shared" si="18"/>
        <v/>
      </c>
      <c r="AT31" s="173" t="str">
        <f t="shared" si="19"/>
        <v/>
      </c>
      <c r="AU31" s="108" t="str">
        <f t="shared" si="20"/>
        <v/>
      </c>
      <c r="AV31" s="108" t="str">
        <f t="shared" si="21"/>
        <v/>
      </c>
      <c r="AW31" s="108" t="str">
        <f t="shared" si="22"/>
        <v/>
      </c>
      <c r="AX31" s="108"/>
      <c r="AY31" s="108"/>
      <c r="AZ31" s="108"/>
      <c r="BA31" s="108"/>
      <c r="BB31" s="108"/>
      <c r="BC31" s="108"/>
      <c r="BD31" s="181" t="s">
        <v>101</v>
      </c>
      <c r="BE31" s="182"/>
      <c r="BF31" s="179"/>
      <c r="BG31" s="180">
        <f>VLOOKUP(D31,Sheet3!D:O,12,FALSE)</f>
        <v>0</v>
      </c>
      <c r="BH31" s="180">
        <f t="shared" si="6"/>
        <v>0</v>
      </c>
      <c r="BI31" s="20" t="s">
        <v>139</v>
      </c>
      <c r="BJ31" s="20">
        <f t="shared" si="10"/>
        <v>0</v>
      </c>
    </row>
    <row r="32" s="20" customFormat="1" ht="24" customHeight="1" spans="2:62">
      <c r="B32" s="48" t="s">
        <v>81</v>
      </c>
      <c r="C32" s="125" t="s">
        <v>140</v>
      </c>
      <c r="D32" s="126" t="s">
        <v>141</v>
      </c>
      <c r="E32" s="123">
        <v>0</v>
      </c>
      <c r="F32" s="135"/>
      <c r="G32" s="136"/>
      <c r="H32" s="147"/>
      <c r="I32" s="135"/>
      <c r="J32" s="136"/>
      <c r="K32" s="147"/>
      <c r="L32" s="145">
        <f t="shared" si="15"/>
        <v>0</v>
      </c>
      <c r="M32" s="9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58"/>
      <c r="Z32" s="85"/>
      <c r="AA32" s="85"/>
      <c r="AB32" s="79" t="s">
        <v>84</v>
      </c>
      <c r="AC32" s="159"/>
      <c r="AD32" s="159"/>
      <c r="AE32" s="7"/>
      <c r="AF32" s="7"/>
      <c r="AG32" s="7"/>
      <c r="AH32" s="7"/>
      <c r="AI32" s="7"/>
      <c r="AJ32" s="7"/>
      <c r="AK32" s="7"/>
      <c r="AL32" s="7"/>
      <c r="AM32" s="7"/>
      <c r="AN32" s="168"/>
      <c r="AO32" s="169">
        <f t="shared" si="7"/>
        <v>0</v>
      </c>
      <c r="AP32" s="170">
        <f t="shared" si="8"/>
        <v>0</v>
      </c>
      <c r="AQ32" s="171">
        <f t="shared" si="16"/>
        <v>0</v>
      </c>
      <c r="AR32" s="172" t="str">
        <f t="shared" si="17"/>
        <v/>
      </c>
      <c r="AS32" s="172" t="str">
        <f t="shared" si="18"/>
        <v/>
      </c>
      <c r="AT32" s="173" t="str">
        <f t="shared" si="19"/>
        <v/>
      </c>
      <c r="AU32" s="108" t="str">
        <f t="shared" si="20"/>
        <v/>
      </c>
      <c r="AV32" s="108" t="str">
        <f t="shared" si="21"/>
        <v/>
      </c>
      <c r="AW32" s="108" t="str">
        <f t="shared" si="22"/>
        <v/>
      </c>
      <c r="AX32" s="108"/>
      <c r="AY32" s="108"/>
      <c r="AZ32" s="108"/>
      <c r="BA32" s="108"/>
      <c r="BB32" s="108"/>
      <c r="BC32" s="108"/>
      <c r="BD32" s="181" t="s">
        <v>101</v>
      </c>
      <c r="BE32" s="182"/>
      <c r="BF32" s="179"/>
      <c r="BG32" s="180">
        <f>VLOOKUP(D32,Sheet3!D:O,12,FALSE)</f>
        <v>0</v>
      </c>
      <c r="BH32" s="180">
        <f t="shared" si="6"/>
        <v>0</v>
      </c>
      <c r="BI32" s="20" t="s">
        <v>141</v>
      </c>
      <c r="BJ32" s="20">
        <f t="shared" si="10"/>
        <v>0</v>
      </c>
    </row>
    <row r="33" s="20" customFormat="1" ht="24" customHeight="1" spans="2:62">
      <c r="B33" s="48" t="s">
        <v>81</v>
      </c>
      <c r="C33" s="90" t="s">
        <v>177</v>
      </c>
      <c r="D33" s="126" t="s">
        <v>178</v>
      </c>
      <c r="E33" s="123">
        <v>0</v>
      </c>
      <c r="F33" s="135"/>
      <c r="G33" s="136"/>
      <c r="H33" s="147"/>
      <c r="I33" s="135"/>
      <c r="J33" s="136"/>
      <c r="K33" s="136"/>
      <c r="L33" s="145">
        <f t="shared" si="15"/>
        <v>0</v>
      </c>
      <c r="M33" s="9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58"/>
      <c r="Z33" s="85"/>
      <c r="AA33" s="85"/>
      <c r="AB33" s="79" t="s">
        <v>84</v>
      </c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  <c r="AN33" s="174"/>
      <c r="AO33" s="169">
        <f t="shared" si="7"/>
        <v>0</v>
      </c>
      <c r="AP33" s="170">
        <f t="shared" si="8"/>
        <v>0</v>
      </c>
      <c r="AQ33" s="171">
        <f t="shared" si="16"/>
        <v>0</v>
      </c>
      <c r="AR33" s="172" t="str">
        <f t="shared" si="17"/>
        <v/>
      </c>
      <c r="AS33" s="172" t="str">
        <f t="shared" si="18"/>
        <v/>
      </c>
      <c r="AT33" s="173" t="str">
        <f t="shared" si="19"/>
        <v/>
      </c>
      <c r="AU33" s="108" t="str">
        <f t="shared" si="20"/>
        <v/>
      </c>
      <c r="AV33" s="108" t="str">
        <f t="shared" si="21"/>
        <v/>
      </c>
      <c r="AW33" s="108" t="str">
        <f t="shared" si="22"/>
        <v/>
      </c>
      <c r="AX33" s="108"/>
      <c r="AY33" s="108"/>
      <c r="AZ33" s="108"/>
      <c r="BA33" s="108"/>
      <c r="BB33" s="108"/>
      <c r="BC33" s="108"/>
      <c r="BD33" s="181"/>
      <c r="BE33" s="182"/>
      <c r="BF33" s="179"/>
      <c r="BG33" s="180">
        <f>VLOOKUP(D33,Sheet3!D:O,12,FALSE)</f>
        <v>0</v>
      </c>
      <c r="BH33" s="180">
        <f t="shared" si="6"/>
        <v>0</v>
      </c>
      <c r="BI33" s="20" t="s">
        <v>178</v>
      </c>
      <c r="BJ33" s="20">
        <f t="shared" si="10"/>
        <v>0</v>
      </c>
    </row>
    <row r="34" s="20" customFormat="1" ht="24" customHeight="1" spans="2:62">
      <c r="B34" s="48" t="s">
        <v>81</v>
      </c>
      <c r="C34" s="90" t="s">
        <v>179</v>
      </c>
      <c r="D34" s="126" t="s">
        <v>180</v>
      </c>
      <c r="E34" s="123">
        <v>209276</v>
      </c>
      <c r="F34" s="135">
        <v>209276</v>
      </c>
      <c r="G34" s="136"/>
      <c r="H34" s="147"/>
      <c r="I34" s="135"/>
      <c r="J34" s="136"/>
      <c r="K34" s="136"/>
      <c r="L34" s="145">
        <f t="shared" si="15"/>
        <v>209276</v>
      </c>
      <c r="M34" s="9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58"/>
      <c r="Z34" s="85"/>
      <c r="AA34" s="85"/>
      <c r="AB34" s="79" t="s">
        <v>84</v>
      </c>
      <c r="AC34" s="159">
        <v>109276</v>
      </c>
      <c r="AD34" s="159"/>
      <c r="AE34" s="159">
        <v>100000</v>
      </c>
      <c r="AF34" s="159"/>
      <c r="AG34" s="159"/>
      <c r="AH34" s="159"/>
      <c r="AI34" s="159"/>
      <c r="AJ34" s="159"/>
      <c r="AK34" s="159"/>
      <c r="AL34" s="159"/>
      <c r="AM34" s="159"/>
      <c r="AN34" s="174"/>
      <c r="AO34" s="169">
        <f t="shared" si="7"/>
        <v>209276</v>
      </c>
      <c r="AP34" s="170">
        <f t="shared" si="8"/>
        <v>209276</v>
      </c>
      <c r="AQ34" s="171">
        <f t="shared" si="16"/>
        <v>0</v>
      </c>
      <c r="AR34" s="172" t="str">
        <f t="shared" si="17"/>
        <v/>
      </c>
      <c r="AS34" s="172" t="str">
        <f t="shared" si="18"/>
        <v/>
      </c>
      <c r="AT34" s="173" t="str">
        <f t="shared" si="19"/>
        <v/>
      </c>
      <c r="AU34" s="108" t="str">
        <f t="shared" si="20"/>
        <v/>
      </c>
      <c r="AV34" s="108" t="str">
        <f t="shared" si="21"/>
        <v/>
      </c>
      <c r="AW34" s="108" t="str">
        <f t="shared" si="22"/>
        <v/>
      </c>
      <c r="AX34" s="108"/>
      <c r="AY34" s="108"/>
      <c r="AZ34" s="108"/>
      <c r="BA34" s="108"/>
      <c r="BB34" s="108"/>
      <c r="BC34" s="108"/>
      <c r="BD34" s="181" t="s">
        <v>85</v>
      </c>
      <c r="BE34" s="182"/>
      <c r="BF34" s="179"/>
      <c r="BG34" s="180">
        <f>VLOOKUP(D34,Sheet3!D:O,12,FALSE)</f>
        <v>0</v>
      </c>
      <c r="BH34" s="180">
        <f t="shared" si="6"/>
        <v>0</v>
      </c>
      <c r="BI34" s="20" t="s">
        <v>180</v>
      </c>
      <c r="BJ34" s="20">
        <f t="shared" si="10"/>
        <v>0</v>
      </c>
    </row>
    <row r="35" s="20" customFormat="1" ht="24" customHeight="1" spans="2:62">
      <c r="B35" s="48" t="s">
        <v>81</v>
      </c>
      <c r="C35" s="90" t="s">
        <v>181</v>
      </c>
      <c r="D35" s="126" t="s">
        <v>182</v>
      </c>
      <c r="E35" s="123">
        <v>-66613.69</v>
      </c>
      <c r="F35" s="135"/>
      <c r="G35" s="136"/>
      <c r="H35" s="147"/>
      <c r="I35" s="135">
        <v>35934</v>
      </c>
      <c r="J35" s="136">
        <v>7627.5</v>
      </c>
      <c r="K35" s="146">
        <v>23052.19</v>
      </c>
      <c r="L35" s="145">
        <f t="shared" si="15"/>
        <v>0</v>
      </c>
      <c r="M35" s="9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58"/>
      <c r="Z35" s="85"/>
      <c r="AA35" s="85"/>
      <c r="AB35" s="79" t="s">
        <v>84</v>
      </c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  <c r="AN35" s="174"/>
      <c r="AO35" s="169">
        <f t="shared" si="7"/>
        <v>0</v>
      </c>
      <c r="AP35" s="170">
        <f t="shared" si="8"/>
        <v>0</v>
      </c>
      <c r="AQ35" s="171">
        <f t="shared" si="16"/>
        <v>0</v>
      </c>
      <c r="AR35" s="172">
        <f t="shared" si="17"/>
        <v>23052.19</v>
      </c>
      <c r="AS35" s="172" t="str">
        <f t="shared" si="18"/>
        <v/>
      </c>
      <c r="AT35" s="173" t="str">
        <f t="shared" si="19"/>
        <v/>
      </c>
      <c r="AU35" s="108" t="str">
        <f t="shared" si="20"/>
        <v/>
      </c>
      <c r="AV35" s="108" t="str">
        <f t="shared" si="21"/>
        <v/>
      </c>
      <c r="AW35" s="108" t="str">
        <f>IF($AQ35-SUM(Q35:$X35)&gt;0,$AQ35-SUM(Q35:$X35),"")</f>
        <v/>
      </c>
      <c r="AX35" s="108" t="str">
        <f>IF($AQ35-SUM(R35:$X35)&gt;0,$AQ35-SUM(R35:$X35),"")</f>
        <v/>
      </c>
      <c r="AY35" s="108" t="str">
        <f>IF($AQ35-SUM(S35:$X35)&gt;0,$AQ35-SUM(S35:$X35),"")</f>
        <v/>
      </c>
      <c r="AZ35" s="108" t="str">
        <f>IF($AQ35-SUM(T35:$X35)&gt;0,$AQ35-SUM(T35:$X35),"")</f>
        <v/>
      </c>
      <c r="BA35" s="108" t="str">
        <f>IF($AQ35-SUM(U35:$X35)&gt;0,$AQ35-SUM(U35:$X35),"")</f>
        <v/>
      </c>
      <c r="BB35" s="108" t="str">
        <f>IF($AQ35-SUM(V35:$X35)&gt;0,$AQ35-SUM(V35:$X35),"")</f>
        <v/>
      </c>
      <c r="BC35" s="108" t="str">
        <f>IF($AQ35-SUM(W35:$X35)&gt;0,$AQ35-SUM(W35:$X35),"")</f>
        <v/>
      </c>
      <c r="BD35" s="183" t="s">
        <v>96</v>
      </c>
      <c r="BE35" s="182"/>
      <c r="BF35" s="179"/>
      <c r="BG35" s="180">
        <f>VLOOKUP(D35,Sheet3!D:O,12,FALSE)</f>
        <v>0</v>
      </c>
      <c r="BH35" s="180">
        <f t="shared" si="6"/>
        <v>0</v>
      </c>
      <c r="BI35" s="20" t="s">
        <v>182</v>
      </c>
      <c r="BJ35" s="20">
        <f t="shared" si="10"/>
        <v>0</v>
      </c>
    </row>
    <row r="36" s="20" customFormat="1" ht="24" customHeight="1" spans="2:62">
      <c r="B36" s="48" t="s">
        <v>81</v>
      </c>
      <c r="C36" s="90" t="s">
        <v>184</v>
      </c>
      <c r="D36" s="126" t="s">
        <v>185</v>
      </c>
      <c r="E36" s="123">
        <v>0</v>
      </c>
      <c r="F36" s="135"/>
      <c r="G36" s="136"/>
      <c r="H36" s="147"/>
      <c r="I36" s="135"/>
      <c r="J36" s="136"/>
      <c r="K36" s="136"/>
      <c r="L36" s="145">
        <f t="shared" si="15"/>
        <v>0</v>
      </c>
      <c r="M36" s="9">
        <v>19074.4</v>
      </c>
      <c r="N36" s="124"/>
      <c r="O36" s="124">
        <v>22385.76</v>
      </c>
      <c r="P36" s="124"/>
      <c r="Q36" s="124">
        <v>24048.66</v>
      </c>
      <c r="R36" s="124"/>
      <c r="S36" s="124"/>
      <c r="T36" s="124"/>
      <c r="U36" s="124"/>
      <c r="V36" s="124">
        <f>44115.2+12486.5</f>
        <v>56601.7</v>
      </c>
      <c r="W36" s="124">
        <v>6611.86</v>
      </c>
      <c r="X36" s="124">
        <v>27360.46</v>
      </c>
      <c r="Y36" s="158"/>
      <c r="Z36" s="85"/>
      <c r="AA36" s="85"/>
      <c r="AB36" s="79" t="s">
        <v>84</v>
      </c>
      <c r="AC36" s="159"/>
      <c r="AD36" s="159"/>
      <c r="AE36" s="159">
        <v>18734.4</v>
      </c>
      <c r="AF36" s="159"/>
      <c r="AG36" s="159"/>
      <c r="AH36" s="159"/>
      <c r="AI36" s="159">
        <v>22725.76</v>
      </c>
      <c r="AJ36" s="159"/>
      <c r="AK36" s="159">
        <v>24048.66</v>
      </c>
      <c r="AL36" s="159">
        <v>44115.2</v>
      </c>
      <c r="AM36" s="159"/>
      <c r="AN36" s="174"/>
      <c r="AO36" s="169">
        <f t="shared" ref="AO36:AO52" si="23">SUM(L36:X36)</f>
        <v>156082.84</v>
      </c>
      <c r="AP36" s="170">
        <f t="shared" si="8"/>
        <v>109624.02</v>
      </c>
      <c r="AQ36" s="171">
        <f t="shared" si="16"/>
        <v>46458.82</v>
      </c>
      <c r="AR36" s="172" t="str">
        <f t="shared" si="17"/>
        <v/>
      </c>
      <c r="AS36" s="172" t="str">
        <f t="shared" si="18"/>
        <v/>
      </c>
      <c r="AT36" s="173" t="str">
        <f t="shared" si="19"/>
        <v/>
      </c>
      <c r="AU36" s="108" t="str">
        <f t="shared" si="20"/>
        <v/>
      </c>
      <c r="AV36" s="108" t="str">
        <f t="shared" si="21"/>
        <v/>
      </c>
      <c r="AW36" s="108" t="str">
        <f>IF($AQ36-SUM(Q36:$X36)&gt;0,$AQ36-SUM(Q36:$X36),"")</f>
        <v/>
      </c>
      <c r="AX36" s="108" t="str">
        <f>IF($AQ36-SUM(R36:$X36)&gt;0,$AQ36-SUM(R36:$X36),"")</f>
        <v/>
      </c>
      <c r="AY36" s="108" t="str">
        <f>IF($AQ36-SUM(S36:$X36)&gt;0,$AQ36-SUM(S36:$X36),"")</f>
        <v/>
      </c>
      <c r="AZ36" s="108" t="str">
        <f>IF($AQ36-SUM(T36:$X36)&gt;0,$AQ36-SUM(T36:$X36),"")</f>
        <v/>
      </c>
      <c r="BA36" s="108" t="str">
        <f>IF($AQ36-SUM(U36:$X36)&gt;0,$AQ36-SUM(U36:$X36),"")</f>
        <v/>
      </c>
      <c r="BB36" s="108" t="str">
        <f>IF($AQ36-SUM(V36:$X36)&gt;0,$AQ36-SUM(V36:$X36),"")</f>
        <v/>
      </c>
      <c r="BC36" s="108">
        <f>IF($AQ36-SUM(W36:$X36)&gt;0,$AQ36-SUM(W36:$X36),"")</f>
        <v>12486.5</v>
      </c>
      <c r="BD36" s="181"/>
      <c r="BE36" s="182"/>
      <c r="BF36" s="179"/>
      <c r="BG36" s="180">
        <f>VLOOKUP(D36,Sheet3!D:O,12,FALSE)</f>
        <v>99231.74</v>
      </c>
      <c r="BH36" s="180">
        <f t="shared" si="6"/>
        <v>-52772.92</v>
      </c>
      <c r="BI36" s="20" t="s">
        <v>185</v>
      </c>
      <c r="BJ36" s="20">
        <f t="shared" si="10"/>
        <v>65508.82</v>
      </c>
    </row>
    <row r="37" s="20" customFormat="1" ht="24" customHeight="1" spans="2:62">
      <c r="B37" s="48" t="s">
        <v>81</v>
      </c>
      <c r="C37" s="90" t="s">
        <v>207</v>
      </c>
      <c r="D37" s="126" t="s">
        <v>208</v>
      </c>
      <c r="E37" s="123">
        <v>0</v>
      </c>
      <c r="F37" s="135"/>
      <c r="G37" s="136"/>
      <c r="H37" s="147"/>
      <c r="I37" s="135"/>
      <c r="J37" s="136"/>
      <c r="K37" s="136"/>
      <c r="L37" s="145">
        <f t="shared" si="15"/>
        <v>0</v>
      </c>
      <c r="M37" s="9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58"/>
      <c r="Z37" s="85"/>
      <c r="AA37" s="85"/>
      <c r="AB37" s="79"/>
      <c r="AC37" s="159"/>
      <c r="AD37" s="159"/>
      <c r="AE37" s="159"/>
      <c r="AF37" s="159"/>
      <c r="AG37" s="159"/>
      <c r="AH37" s="159"/>
      <c r="AI37" s="159"/>
      <c r="AJ37" s="159"/>
      <c r="AK37" s="159"/>
      <c r="AL37" s="159"/>
      <c r="AM37" s="159"/>
      <c r="AN37" s="174"/>
      <c r="AO37" s="169">
        <f t="shared" si="23"/>
        <v>0</v>
      </c>
      <c r="AP37" s="170">
        <f t="shared" ref="AP37:AP49" si="24">SUM(AC37:AN37)</f>
        <v>0</v>
      </c>
      <c r="AQ37" s="171">
        <f t="shared" si="16"/>
        <v>0</v>
      </c>
      <c r="AR37" s="172" t="str">
        <f t="shared" si="17"/>
        <v/>
      </c>
      <c r="AS37" s="172" t="str">
        <f t="shared" si="18"/>
        <v/>
      </c>
      <c r="AT37" s="173" t="str">
        <f t="shared" si="19"/>
        <v/>
      </c>
      <c r="AU37" s="108" t="str">
        <f t="shared" si="20"/>
        <v/>
      </c>
      <c r="AV37" s="108" t="str">
        <f t="shared" si="21"/>
        <v/>
      </c>
      <c r="AW37" s="108" t="str">
        <f t="shared" si="22"/>
        <v/>
      </c>
      <c r="AX37" s="108"/>
      <c r="AY37" s="108"/>
      <c r="AZ37" s="108"/>
      <c r="BA37" s="108"/>
      <c r="BB37" s="108"/>
      <c r="BC37" s="108"/>
      <c r="BD37" s="181"/>
      <c r="BE37" s="182"/>
      <c r="BF37" s="179"/>
      <c r="BG37" s="180">
        <f>VLOOKUP(D37,Sheet3!D:O,12,FALSE)</f>
        <v>0</v>
      </c>
      <c r="BH37" s="180">
        <f t="shared" si="6"/>
        <v>0</v>
      </c>
      <c r="BI37" s="20" t="s">
        <v>208</v>
      </c>
      <c r="BJ37" s="20">
        <f t="shared" si="10"/>
        <v>0</v>
      </c>
    </row>
    <row r="38" s="20" customFormat="1" ht="24" customHeight="1" spans="2:62">
      <c r="B38" s="48" t="s">
        <v>81</v>
      </c>
      <c r="C38" s="90" t="s">
        <v>209</v>
      </c>
      <c r="D38" s="126" t="s">
        <v>210</v>
      </c>
      <c r="E38" s="123">
        <v>0</v>
      </c>
      <c r="F38" s="135">
        <v>142380</v>
      </c>
      <c r="G38" s="136"/>
      <c r="H38" s="147"/>
      <c r="I38" s="135"/>
      <c r="J38" s="136"/>
      <c r="K38" s="136"/>
      <c r="L38" s="145">
        <f t="shared" si="15"/>
        <v>0</v>
      </c>
      <c r="M38" s="9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58"/>
      <c r="Z38" s="85"/>
      <c r="AA38" s="85"/>
      <c r="AB38" s="79"/>
      <c r="AC38" s="159"/>
      <c r="AD38" s="159"/>
      <c r="AE38" s="159"/>
      <c r="AF38" s="159"/>
      <c r="AG38" s="159"/>
      <c r="AH38" s="159"/>
      <c r="AI38" s="159"/>
      <c r="AJ38" s="159"/>
      <c r="AK38" s="159"/>
      <c r="AL38" s="159"/>
      <c r="AM38" s="159"/>
      <c r="AN38" s="174"/>
      <c r="AO38" s="169">
        <f t="shared" si="23"/>
        <v>0</v>
      </c>
      <c r="AP38" s="170">
        <f t="shared" si="24"/>
        <v>0</v>
      </c>
      <c r="AQ38" s="171">
        <f t="shared" si="16"/>
        <v>0</v>
      </c>
      <c r="AR38" s="172" t="str">
        <f t="shared" si="17"/>
        <v/>
      </c>
      <c r="AS38" s="172" t="str">
        <f t="shared" si="18"/>
        <v/>
      </c>
      <c r="AT38" s="173" t="str">
        <f t="shared" si="19"/>
        <v/>
      </c>
      <c r="AU38" s="108" t="str">
        <f t="shared" si="20"/>
        <v/>
      </c>
      <c r="AV38" s="108" t="str">
        <f t="shared" si="21"/>
        <v/>
      </c>
      <c r="AW38" s="108" t="str">
        <f t="shared" si="22"/>
        <v/>
      </c>
      <c r="AX38" s="108"/>
      <c r="AY38" s="108"/>
      <c r="AZ38" s="108"/>
      <c r="BA38" s="108"/>
      <c r="BB38" s="108"/>
      <c r="BC38" s="108"/>
      <c r="BD38" s="181" t="s">
        <v>222</v>
      </c>
      <c r="BE38" s="182"/>
      <c r="BF38" s="179"/>
      <c r="BG38" s="180">
        <f>VLOOKUP(D38,Sheet3!D:O,12,FALSE)</f>
        <v>0</v>
      </c>
      <c r="BH38" s="180">
        <f t="shared" si="6"/>
        <v>0</v>
      </c>
      <c r="BI38" s="20" t="s">
        <v>210</v>
      </c>
      <c r="BJ38" s="20">
        <f t="shared" si="10"/>
        <v>0</v>
      </c>
    </row>
    <row r="39" s="20" customFormat="1" ht="24" customHeight="1" spans="2:62">
      <c r="B39" s="48" t="s">
        <v>81</v>
      </c>
      <c r="C39" s="90" t="s">
        <v>211</v>
      </c>
      <c r="D39" s="126" t="e">
        <f t="array" ref="D39">[2]!'!数据!R319C4'</f>
        <v>#REF!</v>
      </c>
      <c r="E39" s="123">
        <v>0</v>
      </c>
      <c r="F39" s="135"/>
      <c r="G39" s="136"/>
      <c r="H39" s="147"/>
      <c r="I39" s="135"/>
      <c r="J39" s="136"/>
      <c r="K39" s="136"/>
      <c r="L39" s="145">
        <f t="shared" si="15"/>
        <v>0</v>
      </c>
      <c r="M39" s="9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58"/>
      <c r="Z39" s="85"/>
      <c r="AA39" s="85"/>
      <c r="AB39" s="79"/>
      <c r="AC39" s="159"/>
      <c r="AD39" s="159"/>
      <c r="AE39" s="159"/>
      <c r="AF39" s="159"/>
      <c r="AG39" s="159"/>
      <c r="AH39" s="159"/>
      <c r="AI39" s="159"/>
      <c r="AJ39" s="159"/>
      <c r="AK39" s="159"/>
      <c r="AL39" s="159"/>
      <c r="AM39" s="159"/>
      <c r="AN39" s="174"/>
      <c r="AO39" s="169">
        <f t="shared" si="23"/>
        <v>0</v>
      </c>
      <c r="AP39" s="170">
        <f t="shared" si="24"/>
        <v>0</v>
      </c>
      <c r="AQ39" s="171">
        <f t="shared" si="16"/>
        <v>0</v>
      </c>
      <c r="AR39" s="172" t="str">
        <f t="shared" si="17"/>
        <v/>
      </c>
      <c r="AS39" s="172" t="str">
        <f t="shared" si="18"/>
        <v/>
      </c>
      <c r="AT39" s="173" t="str">
        <f t="shared" si="19"/>
        <v/>
      </c>
      <c r="AU39" s="108" t="str">
        <f t="shared" si="20"/>
        <v/>
      </c>
      <c r="AV39" s="108" t="str">
        <f t="shared" si="21"/>
        <v/>
      </c>
      <c r="AW39" s="108" t="str">
        <f t="shared" si="22"/>
        <v/>
      </c>
      <c r="AX39" s="108"/>
      <c r="AY39" s="108"/>
      <c r="AZ39" s="108"/>
      <c r="BA39" s="108"/>
      <c r="BB39" s="108"/>
      <c r="BC39" s="108"/>
      <c r="BD39" s="181" t="s">
        <v>222</v>
      </c>
      <c r="BE39" s="182"/>
      <c r="BF39" s="179"/>
      <c r="BG39" s="180" t="e">
        <f>VLOOKUP(D39,Sheet3!D:O,12,FALSE)</f>
        <v>#REF!</v>
      </c>
      <c r="BH39" s="180" t="e">
        <f t="shared" si="6"/>
        <v>#REF!</v>
      </c>
      <c r="BI39" s="20" t="s">
        <v>269</v>
      </c>
      <c r="BJ39" s="20">
        <f t="shared" si="10"/>
        <v>0</v>
      </c>
    </row>
    <row r="40" s="20" customFormat="1" ht="24" customHeight="1" spans="2:62">
      <c r="B40" s="48" t="s">
        <v>81</v>
      </c>
      <c r="C40" s="90" t="s">
        <v>212</v>
      </c>
      <c r="D40" s="126" t="s">
        <v>213</v>
      </c>
      <c r="E40" s="123">
        <v>167395.48</v>
      </c>
      <c r="F40" s="135"/>
      <c r="G40" s="136">
        <v>167395.48</v>
      </c>
      <c r="H40" s="147"/>
      <c r="I40" s="135"/>
      <c r="J40" s="136"/>
      <c r="K40" s="136">
        <v>167395.48</v>
      </c>
      <c r="L40" s="145">
        <f t="shared" si="15"/>
        <v>334790.96</v>
      </c>
      <c r="M40" s="9">
        <v>167395.48</v>
      </c>
      <c r="N40" s="124">
        <f>167395.48+167395.48</f>
        <v>334790.96</v>
      </c>
      <c r="O40" s="124">
        <f>167395.48+167395.48</f>
        <v>334790.96</v>
      </c>
      <c r="P40" s="124"/>
      <c r="Q40" s="124"/>
      <c r="R40" s="124"/>
      <c r="S40" s="124">
        <v>167395.48</v>
      </c>
      <c r="T40" s="124">
        <v>167395.48</v>
      </c>
      <c r="U40" s="124">
        <v>167395.48</v>
      </c>
      <c r="V40" s="124">
        <v>167395.48</v>
      </c>
      <c r="W40" s="124">
        <v>167395.48</v>
      </c>
      <c r="X40" s="124"/>
      <c r="Y40" s="158"/>
      <c r="Z40" s="85"/>
      <c r="AA40" s="85"/>
      <c r="AB40" s="79"/>
      <c r="AC40" s="159">
        <v>167395.48</v>
      </c>
      <c r="AD40" s="159"/>
      <c r="AE40" s="159">
        <v>334790.96</v>
      </c>
      <c r="AF40" s="159"/>
      <c r="AG40" s="159">
        <v>502186.44</v>
      </c>
      <c r="AH40" s="159"/>
      <c r="AI40" s="159">
        <v>167395.48</v>
      </c>
      <c r="AJ40" s="159"/>
      <c r="AK40" s="159">
        <v>167395.48</v>
      </c>
      <c r="AL40" s="159"/>
      <c r="AM40" s="159"/>
      <c r="AN40" s="174">
        <v>334790.96</v>
      </c>
      <c r="AO40" s="169">
        <f t="shared" si="23"/>
        <v>2008745.76</v>
      </c>
      <c r="AP40" s="170">
        <f t="shared" si="24"/>
        <v>1673954.8</v>
      </c>
      <c r="AQ40" s="171">
        <f t="shared" si="16"/>
        <v>334790.96</v>
      </c>
      <c r="AR40" s="172" t="str">
        <f t="shared" si="17"/>
        <v/>
      </c>
      <c r="AS40" s="172" t="str">
        <f t="shared" si="18"/>
        <v/>
      </c>
      <c r="AT40" s="173" t="str">
        <f t="shared" si="19"/>
        <v/>
      </c>
      <c r="AU40" s="108" t="str">
        <f>IF(AQ40-SUM(P40:X40)&gt;0,AQ40-SUM(P40:X40),"")</f>
        <v/>
      </c>
      <c r="AV40" s="108">
        <f>IF($AQ40-SUM(Q40)&gt;0,$AQ40-SUM(Q40),"")</f>
        <v>334790.96</v>
      </c>
      <c r="AW40" s="108">
        <f>IF($AQ40-SUM(R40)&gt;0,$AQ40-SUM(R40),"")</f>
        <v>334790.96</v>
      </c>
      <c r="AX40" s="108">
        <f t="shared" ref="AX40:BC40" si="25">IF($AQ40-SUM(S40)&gt;0,$AQ40-SUM(S40),"")</f>
        <v>167395.48</v>
      </c>
      <c r="AY40" s="108">
        <f>IF($AQ40-SUM(U40)&gt;0,$AQ40-SUM(U40),"")</f>
        <v>167395.48</v>
      </c>
      <c r="AZ40" s="108">
        <f t="shared" si="25"/>
        <v>167395.48</v>
      </c>
      <c r="BA40" s="108">
        <f t="shared" si="25"/>
        <v>167395.48</v>
      </c>
      <c r="BB40" s="108">
        <f t="shared" si="25"/>
        <v>167395.48</v>
      </c>
      <c r="BC40" s="108">
        <f t="shared" si="25"/>
        <v>334790.96</v>
      </c>
      <c r="BD40" s="181" t="s">
        <v>101</v>
      </c>
      <c r="BE40" s="182"/>
      <c r="BF40" s="179"/>
      <c r="BG40" s="180">
        <f>VLOOKUP(D40,Sheet3!D:O,12,FALSE)</f>
        <v>337665.68</v>
      </c>
      <c r="BH40" s="180">
        <f t="shared" si="6"/>
        <v>-2874.72000000003</v>
      </c>
      <c r="BI40" s="20" t="s">
        <v>213</v>
      </c>
      <c r="BJ40" s="20">
        <f t="shared" si="10"/>
        <v>1339163.84</v>
      </c>
    </row>
    <row r="41" s="20" customFormat="1" ht="24" customHeight="1" spans="2:62">
      <c r="B41" s="48" t="s">
        <v>81</v>
      </c>
      <c r="C41" s="90" t="s">
        <v>237</v>
      </c>
      <c r="D41" s="126" t="s">
        <v>214</v>
      </c>
      <c r="E41" s="123">
        <v>8818.54</v>
      </c>
      <c r="F41" s="135">
        <v>8818.54</v>
      </c>
      <c r="G41" s="136"/>
      <c r="H41" s="147"/>
      <c r="I41" s="135"/>
      <c r="J41" s="136"/>
      <c r="K41" s="136"/>
      <c r="L41" s="145">
        <f t="shared" si="15"/>
        <v>8818.54</v>
      </c>
      <c r="M41" s="9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58"/>
      <c r="Z41" s="85"/>
      <c r="AA41" s="85"/>
      <c r="AB41" s="79"/>
      <c r="AC41" s="159"/>
      <c r="AD41" s="159"/>
      <c r="AE41" s="159">
        <v>8818.54</v>
      </c>
      <c r="AF41" s="159"/>
      <c r="AG41" s="159"/>
      <c r="AH41" s="159"/>
      <c r="AI41" s="159"/>
      <c r="AJ41" s="159"/>
      <c r="AK41" s="159"/>
      <c r="AL41" s="159"/>
      <c r="AM41" s="159"/>
      <c r="AN41" s="174"/>
      <c r="AO41" s="169">
        <f t="shared" si="23"/>
        <v>8818.54</v>
      </c>
      <c r="AP41" s="170">
        <f t="shared" si="24"/>
        <v>8818.54</v>
      </c>
      <c r="AQ41" s="171">
        <f t="shared" si="16"/>
        <v>0</v>
      </c>
      <c r="AR41" s="172" t="str">
        <f t="shared" si="17"/>
        <v/>
      </c>
      <c r="AS41" s="172" t="str">
        <f t="shared" si="18"/>
        <v/>
      </c>
      <c r="AT41" s="173" t="str">
        <f t="shared" si="19"/>
        <v/>
      </c>
      <c r="AU41" s="108" t="str">
        <f>IF(AQ41-SUM(O41:X41)&gt;0,AQ41-SUM(O41:X41),"")</f>
        <v/>
      </c>
      <c r="AV41" s="108" t="str">
        <f t="shared" si="21"/>
        <v/>
      </c>
      <c r="AW41" s="108" t="str">
        <f t="shared" si="22"/>
        <v/>
      </c>
      <c r="AX41" s="108"/>
      <c r="AY41" s="108"/>
      <c r="AZ41" s="108"/>
      <c r="BA41" s="108"/>
      <c r="BB41" s="108"/>
      <c r="BC41" s="108"/>
      <c r="BD41" s="181" t="s">
        <v>222</v>
      </c>
      <c r="BE41" s="182"/>
      <c r="BF41" s="179"/>
      <c r="BG41" s="180">
        <f>VLOOKUP(D41,Sheet3!D:O,12,FALSE)</f>
        <v>0</v>
      </c>
      <c r="BH41" s="180">
        <f t="shared" si="6"/>
        <v>0</v>
      </c>
      <c r="BI41" s="20" t="s">
        <v>214</v>
      </c>
      <c r="BJ41" s="20">
        <f t="shared" si="10"/>
        <v>0</v>
      </c>
    </row>
    <row r="42" s="20" customFormat="1" ht="24" customHeight="1" spans="2:62">
      <c r="B42" s="48" t="s">
        <v>81</v>
      </c>
      <c r="C42" s="90" t="s">
        <v>215</v>
      </c>
      <c r="D42" s="127" t="s">
        <v>216</v>
      </c>
      <c r="E42" s="128">
        <v>187357.92</v>
      </c>
      <c r="F42" s="137">
        <v>34739.55</v>
      </c>
      <c r="G42" s="138"/>
      <c r="H42" s="148"/>
      <c r="I42" s="137"/>
      <c r="J42" s="138"/>
      <c r="K42" s="138">
        <v>24634</v>
      </c>
      <c r="L42" s="145">
        <f t="shared" si="15"/>
        <v>211991.92</v>
      </c>
      <c r="M42" s="133"/>
      <c r="N42" s="134"/>
      <c r="O42" s="134">
        <v>45154.8</v>
      </c>
      <c r="P42" s="134">
        <v>17494.1</v>
      </c>
      <c r="Q42" s="134"/>
      <c r="R42" s="134">
        <f>11146.32+24408</f>
        <v>35554.32</v>
      </c>
      <c r="S42" s="134">
        <v>12204</v>
      </c>
      <c r="T42" s="134"/>
      <c r="U42" s="134"/>
      <c r="V42" s="134">
        <v>42307.2</v>
      </c>
      <c r="W42" s="134"/>
      <c r="X42" s="134">
        <v>34983.11</v>
      </c>
      <c r="Y42" s="158"/>
      <c r="Z42" s="85"/>
      <c r="AA42" s="85"/>
      <c r="AB42" s="85"/>
      <c r="AC42" s="159">
        <v>100000</v>
      </c>
      <c r="AD42" s="159"/>
      <c r="AE42" s="159">
        <v>50000</v>
      </c>
      <c r="AF42" s="159">
        <v>61991.92</v>
      </c>
      <c r="AG42" s="159"/>
      <c r="AH42" s="159"/>
      <c r="AI42" s="159">
        <v>20000</v>
      </c>
      <c r="AJ42" s="159"/>
      <c r="AK42" s="159">
        <v>42648.9</v>
      </c>
      <c r="AL42" s="159"/>
      <c r="AM42" s="159"/>
      <c r="AN42" s="174">
        <v>47758.32</v>
      </c>
      <c r="AO42" s="169">
        <f t="shared" si="23"/>
        <v>399689.45</v>
      </c>
      <c r="AP42" s="170">
        <f t="shared" si="24"/>
        <v>322399.14</v>
      </c>
      <c r="AQ42" s="171">
        <f t="shared" si="16"/>
        <v>77290.31</v>
      </c>
      <c r="AR42" s="172" t="str">
        <f>IF(AQ42-SUM(M42:X42)+K42+J42&gt;0,AQ42-SUM(M42:X42)+K42+J42,"")</f>
        <v/>
      </c>
      <c r="AS42" s="172" t="str">
        <f>IF(AQ42-SUM(M42:X42)+K42&gt;0,AQ42-SUM(M42:X42)+K42,"")</f>
        <v/>
      </c>
      <c r="AT42" s="173" t="str">
        <f>IF(AQ42-SUM(M42:X42)&gt;0,AQ42-SUM(M42:X42),"")</f>
        <v/>
      </c>
      <c r="AU42" s="108" t="str">
        <f>IF(AQ42-SUM(N42:X42)&gt;0,AQ42-SUM(N42:X42),"")</f>
        <v/>
      </c>
      <c r="AV42" s="108" t="str">
        <f>IF(AQ42-SUM(O42:X42)&gt;0,AQ42-SUM(O42:X42),"")</f>
        <v/>
      </c>
      <c r="AW42" s="108" t="str">
        <f>IF($AQ42-SUM(P42:$X42)&gt;0,$AQ42-SUM(P42:$X42),"")</f>
        <v/>
      </c>
      <c r="AX42" s="108" t="str">
        <f>IF($AQ42-SUM(Q42:$X42)&gt;0,$AQ42-SUM(Q42:$X42),"")</f>
        <v/>
      </c>
      <c r="AY42" s="108" t="str">
        <f>IF($AQ42-SUM(R42:$X42)&gt;0,$AQ42-SUM(R42:$X42),"")</f>
        <v/>
      </c>
      <c r="AZ42" s="108" t="str">
        <f>IF($AQ42-SUM(S42:$X42)&gt;0,$AQ42-SUM(S42:$X42),"")</f>
        <v/>
      </c>
      <c r="BA42" s="108" t="str">
        <f>IF($AQ42-SUM(T42:$X42)&gt;0,$AQ42-SUM(T42:$X42),"")</f>
        <v/>
      </c>
      <c r="BB42" s="108" t="str">
        <f>IF($AQ42-SUM(U42:$X42)&gt;0,$AQ42-SUM(U42:$X42),"")</f>
        <v/>
      </c>
      <c r="BC42" s="108" t="str">
        <f>IF($AQ42-SUM(V42:$X42)&gt;0,$AQ42-SUM(V42:$X42),"")</f>
        <v/>
      </c>
      <c r="BD42" s="184" t="s">
        <v>222</v>
      </c>
      <c r="BE42" s="182"/>
      <c r="BF42" s="179"/>
      <c r="BG42" s="180">
        <f>VLOOKUP(D42,Sheet3!D:O,12,FALSE)</f>
        <v>56918.41</v>
      </c>
      <c r="BH42" s="180">
        <f t="shared" si="6"/>
        <v>20371.9</v>
      </c>
      <c r="BI42" s="20" t="s">
        <v>216</v>
      </c>
      <c r="BJ42" s="20">
        <f t="shared" si="10"/>
        <v>110407.22</v>
      </c>
    </row>
    <row r="43" s="20" customFormat="1" ht="24" customHeight="1" spans="2:62">
      <c r="B43" s="48" t="s">
        <v>81</v>
      </c>
      <c r="C43" s="90" t="s">
        <v>217</v>
      </c>
      <c r="D43" s="127" t="s">
        <v>223</v>
      </c>
      <c r="E43" s="128">
        <v>45561.6</v>
      </c>
      <c r="F43" s="137">
        <v>25628.4</v>
      </c>
      <c r="G43" s="138"/>
      <c r="H43" s="148">
        <v>19933.2</v>
      </c>
      <c r="I43" s="137"/>
      <c r="J43" s="138"/>
      <c r="K43" s="138"/>
      <c r="L43" s="145">
        <f t="shared" si="15"/>
        <v>45561.6</v>
      </c>
      <c r="M43" s="133">
        <v>2600.8</v>
      </c>
      <c r="N43" s="134">
        <v>17351.38</v>
      </c>
      <c r="O43" s="134">
        <v>14233.25</v>
      </c>
      <c r="P43" s="134">
        <v>12814.2</v>
      </c>
      <c r="Q43" s="134">
        <v>10441.2</v>
      </c>
      <c r="R43" s="134"/>
      <c r="S43" s="134">
        <v>5695.2</v>
      </c>
      <c r="T43" s="134">
        <v>9492</v>
      </c>
      <c r="U43" s="134">
        <v>6644.4</v>
      </c>
      <c r="V43" s="134">
        <v>14475.3</v>
      </c>
      <c r="W43" s="134">
        <v>10915.8</v>
      </c>
      <c r="X43" s="134"/>
      <c r="Y43" s="158"/>
      <c r="Z43" s="85"/>
      <c r="AA43" s="85"/>
      <c r="AB43" s="85"/>
      <c r="AC43" s="159">
        <v>25628.4</v>
      </c>
      <c r="AD43" s="160">
        <v>5000</v>
      </c>
      <c r="AE43" s="159">
        <v>34885.38</v>
      </c>
      <c r="AF43" s="159"/>
      <c r="AG43" s="159">
        <v>14233.25</v>
      </c>
      <c r="AH43" s="159"/>
      <c r="AI43" s="159">
        <v>12814.2</v>
      </c>
      <c r="AJ43" s="159">
        <v>10441.2</v>
      </c>
      <c r="AK43" s="159"/>
      <c r="AL43" s="159"/>
      <c r="AM43" s="159"/>
      <c r="AN43" s="174">
        <v>21831.6</v>
      </c>
      <c r="AO43" s="169">
        <f t="shared" si="23"/>
        <v>150225.13</v>
      </c>
      <c r="AP43" s="170">
        <f t="shared" si="24"/>
        <v>124834.03</v>
      </c>
      <c r="AQ43" s="171">
        <f t="shared" si="16"/>
        <v>25391.1</v>
      </c>
      <c r="AR43" s="172" t="str">
        <f t="shared" si="17"/>
        <v/>
      </c>
      <c r="AS43" s="172" t="str">
        <f t="shared" si="18"/>
        <v/>
      </c>
      <c r="AT43" s="173" t="str">
        <f t="shared" si="19"/>
        <v/>
      </c>
      <c r="AU43" s="108" t="str">
        <f>IF(AQ43-SUM(P43:X43)&gt;0,AQ43-SUM(P43:X43),"")</f>
        <v/>
      </c>
      <c r="AV43" s="108" t="str">
        <f>IF(AQ43-SUM(Q43:X43)&gt;0,AQ43-SUM(Q43:X43),"")</f>
        <v/>
      </c>
      <c r="AW43" s="108">
        <f>IF(AQ43-SUM(Y43)&gt;0,AQ43-SUM(Y43),"")</f>
        <v>25391.1</v>
      </c>
      <c r="AX43" s="108">
        <f t="shared" ref="AX43:BC43" si="26">IF($AQ43-SUM(S43)&gt;0,$AQ43-SUM(S43),"")</f>
        <v>19695.9</v>
      </c>
      <c r="AY43" s="108">
        <f t="shared" si="26"/>
        <v>15899.1</v>
      </c>
      <c r="AZ43" s="108">
        <f t="shared" si="26"/>
        <v>18746.7</v>
      </c>
      <c r="BA43" s="108">
        <f t="shared" si="26"/>
        <v>10915.8</v>
      </c>
      <c r="BB43" s="108">
        <f t="shared" si="26"/>
        <v>14475.3</v>
      </c>
      <c r="BC43" s="108">
        <f t="shared" si="26"/>
        <v>25391.1</v>
      </c>
      <c r="BD43" s="184" t="s">
        <v>101</v>
      </c>
      <c r="BE43" s="182"/>
      <c r="BF43" s="179"/>
      <c r="BG43" s="180">
        <f>VLOOKUP(D43,Sheet3!D:O,12,FALSE)</f>
        <v>32747.5</v>
      </c>
      <c r="BH43" s="180">
        <f t="shared" si="6"/>
        <v>-7356.40000000002</v>
      </c>
      <c r="BI43" s="20" t="s">
        <v>223</v>
      </c>
      <c r="BJ43" s="20">
        <f t="shared" si="10"/>
        <v>79272.43</v>
      </c>
    </row>
    <row r="44" s="20" customFormat="1" ht="24" customHeight="1" spans="2:62">
      <c r="B44" s="48" t="s">
        <v>81</v>
      </c>
      <c r="C44" s="90" t="s">
        <v>238</v>
      </c>
      <c r="D44" s="127" t="s">
        <v>219</v>
      </c>
      <c r="E44" s="128">
        <v>0</v>
      </c>
      <c r="F44" s="137"/>
      <c r="G44" s="138"/>
      <c r="H44" s="148"/>
      <c r="I44" s="137"/>
      <c r="J44" s="138"/>
      <c r="K44" s="138"/>
      <c r="L44" s="145">
        <f t="shared" si="15"/>
        <v>0</v>
      </c>
      <c r="M44" s="133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58"/>
      <c r="Z44" s="85"/>
      <c r="AA44" s="85"/>
      <c r="AB44" s="85"/>
      <c r="AC44" s="159"/>
      <c r="AD44" s="159"/>
      <c r="AE44" s="159"/>
      <c r="AF44" s="159"/>
      <c r="AG44" s="159"/>
      <c r="AH44" s="159"/>
      <c r="AI44" s="159"/>
      <c r="AJ44" s="159"/>
      <c r="AK44" s="159"/>
      <c r="AL44" s="159"/>
      <c r="AM44" s="159"/>
      <c r="AN44" s="174"/>
      <c r="AO44" s="169">
        <f t="shared" si="23"/>
        <v>0</v>
      </c>
      <c r="AP44" s="170">
        <f t="shared" si="24"/>
        <v>0</v>
      </c>
      <c r="AQ44" s="171">
        <f t="shared" si="16"/>
        <v>0</v>
      </c>
      <c r="AR44" s="172" t="str">
        <f t="shared" si="17"/>
        <v/>
      </c>
      <c r="AS44" s="172" t="str">
        <f t="shared" si="18"/>
        <v/>
      </c>
      <c r="AT44" s="173" t="str">
        <f t="shared" si="19"/>
        <v/>
      </c>
      <c r="AU44" s="108" t="str">
        <f>IF(AQ44-SUM(O44:X44)&gt;0,AQ44-SUM(O44:X44),"")</f>
        <v/>
      </c>
      <c r="AV44" s="108" t="str">
        <f t="shared" si="21"/>
        <v/>
      </c>
      <c r="AW44" s="108" t="str">
        <f t="shared" si="22"/>
        <v/>
      </c>
      <c r="AX44" s="107"/>
      <c r="AY44" s="107"/>
      <c r="AZ44" s="107"/>
      <c r="BA44" s="107"/>
      <c r="BB44" s="107"/>
      <c r="BC44" s="107"/>
      <c r="BD44" s="184" t="s">
        <v>101</v>
      </c>
      <c r="BE44" s="182"/>
      <c r="BF44" s="179"/>
      <c r="BG44" s="180">
        <f>VLOOKUP(D44,Sheet3!D:O,12,FALSE)</f>
        <v>0</v>
      </c>
      <c r="BH44" s="180">
        <f t="shared" si="6"/>
        <v>0</v>
      </c>
      <c r="BI44" s="20" t="s">
        <v>219</v>
      </c>
      <c r="BJ44" s="20">
        <f t="shared" si="10"/>
        <v>0</v>
      </c>
    </row>
    <row r="45" s="20" customFormat="1" ht="24" customHeight="1" spans="2:62">
      <c r="B45" s="48" t="s">
        <v>81</v>
      </c>
      <c r="C45" s="90" t="s">
        <v>239</v>
      </c>
      <c r="D45" s="127" t="s">
        <v>240</v>
      </c>
      <c r="E45" s="128">
        <v>0</v>
      </c>
      <c r="F45" s="137"/>
      <c r="G45" s="138"/>
      <c r="H45" s="148"/>
      <c r="I45" s="137"/>
      <c r="J45" s="138"/>
      <c r="K45" s="148"/>
      <c r="L45" s="145">
        <f t="shared" si="15"/>
        <v>0</v>
      </c>
      <c r="M45" s="133"/>
      <c r="N45" s="134"/>
      <c r="O45" s="134"/>
      <c r="P45" s="134"/>
      <c r="Q45" s="134"/>
      <c r="R45" s="134"/>
      <c r="S45" s="134"/>
      <c r="T45" s="139"/>
      <c r="U45" s="134"/>
      <c r="V45" s="134"/>
      <c r="W45" s="134"/>
      <c r="X45" s="134"/>
      <c r="Y45" s="158"/>
      <c r="Z45" s="85"/>
      <c r="AA45" s="85"/>
      <c r="AB45" s="85"/>
      <c r="AC45" s="159"/>
      <c r="AD45" s="159"/>
      <c r="AE45" s="159"/>
      <c r="AF45" s="159"/>
      <c r="AG45" s="159"/>
      <c r="AH45" s="159"/>
      <c r="AI45" s="159"/>
      <c r="AJ45" s="159"/>
      <c r="AK45" s="159"/>
      <c r="AL45" s="159"/>
      <c r="AM45" s="159"/>
      <c r="AN45" s="174"/>
      <c r="AO45" s="169">
        <f t="shared" si="23"/>
        <v>0</v>
      </c>
      <c r="AP45" s="170">
        <f t="shared" si="24"/>
        <v>0</v>
      </c>
      <c r="AQ45" s="171">
        <f t="shared" si="16"/>
        <v>0</v>
      </c>
      <c r="AR45" s="172" t="str">
        <f t="shared" si="17"/>
        <v/>
      </c>
      <c r="AS45" s="172" t="str">
        <f t="shared" si="18"/>
        <v/>
      </c>
      <c r="AT45" s="173" t="str">
        <f t="shared" si="19"/>
        <v/>
      </c>
      <c r="AU45" s="108" t="str">
        <f>IF(AQ45-SUM(O45:X45)&gt;0,AQ45-SUM(O45:X45),"")</f>
        <v/>
      </c>
      <c r="AV45" s="108" t="str">
        <f t="shared" si="21"/>
        <v/>
      </c>
      <c r="AW45" s="108" t="str">
        <f t="shared" si="22"/>
        <v/>
      </c>
      <c r="AX45" s="107"/>
      <c r="AY45" s="107"/>
      <c r="AZ45" s="107"/>
      <c r="BA45" s="107"/>
      <c r="BB45" s="107"/>
      <c r="BC45" s="107"/>
      <c r="BD45" s="184" t="s">
        <v>96</v>
      </c>
      <c r="BE45" s="182"/>
      <c r="BF45" s="179"/>
      <c r="BG45" s="180">
        <v>0</v>
      </c>
      <c r="BH45" s="180">
        <f t="shared" si="6"/>
        <v>0</v>
      </c>
      <c r="BI45" s="20" t="s">
        <v>240</v>
      </c>
      <c r="BJ45" s="20">
        <f t="shared" si="10"/>
        <v>0</v>
      </c>
    </row>
    <row r="46" s="20" customFormat="1" ht="24" customHeight="1" spans="2:62">
      <c r="B46" s="48" t="s">
        <v>81</v>
      </c>
      <c r="C46" s="90" t="s">
        <v>224</v>
      </c>
      <c r="D46" s="127" t="s">
        <v>225</v>
      </c>
      <c r="E46" s="128">
        <v>217742.87</v>
      </c>
      <c r="F46" s="137"/>
      <c r="G46" s="138"/>
      <c r="H46" s="148"/>
      <c r="I46" s="137"/>
      <c r="J46" s="138"/>
      <c r="K46" s="148"/>
      <c r="L46" s="145">
        <f t="shared" si="15"/>
        <v>217742.87</v>
      </c>
      <c r="M46" s="133">
        <v>45981.51</v>
      </c>
      <c r="N46" s="134"/>
      <c r="O46" s="134">
        <v>49586.66</v>
      </c>
      <c r="P46" s="134">
        <f>25069.28</f>
        <v>25069.28</v>
      </c>
      <c r="Q46" s="134"/>
      <c r="R46" s="134"/>
      <c r="S46" s="134"/>
      <c r="T46" s="139"/>
      <c r="U46" s="134"/>
      <c r="V46" s="134"/>
      <c r="W46" s="134"/>
      <c r="X46" s="134"/>
      <c r="Y46" s="158"/>
      <c r="Z46" s="85"/>
      <c r="AA46" s="85"/>
      <c r="AB46" s="85"/>
      <c r="AC46" s="159">
        <v>50000</v>
      </c>
      <c r="AD46" s="159"/>
      <c r="AE46" s="159">
        <v>100000</v>
      </c>
      <c r="AF46" s="159"/>
      <c r="AG46" s="159">
        <v>100000</v>
      </c>
      <c r="AH46" s="159"/>
      <c r="AI46" s="159"/>
      <c r="AJ46" s="159">
        <v>63311.04</v>
      </c>
      <c r="AK46" s="159">
        <v>25069.28</v>
      </c>
      <c r="AL46" s="159"/>
      <c r="AM46" s="159"/>
      <c r="AN46" s="174"/>
      <c r="AO46" s="169">
        <f t="shared" si="23"/>
        <v>338380.32</v>
      </c>
      <c r="AP46" s="170">
        <f t="shared" si="24"/>
        <v>338380.32</v>
      </c>
      <c r="AQ46" s="171">
        <f t="shared" si="16"/>
        <v>0</v>
      </c>
      <c r="AR46" s="172" t="str">
        <f>IF(AQ46-SUM(M46:X46)+K46+J46&gt;0,AQ46-SUM(M46:X46)+K46+J46,"")</f>
        <v/>
      </c>
      <c r="AS46" s="172" t="str">
        <f>IF(AQ46-SUM(M46:X46)+K46&gt;0,AQ46-SUM(M46:X46)+K46,"")</f>
        <v/>
      </c>
      <c r="AT46" s="173" t="str">
        <f>IF(AQ46-SUM(M46:X46)&gt;0,AQ46-SUM(M46:X46),"")</f>
        <v/>
      </c>
      <c r="AU46" s="108" t="str">
        <f>IF(AQ46-SUM(N46:X46)&gt;0,AQ46-SUM(N46:X46),"")</f>
        <v/>
      </c>
      <c r="AV46" s="108" t="str">
        <f>IF(AQ46-SUM(O46:X46)&gt;0,AQ46-SUM(O46:X46),"")</f>
        <v/>
      </c>
      <c r="AW46" s="108" t="str">
        <f>IF($AQ46-SUM(P46:$X46)&gt;0,$AQ46-SUM(P46:$X46),"")</f>
        <v/>
      </c>
      <c r="AX46" s="108" t="str">
        <f>IF($AQ46-SUM(Q46:$X46)&gt;0,$AQ46-SUM(Q46:$X46),"")</f>
        <v/>
      </c>
      <c r="AY46" s="108" t="str">
        <f>IF($AQ46-SUM(R46:$X46)&gt;0,$AQ46-SUM(R46:$X46),"")</f>
        <v/>
      </c>
      <c r="AZ46" s="108" t="str">
        <f>IF($AQ46-SUM(S46:$X46)&gt;0,$AQ46-SUM(S46:$X46),"")</f>
        <v/>
      </c>
      <c r="BA46" s="108" t="str">
        <f>IF($AQ46-SUM(T46:$X46)&gt;0,$AQ46-SUM(T46:$X46),"")</f>
        <v/>
      </c>
      <c r="BB46" s="107"/>
      <c r="BC46" s="107"/>
      <c r="BD46" s="184" t="s">
        <v>222</v>
      </c>
      <c r="BE46" s="182"/>
      <c r="BF46" s="179"/>
      <c r="BG46" s="180">
        <f>VLOOKUP(D46,Sheet3!D:O,12,FALSE)</f>
        <v>182408.67</v>
      </c>
      <c r="BH46" s="180">
        <f t="shared" si="6"/>
        <v>-182408.67</v>
      </c>
      <c r="BI46" s="20" t="s">
        <v>225</v>
      </c>
      <c r="BJ46" s="20">
        <f t="shared" si="10"/>
        <v>120637.45</v>
      </c>
    </row>
    <row r="47" s="20" customFormat="1" ht="24" customHeight="1" spans="2:62">
      <c r="B47" s="48" t="s">
        <v>81</v>
      </c>
      <c r="C47" s="90" t="s">
        <v>226</v>
      </c>
      <c r="D47" s="127" t="s">
        <v>227</v>
      </c>
      <c r="E47" s="128">
        <v>6573.6</v>
      </c>
      <c r="F47" s="137">
        <v>5979.6</v>
      </c>
      <c r="G47" s="138"/>
      <c r="H47" s="148">
        <v>594</v>
      </c>
      <c r="I47" s="137"/>
      <c r="J47" s="138"/>
      <c r="K47" s="148"/>
      <c r="L47" s="145">
        <f t="shared" si="15"/>
        <v>6573.6</v>
      </c>
      <c r="M47" s="133"/>
      <c r="N47" s="134"/>
      <c r="O47" s="134"/>
      <c r="P47" s="134"/>
      <c r="Q47" s="134"/>
      <c r="R47" s="134"/>
      <c r="S47" s="134"/>
      <c r="T47" s="139"/>
      <c r="U47" s="134"/>
      <c r="V47" s="134"/>
      <c r="W47" s="134"/>
      <c r="X47" s="134"/>
      <c r="Y47" s="158"/>
      <c r="Z47" s="85"/>
      <c r="AA47" s="85"/>
      <c r="AB47" s="85"/>
      <c r="AC47" s="159"/>
      <c r="AD47" s="159"/>
      <c r="AE47" s="159">
        <v>6573.6</v>
      </c>
      <c r="AF47" s="159"/>
      <c r="AG47" s="159"/>
      <c r="AH47" s="159"/>
      <c r="AI47" s="159"/>
      <c r="AJ47" s="159"/>
      <c r="AK47" s="159"/>
      <c r="AL47" s="159"/>
      <c r="AM47" s="159"/>
      <c r="AN47" s="174"/>
      <c r="AO47" s="169">
        <f t="shared" si="23"/>
        <v>6573.6</v>
      </c>
      <c r="AP47" s="170">
        <f t="shared" si="24"/>
        <v>6573.6</v>
      </c>
      <c r="AQ47" s="171">
        <f t="shared" si="16"/>
        <v>0</v>
      </c>
      <c r="AR47" s="172" t="str">
        <f t="shared" si="17"/>
        <v/>
      </c>
      <c r="AS47" s="172" t="str">
        <f t="shared" si="18"/>
        <v/>
      </c>
      <c r="AT47" s="173" t="str">
        <f t="shared" si="19"/>
        <v/>
      </c>
      <c r="AU47" s="194"/>
      <c r="AV47" s="108" t="str">
        <f t="shared" si="21"/>
        <v/>
      </c>
      <c r="AW47" s="108" t="str">
        <f>IF(AQ47-SUM(Y47)&gt;0,AQ47-SUM(Y47),"")</f>
        <v/>
      </c>
      <c r="AX47" s="107"/>
      <c r="AY47" s="107"/>
      <c r="AZ47" s="107"/>
      <c r="BA47" s="107"/>
      <c r="BB47" s="107"/>
      <c r="BC47" s="107"/>
      <c r="BD47" s="184" t="s">
        <v>101</v>
      </c>
      <c r="BE47" s="182"/>
      <c r="BF47" s="179"/>
      <c r="BG47" s="180">
        <f>VLOOKUP(D47,Sheet3!D:O,12,FALSE)</f>
        <v>0</v>
      </c>
      <c r="BH47" s="180">
        <f t="shared" si="6"/>
        <v>0</v>
      </c>
      <c r="BI47" s="20" t="s">
        <v>227</v>
      </c>
      <c r="BJ47" s="20">
        <f t="shared" si="10"/>
        <v>0</v>
      </c>
    </row>
    <row r="48" s="20" customFormat="1" ht="24" customHeight="1" spans="2:62">
      <c r="B48" s="48" t="s">
        <v>81</v>
      </c>
      <c r="C48" s="90" t="s">
        <v>228</v>
      </c>
      <c r="D48" s="127" t="s">
        <v>229</v>
      </c>
      <c r="E48" s="128">
        <v>8018.39</v>
      </c>
      <c r="F48" s="137"/>
      <c r="G48" s="138">
        <v>8018.39</v>
      </c>
      <c r="H48" s="148"/>
      <c r="I48" s="137"/>
      <c r="J48" s="138"/>
      <c r="K48" s="148"/>
      <c r="L48" s="145">
        <f t="shared" si="15"/>
        <v>8018.39</v>
      </c>
      <c r="M48" s="133"/>
      <c r="N48" s="134"/>
      <c r="O48" s="134"/>
      <c r="P48" s="134"/>
      <c r="Q48" s="134"/>
      <c r="R48" s="134"/>
      <c r="S48" s="134"/>
      <c r="T48" s="139"/>
      <c r="U48" s="134"/>
      <c r="V48" s="134"/>
      <c r="W48" s="134"/>
      <c r="X48" s="134"/>
      <c r="Y48" s="158"/>
      <c r="Z48" s="85"/>
      <c r="AA48" s="85"/>
      <c r="AB48" s="85"/>
      <c r="AC48" s="159"/>
      <c r="AD48" s="159"/>
      <c r="AE48" s="161">
        <v>5500</v>
      </c>
      <c r="AF48" s="159"/>
      <c r="AG48" s="159"/>
      <c r="AH48" s="159"/>
      <c r="AI48" s="159"/>
      <c r="AJ48" s="159"/>
      <c r="AK48" s="159"/>
      <c r="AL48" s="159"/>
      <c r="AM48" s="159"/>
      <c r="AN48" s="174"/>
      <c r="AO48" s="169">
        <f t="shared" si="23"/>
        <v>8018.39</v>
      </c>
      <c r="AP48" s="170">
        <f t="shared" si="24"/>
        <v>5500</v>
      </c>
      <c r="AQ48" s="171">
        <f t="shared" si="16"/>
        <v>2518.39</v>
      </c>
      <c r="AR48" s="172">
        <f t="shared" si="17"/>
        <v>2518.39</v>
      </c>
      <c r="AS48" s="172">
        <f t="shared" si="18"/>
        <v>2518.39</v>
      </c>
      <c r="AT48" s="173">
        <f t="shared" si="19"/>
        <v>2518.39</v>
      </c>
      <c r="AU48" s="108">
        <f>AQ48-P48-O48</f>
        <v>2518.39</v>
      </c>
      <c r="AV48" s="108">
        <f t="shared" si="21"/>
        <v>2518.39</v>
      </c>
      <c r="AW48" s="108">
        <f>IF($AQ48-SUM(Q48:$X48)&gt;0,$AQ48-SUM(Q48:$X48),"")</f>
        <v>2518.39</v>
      </c>
      <c r="AX48" s="108">
        <f>IF($AQ48-SUM(R48:$X48)&gt;0,$AQ48-SUM(R48:$X48),"")</f>
        <v>2518.39</v>
      </c>
      <c r="AY48" s="108">
        <f>IF($AQ48-SUM(S48:$X48)&gt;0,$AQ48-SUM(S48:$X48),"")</f>
        <v>2518.39</v>
      </c>
      <c r="AZ48" s="108">
        <f>IF($AQ48-SUM(T48:$X48)&gt;0,$AQ48-SUM(T48:$X48),"")</f>
        <v>2518.39</v>
      </c>
      <c r="BA48" s="108">
        <f>IF($AQ48-SUM(U48:$X48)&gt;0,$AQ48-SUM(U48:$X48),"")</f>
        <v>2518.39</v>
      </c>
      <c r="BB48" s="108">
        <f>IF($AQ48-SUM(V48:$X48)&gt;0,$AQ48-SUM(V48:$X48),"")</f>
        <v>2518.39</v>
      </c>
      <c r="BC48" s="108">
        <f>IF($AQ48-SUM(W48:$X48)&gt;0,$AQ48-SUM(W48:$X48),"")</f>
        <v>2518.39</v>
      </c>
      <c r="BD48" s="184" t="s">
        <v>85</v>
      </c>
      <c r="BE48" s="182" t="s">
        <v>270</v>
      </c>
      <c r="BF48" s="179"/>
      <c r="BG48" s="180">
        <f>VLOOKUP(D48,Sheet3!D:O,12,FALSE)</f>
        <v>2518.39</v>
      </c>
      <c r="BH48" s="180">
        <f t="shared" si="6"/>
        <v>0</v>
      </c>
      <c r="BI48" s="20" t="s">
        <v>229</v>
      </c>
      <c r="BJ48" s="20">
        <f t="shared" si="10"/>
        <v>0</v>
      </c>
    </row>
    <row r="49" s="20" customFormat="1" ht="24" customHeight="1" spans="2:62">
      <c r="B49" s="48" t="s">
        <v>81</v>
      </c>
      <c r="C49" s="122" t="s">
        <v>230</v>
      </c>
      <c r="D49" s="50" t="s">
        <v>231</v>
      </c>
      <c r="E49" s="123">
        <v>1103729.8</v>
      </c>
      <c r="F49" s="135"/>
      <c r="G49" s="136">
        <v>887312.2</v>
      </c>
      <c r="H49" s="136">
        <v>216417.6</v>
      </c>
      <c r="I49" s="135"/>
      <c r="J49" s="136"/>
      <c r="K49" s="136"/>
      <c r="L49" s="145">
        <f t="shared" si="15"/>
        <v>1103729.8</v>
      </c>
      <c r="M49" s="9">
        <v>289497.18</v>
      </c>
      <c r="N49" s="124"/>
      <c r="O49" s="124"/>
      <c r="P49" s="124"/>
      <c r="Q49" s="124">
        <f>38646+110295.68+110353.65</f>
        <v>259295.33</v>
      </c>
      <c r="R49" s="124">
        <f>108189.48*2</f>
        <v>216378.96</v>
      </c>
      <c r="S49" s="124">
        <f>23322.86+112942.94+112942.94+112942.94+112942.94</f>
        <v>475094.62</v>
      </c>
      <c r="T49" s="124">
        <f>86567.04+86470.43</f>
        <v>173037.47</v>
      </c>
      <c r="U49" s="124">
        <f>64867.31*2</f>
        <v>129734.62</v>
      </c>
      <c r="V49" s="124"/>
      <c r="W49" s="124">
        <f>85484.95+95223.74+108034.89+108092.86</f>
        <v>396836.44</v>
      </c>
      <c r="X49" s="124"/>
      <c r="Y49" s="156"/>
      <c r="Z49" s="79"/>
      <c r="AA49" s="79"/>
      <c r="AB49" s="79"/>
      <c r="AC49" s="7"/>
      <c r="AD49" s="7"/>
      <c r="AE49" s="7">
        <v>1020000</v>
      </c>
      <c r="AF49" s="7"/>
      <c r="AG49" s="7">
        <v>150000</v>
      </c>
      <c r="AH49" s="7"/>
      <c r="AI49" s="7"/>
      <c r="AJ49" s="7">
        <v>223226.98</v>
      </c>
      <c r="AK49" s="7"/>
      <c r="AL49" s="7"/>
      <c r="AM49" s="7">
        <v>470000</v>
      </c>
      <c r="AN49" s="168"/>
      <c r="AO49" s="169">
        <f t="shared" si="23"/>
        <v>3043604.42</v>
      </c>
      <c r="AP49" s="170">
        <f t="shared" si="24"/>
        <v>1863226.98</v>
      </c>
      <c r="AQ49" s="171">
        <f t="shared" si="16"/>
        <v>1180377.44</v>
      </c>
      <c r="AR49" s="172" t="str">
        <f>IF(AQ49-SUM(M49:X49)+K49+J49&gt;0,AQ49-SUM(M49:X49)+K49+J49,"")</f>
        <v/>
      </c>
      <c r="AS49" s="172" t="str">
        <f>IF(AQ49-SUM(M49:X49)+K49&gt;0,AQ49-SUM(M49:X49)+K49,"")</f>
        <v/>
      </c>
      <c r="AT49" s="173" t="str">
        <f t="shared" si="19"/>
        <v/>
      </c>
      <c r="AU49" s="108">
        <f>AQ49-P49-O49-N49</f>
        <v>1180377.44</v>
      </c>
      <c r="AV49" s="108" t="str">
        <f>IF(AQ49-SUM(O49:X49)&gt;0,AQ49-SUM(O49:X49),"")</f>
        <v/>
      </c>
      <c r="AW49" s="108" t="str">
        <f>IF($AQ49-SUM(P49:$X49)&gt;0,$AQ49-SUM(P49:$X49),"")</f>
        <v/>
      </c>
      <c r="AX49" s="108" t="str">
        <f>IF($AQ49-SUM(Q49:$X49)&gt;0,$AQ49-SUM(Q49:$X49),"")</f>
        <v/>
      </c>
      <c r="AY49" s="108" t="str">
        <f>IF($AQ49-SUM(R49:$X49)&gt;0,$AQ49-SUM(R49:$X49),"")</f>
        <v/>
      </c>
      <c r="AZ49" s="108">
        <f>IF($AQ49-SUM(S49:$X49)&gt;0,$AQ49-SUM(S49:$X49),"")</f>
        <v>5674.2900000005</v>
      </c>
      <c r="BA49" s="108">
        <f>IF($AQ49-SUM(T49:$X49)&gt;0,$AQ49-SUM(T49:$X49),"")</f>
        <v>480768.91</v>
      </c>
      <c r="BB49" s="108">
        <f>IF($AQ49-SUM(U49:$X49)&gt;0,$AQ49-SUM(U49:$X49),"")</f>
        <v>653806.38</v>
      </c>
      <c r="BC49" s="108">
        <f>IF($AQ49-SUM(V49:$X49)&gt;0,$AQ49-SUM(V49:$X49),"")</f>
        <v>783541</v>
      </c>
      <c r="BD49" s="177" t="s">
        <v>241</v>
      </c>
      <c r="BE49" s="178"/>
      <c r="BF49" s="179"/>
      <c r="BG49" s="180">
        <f>VLOOKUP(D49,Sheet3!D:O,12,FALSE)</f>
        <v>562589.14</v>
      </c>
      <c r="BH49" s="180">
        <f t="shared" si="6"/>
        <v>617788.3</v>
      </c>
      <c r="BI49" s="20" t="s">
        <v>231</v>
      </c>
      <c r="BJ49" s="20">
        <f t="shared" si="10"/>
        <v>1543038.18</v>
      </c>
    </row>
    <row r="50" s="20" customFormat="1" ht="24" customHeight="1" spans="2:62">
      <c r="B50" s="48" t="s">
        <v>81</v>
      </c>
      <c r="C50" s="91" t="s">
        <v>271</v>
      </c>
      <c r="D50" s="50" t="s">
        <v>272</v>
      </c>
      <c r="E50" s="123"/>
      <c r="F50" s="135"/>
      <c r="G50" s="136"/>
      <c r="H50" s="136"/>
      <c r="I50" s="135"/>
      <c r="J50" s="136"/>
      <c r="K50" s="136"/>
      <c r="L50" s="145"/>
      <c r="M50" s="9">
        <v>4214.9</v>
      </c>
      <c r="N50" s="124">
        <v>18419</v>
      </c>
      <c r="O50" s="124"/>
      <c r="P50" s="124"/>
      <c r="Q50" s="124">
        <v>9957.56</v>
      </c>
      <c r="R50" s="124"/>
      <c r="S50" s="124">
        <v>17325.16</v>
      </c>
      <c r="T50" s="124"/>
      <c r="U50" s="124">
        <v>14735.2</v>
      </c>
      <c r="V50" s="124">
        <v>9202.52</v>
      </c>
      <c r="W50" s="124">
        <v>6820.68</v>
      </c>
      <c r="X50" s="124"/>
      <c r="Y50" s="158"/>
      <c r="Z50" s="85"/>
      <c r="AA50" s="79"/>
      <c r="AB50" s="79"/>
      <c r="AC50" s="159"/>
      <c r="AD50" s="159"/>
      <c r="AE50" s="159"/>
      <c r="AF50" s="159"/>
      <c r="AG50" s="159">
        <v>22633.9</v>
      </c>
      <c r="AH50" s="159"/>
      <c r="AI50" s="159"/>
      <c r="AJ50" s="159"/>
      <c r="AK50" s="159"/>
      <c r="AL50" s="159"/>
      <c r="AM50" s="159"/>
      <c r="AN50" s="174">
        <v>27282.72</v>
      </c>
      <c r="AO50" s="169">
        <f t="shared" si="23"/>
        <v>80675.02</v>
      </c>
      <c r="AP50" s="170">
        <f t="shared" ref="AP50:AP53" si="27">SUM(AC50:AN50)</f>
        <v>49916.62</v>
      </c>
      <c r="AQ50" s="171">
        <f t="shared" si="16"/>
        <v>30758.4</v>
      </c>
      <c r="AR50" s="172" t="str">
        <f>IF(AQ50-SUM(M50:X50)+K50+J50&gt;0,AQ50-SUM(M50:X50)+K50+J50,"")</f>
        <v/>
      </c>
      <c r="AS50" s="172" t="str">
        <f>IF(AQ50-SUM(M50:X50)+K50&gt;0,AQ50-SUM(M50:X50)+K50,"")</f>
        <v/>
      </c>
      <c r="AT50" s="173" t="str">
        <f>IF(AQ50-SUM(M50:X50)&gt;0,AQ50-SUM(M50:X50),"")</f>
        <v/>
      </c>
      <c r="AU50" s="108" t="str">
        <f>IF(AQ50-SUM(N50:X50)&gt;0,AQ50-SUM(N50:X50),"")</f>
        <v/>
      </c>
      <c r="AV50" s="108" t="str">
        <f t="shared" si="21"/>
        <v/>
      </c>
      <c r="AW50" s="108" t="str">
        <f t="shared" si="22"/>
        <v/>
      </c>
      <c r="AX50" s="107"/>
      <c r="AY50" s="107"/>
      <c r="AZ50" s="108" t="str">
        <f>IF($AQ50-SUM(S50:$X50)&gt;0,$AQ50-SUM(S50:$X50),"")</f>
        <v/>
      </c>
      <c r="BA50" s="108" t="str">
        <f>IF($AQ50-SUM(T50:$X50)&gt;0,$AQ50-SUM(T50:$X50),"")</f>
        <v/>
      </c>
      <c r="BB50" s="108" t="str">
        <f>IF($AQ50-SUM(U50:$X50)&gt;0,$AQ50-SUM(U50:$X50),"")</f>
        <v/>
      </c>
      <c r="BC50" s="108">
        <f>IF($AQ50-SUM(V50:$X50)&gt;0,$AQ50-SUM(V50:$X50),"")</f>
        <v>14735.2</v>
      </c>
      <c r="BD50" s="184" t="s">
        <v>222</v>
      </c>
      <c r="BE50" s="182"/>
      <c r="BF50" s="179"/>
      <c r="BG50" s="180">
        <f>VLOOKUP(D50,Sheet3!D:O,12,FALSE)</f>
        <v>17872.08</v>
      </c>
      <c r="BH50" s="180">
        <f t="shared" si="6"/>
        <v>12886.32</v>
      </c>
      <c r="BI50" s="20" t="s">
        <v>272</v>
      </c>
      <c r="BJ50" s="20">
        <f t="shared" si="10"/>
        <v>64651.82</v>
      </c>
    </row>
    <row r="51" s="20" customFormat="1" ht="24" customHeight="1" spans="2:62">
      <c r="B51" s="48" t="s">
        <v>81</v>
      </c>
      <c r="C51" s="91"/>
      <c r="D51" s="50" t="s">
        <v>273</v>
      </c>
      <c r="E51" s="123"/>
      <c r="F51" s="135"/>
      <c r="G51" s="136"/>
      <c r="H51" s="136"/>
      <c r="I51" s="135"/>
      <c r="J51" s="136"/>
      <c r="K51" s="136"/>
      <c r="L51" s="145"/>
      <c r="M51" s="9"/>
      <c r="N51" s="124">
        <v>13085.4</v>
      </c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58"/>
      <c r="Z51" s="85"/>
      <c r="AA51" s="79"/>
      <c r="AB51" s="79"/>
      <c r="AC51" s="159"/>
      <c r="AD51" s="159"/>
      <c r="AE51" s="159"/>
      <c r="AF51" s="159"/>
      <c r="AG51" s="159">
        <v>13085.4</v>
      </c>
      <c r="AH51" s="159"/>
      <c r="AI51" s="159"/>
      <c r="AJ51" s="159"/>
      <c r="AK51" s="159"/>
      <c r="AL51" s="159"/>
      <c r="AM51" s="159"/>
      <c r="AN51" s="174"/>
      <c r="AO51" s="169">
        <f t="shared" si="23"/>
        <v>13085.4</v>
      </c>
      <c r="AP51" s="170">
        <f t="shared" si="27"/>
        <v>13085.4</v>
      </c>
      <c r="AQ51" s="171">
        <f t="shared" si="16"/>
        <v>0</v>
      </c>
      <c r="AR51" s="172" t="str">
        <f t="shared" si="17"/>
        <v/>
      </c>
      <c r="AS51" s="172" t="str">
        <f t="shared" si="18"/>
        <v/>
      </c>
      <c r="AT51" s="173" t="str">
        <f t="shared" si="19"/>
        <v/>
      </c>
      <c r="AU51" s="108">
        <f>AQ51-P51-O51</f>
        <v>0</v>
      </c>
      <c r="AV51" s="108" t="str">
        <f t="shared" si="21"/>
        <v/>
      </c>
      <c r="AW51" s="108" t="str">
        <f t="shared" si="22"/>
        <v/>
      </c>
      <c r="AX51" s="108"/>
      <c r="AY51" s="108"/>
      <c r="AZ51" s="108" t="str">
        <f>IF($AQ51-SUM(S51:$X51)&gt;0,$AQ51-SUM(S51:$X51),"")</f>
        <v/>
      </c>
      <c r="BA51" s="108" t="str">
        <f>IF($AQ51-SUM(T51:$X51)&gt;0,$AQ51-SUM(T51:$X51),"")</f>
        <v/>
      </c>
      <c r="BB51" s="108"/>
      <c r="BC51" s="108"/>
      <c r="BD51" s="177"/>
      <c r="BE51" s="182"/>
      <c r="BF51" s="179"/>
      <c r="BG51" s="180">
        <f>VLOOKUP(D51,Sheet3!D:O,12,FALSE)</f>
        <v>0</v>
      </c>
      <c r="BH51" s="180">
        <f t="shared" si="6"/>
        <v>0</v>
      </c>
      <c r="BI51" s="20" t="s">
        <v>273</v>
      </c>
      <c r="BJ51" s="20">
        <f t="shared" si="10"/>
        <v>13085.4</v>
      </c>
    </row>
    <row r="52" s="20" customFormat="1" ht="24" customHeight="1" spans="2:62">
      <c r="B52" s="48" t="s">
        <v>81</v>
      </c>
      <c r="C52" s="91" t="s">
        <v>274</v>
      </c>
      <c r="D52" s="127" t="s">
        <v>275</v>
      </c>
      <c r="E52" s="123"/>
      <c r="F52" s="135"/>
      <c r="G52" s="136"/>
      <c r="H52" s="136"/>
      <c r="I52" s="135"/>
      <c r="J52" s="136"/>
      <c r="K52" s="136"/>
      <c r="L52" s="145"/>
      <c r="M52" s="9"/>
      <c r="N52" s="124"/>
      <c r="O52" s="124"/>
      <c r="P52" s="124"/>
      <c r="Q52" s="124"/>
      <c r="R52" s="124">
        <v>37916.02</v>
      </c>
      <c r="S52" s="124"/>
      <c r="T52" s="124">
        <v>62498.04</v>
      </c>
      <c r="U52" s="124">
        <v>62498.04</v>
      </c>
      <c r="V52" s="124">
        <v>104163.4</v>
      </c>
      <c r="W52" s="124">
        <f>52081.7+52081.7</f>
        <v>104163.4</v>
      </c>
      <c r="X52" s="124"/>
      <c r="Y52" s="158"/>
      <c r="Z52" s="85"/>
      <c r="AA52" s="79"/>
      <c r="AB52" s="79"/>
      <c r="AC52" s="159"/>
      <c r="AD52" s="159"/>
      <c r="AE52" s="159">
        <v>52081.7</v>
      </c>
      <c r="AF52" s="159"/>
      <c r="AG52" s="159"/>
      <c r="AH52" s="159"/>
      <c r="AI52" s="159">
        <v>48832.36</v>
      </c>
      <c r="AJ52" s="159"/>
      <c r="AK52" s="159"/>
      <c r="AL52" s="159"/>
      <c r="AM52" s="159"/>
      <c r="AN52" s="174"/>
      <c r="AO52" s="169">
        <f t="shared" si="23"/>
        <v>371238.9</v>
      </c>
      <c r="AP52" s="170">
        <f t="shared" si="27"/>
        <v>100914.06</v>
      </c>
      <c r="AQ52" s="171">
        <f t="shared" si="16"/>
        <v>270324.84</v>
      </c>
      <c r="AR52" s="172"/>
      <c r="AS52" s="172"/>
      <c r="AT52" s="173"/>
      <c r="AU52" s="108"/>
      <c r="AV52" s="108"/>
      <c r="AW52" s="108"/>
      <c r="AX52" s="108"/>
      <c r="AY52" s="108"/>
      <c r="AZ52" s="108" t="str">
        <f>IF($AQ52-SUM(S52:$X52)&gt;0,$AQ52-SUM(S52:$X52),"")</f>
        <v/>
      </c>
      <c r="BA52" s="108">
        <f t="shared" ref="BA52:BC52" si="28">IF($AQ52-SUM(V52)&gt;0,$AQ52-SUM(V52),"")</f>
        <v>166161.44</v>
      </c>
      <c r="BB52" s="108">
        <f t="shared" si="28"/>
        <v>166161.44</v>
      </c>
      <c r="BC52" s="108">
        <f t="shared" si="28"/>
        <v>270324.84</v>
      </c>
      <c r="BD52" s="177" t="s">
        <v>101</v>
      </c>
      <c r="BE52" s="182"/>
      <c r="BF52" s="179"/>
      <c r="BG52" s="180">
        <f>VLOOKUP(D52,Sheet3!D:O,12,FALSE)</f>
        <v>56104.5</v>
      </c>
      <c r="BH52" s="180">
        <f t="shared" si="6"/>
        <v>214220.34</v>
      </c>
      <c r="BI52" s="20" t="s">
        <v>275</v>
      </c>
      <c r="BJ52" s="20">
        <f t="shared" si="10"/>
        <v>162912.1</v>
      </c>
    </row>
    <row r="53" s="20" customFormat="1" ht="24" customHeight="1" spans="2:62">
      <c r="B53" s="129" t="s">
        <v>81</v>
      </c>
      <c r="C53" s="90" t="s">
        <v>186</v>
      </c>
      <c r="D53" s="126" t="s">
        <v>187</v>
      </c>
      <c r="E53" s="123">
        <v>4669162.54</v>
      </c>
      <c r="F53" s="135">
        <v>750734.21</v>
      </c>
      <c r="G53" s="136">
        <v>-10426.18</v>
      </c>
      <c r="H53" s="136">
        <v>650588.660000001</v>
      </c>
      <c r="I53" s="135"/>
      <c r="J53" s="136"/>
      <c r="K53" s="147"/>
      <c r="L53" s="145">
        <f t="shared" ref="L53" si="29">SUM(I53:K53)+E53</f>
        <v>4669162.54</v>
      </c>
      <c r="M53" s="9">
        <f>-3510345+1040288.54</f>
        <v>-2470056.46</v>
      </c>
      <c r="N53" s="124">
        <v>618379.18</v>
      </c>
      <c r="O53" s="124">
        <v>887948.4</v>
      </c>
      <c r="P53" s="124">
        <v>786347.46</v>
      </c>
      <c r="Q53" s="124">
        <v>595184.04</v>
      </c>
      <c r="R53" s="124">
        <v>620126.64</v>
      </c>
      <c r="S53" s="124">
        <v>460665.15</v>
      </c>
      <c r="T53" s="124">
        <v>1219081.13</v>
      </c>
      <c r="U53" s="124">
        <v>759894.65</v>
      </c>
      <c r="V53" s="124">
        <v>-701702.24</v>
      </c>
      <c r="W53" s="124"/>
      <c r="X53" s="124">
        <v>790018.83</v>
      </c>
      <c r="Y53" s="158"/>
      <c r="Z53" s="85"/>
      <c r="AA53" s="79" t="s">
        <v>84</v>
      </c>
      <c r="AB53" s="79" t="s">
        <v>84</v>
      </c>
      <c r="AC53" s="159">
        <f>300000+300000</f>
        <v>600000</v>
      </c>
      <c r="AD53" s="159">
        <v>1200000</v>
      </c>
      <c r="AE53" s="159">
        <f>200000+26789.01-26789.01</f>
        <v>200000</v>
      </c>
      <c r="AF53" s="159"/>
      <c r="AG53" s="159"/>
      <c r="AH53" s="159"/>
      <c r="AI53" s="159">
        <f>20000+2430000</f>
        <v>2450000</v>
      </c>
      <c r="AJ53" s="159"/>
      <c r="AK53" s="159">
        <v>720000</v>
      </c>
      <c r="AL53" s="159">
        <f>100000+1200000</f>
        <v>1300000</v>
      </c>
      <c r="AM53" s="159">
        <v>-335000</v>
      </c>
      <c r="AN53" s="174"/>
      <c r="AO53" s="169">
        <f t="shared" ref="AO53" si="30">SUM(L53:X53)</f>
        <v>8235049.32</v>
      </c>
      <c r="AP53" s="170">
        <f t="shared" si="27"/>
        <v>6135000</v>
      </c>
      <c r="AQ53" s="171">
        <f t="shared" si="16"/>
        <v>2100049.32</v>
      </c>
      <c r="AR53" s="172" t="str">
        <f>IF(AQ53-SUM(M53:X53)+K53&gt;0,AQ53-SUM(M53:X53)+K53,"")</f>
        <v/>
      </c>
      <c r="AS53" s="172" t="str">
        <f>IF(AQ53-SUM(M53:X53)&gt;0,AQ53-SUM(M53:X53),"")</f>
        <v/>
      </c>
      <c r="AT53" s="173" t="str">
        <f>IF(AQ53-SUM(N53:X53)&gt;0,AQ53-SUM(N53:X53),"")</f>
        <v/>
      </c>
      <c r="AU53" s="108">
        <f>AQ53-P53-O53</f>
        <v>425753.46</v>
      </c>
      <c r="AV53" s="108" t="str">
        <f>IF(AQ53-SUM(P53:X53)&gt;0,AQ53-SUM(P53:X53),"")</f>
        <v/>
      </c>
      <c r="AW53" s="108" t="str">
        <f>IF($AQ53-SUM(Q53:$X53)&gt;0,$AQ53-SUM(Q53:$X53),"")</f>
        <v/>
      </c>
      <c r="AX53" s="108" t="str">
        <f>IF($AQ53-SUM(R53:$X53)&gt;0,$AQ53-SUM(R53:$X53),"")</f>
        <v/>
      </c>
      <c r="AY53" s="108" t="str">
        <f>IF($AQ53-SUM(S53:$X53)&gt;0,$AQ53-SUM(S53:$X53),"")</f>
        <v/>
      </c>
      <c r="AZ53" s="108">
        <f>IF($AQ53-SUM(T53:$X53)&gt;0,$AQ53-SUM(T53:$X53),"")</f>
        <v>32756.9500000007</v>
      </c>
      <c r="BA53" s="108">
        <f>IF($AQ53-SUM(U53:$X53)&gt;0,$AQ53-SUM(U53:$X53),"")</f>
        <v>1251838.08</v>
      </c>
      <c r="BB53" s="108">
        <f>IF($AQ53-SUM(V53:$X53)&gt;0,$AQ53-SUM(V53:$X53),"")</f>
        <v>2011732.73</v>
      </c>
      <c r="BC53" s="108">
        <f>IF($AQ53-SUM(W53:$X53)&gt;0,$AQ53-SUM(W53:$X53),"")</f>
        <v>1310030.49</v>
      </c>
      <c r="BD53" s="181" t="s">
        <v>85</v>
      </c>
      <c r="BE53" s="182"/>
      <c r="BF53" s="179"/>
      <c r="BG53" s="180">
        <f>VLOOKUP(D53,Sheet3!D:O,12,FALSE)</f>
        <v>104394.1</v>
      </c>
      <c r="BH53" s="180">
        <f t="shared" si="6"/>
        <v>1995655.22</v>
      </c>
      <c r="BI53" s="20" t="s">
        <v>187</v>
      </c>
      <c r="BJ53" s="20">
        <f t="shared" si="10"/>
        <v>3477570.19</v>
      </c>
    </row>
    <row r="54" s="21" customFormat="1" ht="24" customHeight="1" spans="2:61">
      <c r="B54" s="92"/>
      <c r="C54" s="93"/>
      <c r="D54" s="94" t="s">
        <v>142</v>
      </c>
      <c r="E54" s="187">
        <f>SUM(E5:E53)</f>
        <v>9378873.11</v>
      </c>
      <c r="F54" s="188"/>
      <c r="G54" s="189">
        <f t="shared" ref="G54:AQ54" si="31">SUM(G5:G53)</f>
        <v>1547284.61</v>
      </c>
      <c r="H54" s="189">
        <f t="shared" si="31"/>
        <v>1511568.97</v>
      </c>
      <c r="I54" s="189">
        <f t="shared" si="31"/>
        <v>35934</v>
      </c>
      <c r="J54" s="189">
        <f t="shared" si="31"/>
        <v>7627.5</v>
      </c>
      <c r="K54" s="189">
        <f t="shared" si="31"/>
        <v>263602.29</v>
      </c>
      <c r="L54" s="190">
        <f t="shared" si="31"/>
        <v>9686036.9</v>
      </c>
      <c r="M54" s="185">
        <f t="shared" si="31"/>
        <v>-1044815.28</v>
      </c>
      <c r="N54" s="186">
        <f t="shared" si="31"/>
        <v>1593464.7</v>
      </c>
      <c r="O54" s="186">
        <f t="shared" si="31"/>
        <v>2824817.84</v>
      </c>
      <c r="P54" s="186">
        <f t="shared" si="31"/>
        <v>1702391.2</v>
      </c>
      <c r="Q54" s="186">
        <f t="shared" si="31"/>
        <v>1127335.9</v>
      </c>
      <c r="R54" s="186">
        <f t="shared" si="31"/>
        <v>1639584.78</v>
      </c>
      <c r="S54" s="186">
        <f t="shared" si="31"/>
        <v>1724551.29</v>
      </c>
      <c r="T54" s="186">
        <f t="shared" si="31"/>
        <v>2301197.4</v>
      </c>
      <c r="U54" s="186">
        <f t="shared" si="31"/>
        <v>1796650.47</v>
      </c>
      <c r="V54" s="186">
        <f t="shared" si="31"/>
        <v>350240.37</v>
      </c>
      <c r="W54" s="186">
        <f t="shared" si="31"/>
        <v>1376997.18</v>
      </c>
      <c r="X54" s="186">
        <f t="shared" si="31"/>
        <v>1318183.99</v>
      </c>
      <c r="Y54" s="191">
        <f t="shared" si="31"/>
        <v>0</v>
      </c>
      <c r="Z54" s="192">
        <f t="shared" si="31"/>
        <v>0</v>
      </c>
      <c r="AA54" s="192">
        <f t="shared" si="31"/>
        <v>0</v>
      </c>
      <c r="AB54" s="192">
        <f t="shared" si="31"/>
        <v>0</v>
      </c>
      <c r="AC54" s="192">
        <f t="shared" si="31"/>
        <v>1964318.38</v>
      </c>
      <c r="AD54" s="192">
        <f t="shared" si="31"/>
        <v>1535677.76</v>
      </c>
      <c r="AE54" s="192">
        <f t="shared" si="31"/>
        <v>3223177.92</v>
      </c>
      <c r="AF54" s="192">
        <f t="shared" si="31"/>
        <v>1731518.29</v>
      </c>
      <c r="AG54" s="192">
        <f t="shared" si="31"/>
        <v>1708337.33</v>
      </c>
      <c r="AH54" s="192">
        <f t="shared" si="31"/>
        <v>228491.73</v>
      </c>
      <c r="AI54" s="192">
        <f t="shared" si="31"/>
        <v>3186252.71</v>
      </c>
      <c r="AJ54" s="192">
        <f t="shared" si="31"/>
        <v>1159617.39</v>
      </c>
      <c r="AK54" s="192">
        <f t="shared" si="31"/>
        <v>1958887.26</v>
      </c>
      <c r="AL54" s="192">
        <f t="shared" si="31"/>
        <v>1429360.31</v>
      </c>
      <c r="AM54" s="192">
        <f t="shared" si="31"/>
        <v>741611.48</v>
      </c>
      <c r="AN54" s="195">
        <f t="shared" si="31"/>
        <v>829840.61</v>
      </c>
      <c r="AO54" s="196">
        <f t="shared" si="31"/>
        <v>26396636.74</v>
      </c>
      <c r="AP54" s="197">
        <f t="shared" si="31"/>
        <v>19697091.17</v>
      </c>
      <c r="AQ54" s="198">
        <f t="shared" si="31"/>
        <v>6699545.57</v>
      </c>
      <c r="AR54" s="104">
        <f t="shared" ref="AR54:BC54" si="32">SUM(AR5:AR53)</f>
        <v>32556.4800000001</v>
      </c>
      <c r="AS54" s="104">
        <f t="shared" si="32"/>
        <v>2581.09000000007</v>
      </c>
      <c r="AT54" s="104">
        <f t="shared" si="32"/>
        <v>36562.4500000001</v>
      </c>
      <c r="AU54" s="104">
        <f t="shared" si="32"/>
        <v>1648103.79</v>
      </c>
      <c r="AV54" s="104">
        <f t="shared" si="32"/>
        <v>479361.52</v>
      </c>
      <c r="AW54" s="104">
        <f t="shared" si="32"/>
        <v>558292.02</v>
      </c>
      <c r="AX54" s="104">
        <f t="shared" si="32"/>
        <v>385201.34</v>
      </c>
      <c r="AY54" s="104">
        <f t="shared" si="32"/>
        <v>394964.54</v>
      </c>
      <c r="AZ54" s="104">
        <f t="shared" si="32"/>
        <v>471499.440000001</v>
      </c>
      <c r="BA54" s="104">
        <f t="shared" si="32"/>
        <v>2722456.36</v>
      </c>
      <c r="BB54" s="104">
        <f t="shared" si="32"/>
        <v>4100856.37</v>
      </c>
      <c r="BC54" s="104">
        <f t="shared" si="32"/>
        <v>4415313.9</v>
      </c>
      <c r="BD54" s="199"/>
      <c r="BE54" s="200"/>
      <c r="BF54" s="201">
        <f>SUM(BF5:BF53)</f>
        <v>0</v>
      </c>
      <c r="BI54" s="21" t="s">
        <v>142</v>
      </c>
    </row>
    <row r="55" customHeight="1" spans="5:56">
      <c r="E55" s="99"/>
      <c r="F55" s="99"/>
      <c r="G55" s="99"/>
      <c r="H55" s="99"/>
      <c r="I55" s="99">
        <f t="shared" ref="I55:AO55" si="33">SUM(I5:I45)</f>
        <v>35934</v>
      </c>
      <c r="J55" s="99">
        <f t="shared" si="33"/>
        <v>7627.5</v>
      </c>
      <c r="K55" s="99">
        <f t="shared" si="33"/>
        <v>263602.29</v>
      </c>
      <c r="L55" s="99">
        <f t="shared" si="33"/>
        <v>3680809.7</v>
      </c>
      <c r="M55" s="99">
        <f t="shared" si="33"/>
        <v>1085547.59</v>
      </c>
      <c r="N55" s="99">
        <f t="shared" si="33"/>
        <v>943581.12</v>
      </c>
      <c r="O55" s="99">
        <f t="shared" si="33"/>
        <v>1887282.78</v>
      </c>
      <c r="P55" s="99">
        <f t="shared" si="33"/>
        <v>890974.46</v>
      </c>
      <c r="Q55" s="99">
        <f t="shared" si="33"/>
        <v>262898.97</v>
      </c>
      <c r="R55" s="99">
        <f t="shared" si="33"/>
        <v>765163.16</v>
      </c>
      <c r="S55" s="99">
        <f t="shared" si="33"/>
        <v>771466.36</v>
      </c>
      <c r="T55" s="99">
        <f t="shared" si="33"/>
        <v>846580.76</v>
      </c>
      <c r="U55" s="99">
        <f t="shared" si="33"/>
        <v>829787.96</v>
      </c>
      <c r="V55" s="99">
        <f t="shared" si="33"/>
        <v>938576.69</v>
      </c>
      <c r="W55" s="99">
        <f t="shared" si="33"/>
        <v>869176.66</v>
      </c>
      <c r="X55" s="99">
        <f t="shared" si="33"/>
        <v>528165.16</v>
      </c>
      <c r="Y55" s="99">
        <f t="shared" si="33"/>
        <v>0</v>
      </c>
      <c r="Z55" s="99">
        <f t="shared" si="33"/>
        <v>0</v>
      </c>
      <c r="AA55" s="99">
        <f t="shared" si="33"/>
        <v>0</v>
      </c>
      <c r="AB55" s="99">
        <f t="shared" si="33"/>
        <v>0</v>
      </c>
      <c r="AC55" s="99">
        <f t="shared" si="33"/>
        <v>1314318.38</v>
      </c>
      <c r="AD55" s="99">
        <f t="shared" si="33"/>
        <v>335677.76</v>
      </c>
      <c r="AE55" s="99">
        <f t="shared" si="33"/>
        <v>1839022.62</v>
      </c>
      <c r="AF55" s="99">
        <f t="shared" si="33"/>
        <v>1731518.29</v>
      </c>
      <c r="AG55" s="99">
        <f t="shared" si="33"/>
        <v>1422618.03</v>
      </c>
      <c r="AH55" s="99">
        <f t="shared" si="33"/>
        <v>228491.73</v>
      </c>
      <c r="AI55" s="99">
        <f t="shared" si="33"/>
        <v>687420.35</v>
      </c>
      <c r="AJ55" s="99">
        <f t="shared" si="33"/>
        <v>873079.37</v>
      </c>
      <c r="AK55" s="99">
        <f t="shared" si="33"/>
        <v>1213817.98</v>
      </c>
      <c r="AL55" s="99">
        <f t="shared" si="33"/>
        <v>129360.31</v>
      </c>
      <c r="AM55" s="99">
        <f t="shared" si="33"/>
        <v>606611.48</v>
      </c>
      <c r="AN55" s="99">
        <f t="shared" si="33"/>
        <v>802557.89</v>
      </c>
      <c r="AO55" s="99">
        <f t="shared" si="33"/>
        <v>14300011.37</v>
      </c>
      <c r="AP55" s="99">
        <f>SUM(AP5:AP49)</f>
        <v>13398175.09</v>
      </c>
      <c r="AQ55" s="99">
        <f>SUM(AQ5:AQ51)</f>
        <v>4329171.41</v>
      </c>
      <c r="AR55" s="99">
        <f t="shared" ref="AR55:BD55" si="34">SUM(AR5:AR51)</f>
        <v>32556.4800000001</v>
      </c>
      <c r="AS55" s="99">
        <f t="shared" si="34"/>
        <v>2581.09000000007</v>
      </c>
      <c r="AT55" s="99">
        <f t="shared" si="34"/>
        <v>36562.4500000001</v>
      </c>
      <c r="AU55" s="99">
        <f t="shared" si="34"/>
        <v>1222350.33</v>
      </c>
      <c r="AV55" s="99">
        <f t="shared" si="34"/>
        <v>479361.52</v>
      </c>
      <c r="AW55" s="99">
        <f t="shared" si="34"/>
        <v>558292.02</v>
      </c>
      <c r="AX55" s="99">
        <f t="shared" si="34"/>
        <v>385201.34</v>
      </c>
      <c r="AY55" s="99">
        <f t="shared" si="34"/>
        <v>394964.54</v>
      </c>
      <c r="AZ55" s="99">
        <f t="shared" si="34"/>
        <v>438742.49</v>
      </c>
      <c r="BA55" s="99">
        <f t="shared" si="34"/>
        <v>1304456.84</v>
      </c>
      <c r="BB55" s="99">
        <f t="shared" si="34"/>
        <v>1922962.2</v>
      </c>
      <c r="BC55" s="99">
        <f t="shared" si="34"/>
        <v>2834958.57</v>
      </c>
      <c r="BD55" s="99">
        <f t="shared" si="34"/>
        <v>0</v>
      </c>
    </row>
    <row r="56" customHeight="1" spans="5:24"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</row>
    <row r="57" ht="15.6" spans="4:61">
      <c r="D57" s="100" t="s">
        <v>143</v>
      </c>
      <c r="AC57" s="193">
        <f>AC54-AC26-AC28</f>
        <v>1964318.38</v>
      </c>
      <c r="AD57" s="193">
        <f t="shared" ref="AD57:AH57" si="35">AD54-AD26-AD28</f>
        <v>1305000</v>
      </c>
      <c r="AE57" s="193">
        <f t="shared" si="35"/>
        <v>3083975.48</v>
      </c>
      <c r="AF57" s="193">
        <f t="shared" si="35"/>
        <v>998173.59</v>
      </c>
      <c r="AG57" s="193">
        <f t="shared" si="35"/>
        <v>1555306.45</v>
      </c>
      <c r="AH57" s="193">
        <f t="shared" si="35"/>
        <v>164900.45</v>
      </c>
      <c r="AI57" s="22"/>
      <c r="AJ57" s="22"/>
      <c r="AK57" s="22"/>
      <c r="AL57" s="22"/>
      <c r="AM57" s="22"/>
      <c r="AN57" s="22"/>
      <c r="AO57" s="100"/>
      <c r="AP57" s="100"/>
      <c r="AQ57" s="100"/>
      <c r="AR57" s="100"/>
      <c r="AS57" s="100"/>
      <c r="AT57" s="100"/>
      <c r="AU57" s="100"/>
      <c r="AV57" s="100"/>
      <c r="AW57" s="100"/>
      <c r="AX57" s="100"/>
      <c r="AY57" s="100"/>
      <c r="AZ57" s="100"/>
      <c r="BA57" s="100"/>
      <c r="BB57" s="100"/>
      <c r="BC57" s="100"/>
      <c r="BD57" s="100"/>
      <c r="BI57" s="22" t="s">
        <v>143</v>
      </c>
    </row>
    <row r="58" spans="29:55">
      <c r="AC58" s="112">
        <f>AC57/10000</f>
        <v>196.431838</v>
      </c>
      <c r="AD58" s="112">
        <f t="shared" ref="AD58:AH58" si="36">AD57/10000</f>
        <v>130.5</v>
      </c>
      <c r="AE58" s="112">
        <f t="shared" si="36"/>
        <v>308.397548</v>
      </c>
      <c r="AF58" s="112">
        <f t="shared" si="36"/>
        <v>99.817359</v>
      </c>
      <c r="AG58" s="112">
        <f t="shared" si="36"/>
        <v>155.530645</v>
      </c>
      <c r="AH58" s="112">
        <f t="shared" si="36"/>
        <v>16.490045</v>
      </c>
      <c r="AV58" s="106"/>
      <c r="AW58" s="106"/>
      <c r="AX58" s="106"/>
      <c r="AY58" s="106"/>
      <c r="AZ58" s="106"/>
      <c r="BA58" s="106"/>
      <c r="BB58" s="106"/>
      <c r="BC58" s="106"/>
    </row>
    <row r="68" s="22" customFormat="1"/>
    <row r="71" s="22" customFormat="1"/>
  </sheetData>
  <autoFilter ref="A4:BH55">
    <extLst/>
  </autoFilter>
  <mergeCells count="63">
    <mergeCell ref="B1:AN1"/>
    <mergeCell ref="E2:H2"/>
    <mergeCell ref="I2:L2"/>
    <mergeCell ref="M2:X2"/>
    <mergeCell ref="Z2:AB2"/>
    <mergeCell ref="AO2:BD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2:Y4"/>
    <mergeCell ref="Z3:Z4"/>
    <mergeCell ref="AA3:AA4"/>
    <mergeCell ref="AB3:AB4"/>
    <mergeCell ref="AC2:AC4"/>
    <mergeCell ref="AD2:AD4"/>
    <mergeCell ref="AE2:AE4"/>
    <mergeCell ref="AF2:AF4"/>
    <mergeCell ref="AG2:AG4"/>
    <mergeCell ref="AH2:AH4"/>
    <mergeCell ref="AI2:AI4"/>
    <mergeCell ref="AJ2:AJ4"/>
    <mergeCell ref="AK2:AK4"/>
    <mergeCell ref="AL2:AL4"/>
    <mergeCell ref="AM2:AM4"/>
    <mergeCell ref="AN2:AN4"/>
    <mergeCell ref="AO3:AO4"/>
    <mergeCell ref="AP3:AP4"/>
    <mergeCell ref="AQ3:AQ4"/>
    <mergeCell ref="AR3:AR4"/>
    <mergeCell ref="AS3:AS4"/>
    <mergeCell ref="AT3:AT4"/>
    <mergeCell ref="AU3:AU4"/>
    <mergeCell ref="AV3:AV4"/>
    <mergeCell ref="AW3:AW4"/>
    <mergeCell ref="AX3:AX4"/>
    <mergeCell ref="AY3:AY4"/>
    <mergeCell ref="AZ3:AZ4"/>
    <mergeCell ref="BA3:BA4"/>
    <mergeCell ref="BB3:BB4"/>
    <mergeCell ref="BC3:BC4"/>
    <mergeCell ref="BD3:BD4"/>
    <mergeCell ref="BE2:BE4"/>
    <mergeCell ref="BF2:BF4"/>
  </mergeCells>
  <conditionalFormatting sqref="D52">
    <cfRule type="duplicateValues" dxfId="0" priority="1"/>
  </conditionalFormatting>
  <conditionalFormatting sqref="D43:D44">
    <cfRule type="duplicateValues" dxfId="0" priority="3"/>
  </conditionalFormatting>
  <conditionalFormatting sqref="D45:D48">
    <cfRule type="duplicateValues" dxfId="0" priority="4"/>
  </conditionalFormatting>
  <conditionalFormatting sqref="D49:D51">
    <cfRule type="duplicateValues" dxfId="0" priority="2"/>
  </conditionalFormatting>
  <conditionalFormatting sqref="D1:D42 D53:D1048576">
    <cfRule type="duplicateValues" dxfId="0" priority="6"/>
  </conditionalFormatting>
  <conditionalFormatting sqref="AP1:BC1 AP56:BC1048576">
    <cfRule type="duplicateValues" dxfId="0" priority="5"/>
  </conditionalFormatting>
  <pageMargins left="0.7" right="0.7" top="0.75" bottom="0.75" header="0.3" footer="0.3"/>
  <pageSetup paperSize="9" orientation="portrait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BU91"/>
  <sheetViews>
    <sheetView zoomScale="80" zoomScaleNormal="80" workbookViewId="0">
      <pane xSplit="4" ySplit="4" topLeftCell="Y59" activePane="bottomRight" state="frozen"/>
      <selection/>
      <selection pane="topRight"/>
      <selection pane="bottomLeft"/>
      <selection pane="bottomRight" activeCell="Y67" sqref="Y67:Z67"/>
    </sheetView>
  </sheetViews>
  <sheetFormatPr defaultColWidth="8" defaultRowHeight="15"/>
  <cols>
    <col min="1" max="1" width="1.4537037037037" style="22" customWidth="1"/>
    <col min="2" max="2" width="7.09259259259259" style="23" customWidth="1"/>
    <col min="3" max="3" width="10.6296296296296" style="22" customWidth="1"/>
    <col min="4" max="4" width="27.3611111111111" style="24" customWidth="1"/>
    <col min="5" max="5" width="23.6296296296296" style="111" customWidth="1"/>
    <col min="6" max="13" width="14.2685185185185" style="111" customWidth="1"/>
    <col min="14" max="14" width="17.7222222222222" style="111" customWidth="1"/>
    <col min="15" max="15" width="13.9074074074074" style="111" customWidth="1"/>
    <col min="16" max="17" width="12.2685185185185" style="111" customWidth="1"/>
    <col min="18" max="18" width="13.9074074074074" style="111" customWidth="1"/>
    <col min="19" max="20" width="12.2685185185185" style="111" customWidth="1"/>
    <col min="21" max="26" width="14.2685185185185" style="111" customWidth="1"/>
    <col min="27" max="33" width="14.2685185185185" style="111" hidden="1" customWidth="1"/>
    <col min="34" max="34" width="3.62962962962963" style="22" customWidth="1"/>
    <col min="35" max="35" width="6.72222222222222" style="22" customWidth="1"/>
    <col min="36" max="37" width="4.72222222222222" style="22" customWidth="1"/>
    <col min="38" max="38" width="16.3611111111111" style="112" customWidth="1"/>
    <col min="39" max="39" width="14.3611111111111" style="112" customWidth="1"/>
    <col min="40" max="49" width="13" style="112" customWidth="1"/>
    <col min="50" max="54" width="17.2685185185185" style="24" customWidth="1"/>
    <col min="55" max="64" width="17.2685185185185" style="24" hidden="1" customWidth="1"/>
    <col min="65" max="65" width="14" style="24" customWidth="1"/>
    <col min="66" max="66" width="20.7222222222222" style="22" customWidth="1"/>
    <col min="67" max="68" width="13.0925925925926" style="22" customWidth="1"/>
    <col min="69" max="69" width="13.9074074074074" style="22" customWidth="1"/>
    <col min="70" max="70" width="8" style="22"/>
    <col min="71" max="71" width="12.6296296296296" style="22"/>
    <col min="72" max="73" width="11.4537037037037" style="22"/>
    <col min="74" max="16384" width="8" style="22"/>
  </cols>
  <sheetData>
    <row r="1" ht="21" customHeight="1" spans="2:66">
      <c r="B1" s="113" t="s">
        <v>276</v>
      </c>
      <c r="C1" s="114"/>
      <c r="D1" s="114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4"/>
      <c r="AI1" s="114"/>
      <c r="AJ1" s="114"/>
      <c r="AK1" s="114"/>
      <c r="AL1" s="115"/>
      <c r="AM1" s="115"/>
      <c r="AN1" s="115"/>
      <c r="AO1" s="115"/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  <c r="BM1" s="115"/>
      <c r="BN1" s="114"/>
    </row>
    <row r="2" ht="18" customHeight="1" spans="2:67">
      <c r="B2" s="29" t="s">
        <v>1</v>
      </c>
      <c r="C2" s="30" t="s">
        <v>2</v>
      </c>
      <c r="D2" s="31" t="s">
        <v>3</v>
      </c>
      <c r="E2" s="116" t="s">
        <v>277</v>
      </c>
      <c r="F2" s="116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40" t="s">
        <v>278</v>
      </c>
      <c r="S2" s="141"/>
      <c r="T2" s="141"/>
      <c r="U2" s="142"/>
      <c r="V2" s="116" t="s">
        <v>279</v>
      </c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51" t="s">
        <v>36</v>
      </c>
      <c r="AI2" s="64" t="s">
        <v>37</v>
      </c>
      <c r="AJ2" s="64"/>
      <c r="AK2" s="64"/>
      <c r="AL2" s="152" t="s">
        <v>192</v>
      </c>
      <c r="AM2" s="152" t="s">
        <v>193</v>
      </c>
      <c r="AN2" s="152" t="s">
        <v>158</v>
      </c>
      <c r="AO2" s="152" t="s">
        <v>159</v>
      </c>
      <c r="AP2" s="152" t="s">
        <v>160</v>
      </c>
      <c r="AQ2" s="152" t="s">
        <v>161</v>
      </c>
      <c r="AR2" s="152" t="s">
        <v>162</v>
      </c>
      <c r="AS2" s="152" t="s">
        <v>163</v>
      </c>
      <c r="AT2" s="152" t="s">
        <v>164</v>
      </c>
      <c r="AU2" s="152" t="s">
        <v>165</v>
      </c>
      <c r="AV2" s="152" t="s">
        <v>166</v>
      </c>
      <c r="AW2" s="163" t="s">
        <v>167</v>
      </c>
      <c r="AX2" s="164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175"/>
      <c r="BN2" s="67" t="s">
        <v>36</v>
      </c>
      <c r="BO2" s="67" t="s">
        <v>280</v>
      </c>
    </row>
    <row r="3" ht="31.5" customHeight="1" spans="2:67">
      <c r="B3" s="34"/>
      <c r="C3" s="35"/>
      <c r="D3" s="36"/>
      <c r="E3" s="118" t="s">
        <v>281</v>
      </c>
      <c r="F3" s="118" t="s">
        <v>73</v>
      </c>
      <c r="G3" s="119" t="s">
        <v>74</v>
      </c>
      <c r="H3" s="119" t="s">
        <v>169</v>
      </c>
      <c r="I3" s="119" t="s">
        <v>170</v>
      </c>
      <c r="J3" s="119" t="s">
        <v>171</v>
      </c>
      <c r="K3" s="119" t="s">
        <v>172</v>
      </c>
      <c r="L3" s="119" t="s">
        <v>173</v>
      </c>
      <c r="M3" s="119" t="s">
        <v>174</v>
      </c>
      <c r="N3" s="119" t="s">
        <v>175</v>
      </c>
      <c r="O3" s="119" t="s">
        <v>282</v>
      </c>
      <c r="P3" s="119" t="s">
        <v>283</v>
      </c>
      <c r="Q3" s="119" t="s">
        <v>284</v>
      </c>
      <c r="R3" s="119" t="s">
        <v>282</v>
      </c>
      <c r="S3" s="119" t="s">
        <v>283</v>
      </c>
      <c r="T3" s="119" t="s">
        <v>284</v>
      </c>
      <c r="U3" s="143" t="s">
        <v>285</v>
      </c>
      <c r="V3" s="118" t="s">
        <v>73</v>
      </c>
      <c r="W3" s="119" t="s">
        <v>74</v>
      </c>
      <c r="X3" s="119" t="s">
        <v>169</v>
      </c>
      <c r="Y3" s="119" t="s">
        <v>170</v>
      </c>
      <c r="Z3" s="119" t="s">
        <v>171</v>
      </c>
      <c r="AA3" s="119" t="s">
        <v>172</v>
      </c>
      <c r="AB3" s="119" t="s">
        <v>173</v>
      </c>
      <c r="AC3" s="119" t="s">
        <v>174</v>
      </c>
      <c r="AD3" s="119" t="s">
        <v>175</v>
      </c>
      <c r="AE3" s="119" t="s">
        <v>70</v>
      </c>
      <c r="AF3" s="119" t="s">
        <v>71</v>
      </c>
      <c r="AG3" s="119" t="s">
        <v>72</v>
      </c>
      <c r="AH3" s="153"/>
      <c r="AI3" s="154" t="s">
        <v>76</v>
      </c>
      <c r="AJ3" s="154" t="s">
        <v>77</v>
      </c>
      <c r="AK3" s="154" t="s">
        <v>78</v>
      </c>
      <c r="AL3" s="155"/>
      <c r="AM3" s="155"/>
      <c r="AN3" s="155"/>
      <c r="AO3" s="155"/>
      <c r="AP3" s="155"/>
      <c r="AQ3" s="155"/>
      <c r="AR3" s="155"/>
      <c r="AS3" s="155"/>
      <c r="AT3" s="155"/>
      <c r="AU3" s="155"/>
      <c r="AV3" s="155"/>
      <c r="AW3" s="165"/>
      <c r="AX3" s="166" t="s">
        <v>250</v>
      </c>
      <c r="AY3" s="56" t="s">
        <v>251</v>
      </c>
      <c r="AZ3" s="167" t="s">
        <v>252</v>
      </c>
      <c r="BA3" s="56" t="s">
        <v>253</v>
      </c>
      <c r="BB3" s="56" t="s">
        <v>254</v>
      </c>
      <c r="BC3" s="56" t="s">
        <v>255</v>
      </c>
      <c r="BD3" s="56" t="s">
        <v>256</v>
      </c>
      <c r="BE3" s="56" t="s">
        <v>257</v>
      </c>
      <c r="BF3" s="56" t="s">
        <v>258</v>
      </c>
      <c r="BG3" s="56" t="s">
        <v>259</v>
      </c>
      <c r="BH3" s="56" t="s">
        <v>260</v>
      </c>
      <c r="BI3" s="56" t="s">
        <v>261</v>
      </c>
      <c r="BJ3" s="56" t="s">
        <v>262</v>
      </c>
      <c r="BK3" s="56" t="s">
        <v>263</v>
      </c>
      <c r="BL3" s="56" t="s">
        <v>236</v>
      </c>
      <c r="BM3" s="176" t="s">
        <v>203</v>
      </c>
      <c r="BN3" s="74"/>
      <c r="BO3" s="74"/>
    </row>
    <row r="4" ht="18" customHeight="1" spans="2:67">
      <c r="B4" s="34"/>
      <c r="C4" s="35"/>
      <c r="D4" s="36"/>
      <c r="E4" s="120"/>
      <c r="F4" s="120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44"/>
      <c r="V4" s="120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53"/>
      <c r="AI4" s="154"/>
      <c r="AJ4" s="154"/>
      <c r="AK4" s="154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65"/>
      <c r="AX4" s="166"/>
      <c r="AY4" s="56"/>
      <c r="AZ4" s="167"/>
      <c r="BA4" s="56"/>
      <c r="BB4" s="56"/>
      <c r="BC4" s="56"/>
      <c r="BD4" s="56"/>
      <c r="BE4" s="56"/>
      <c r="BF4" s="56"/>
      <c r="BG4" s="56"/>
      <c r="BH4" s="56"/>
      <c r="BI4" s="56"/>
      <c r="BJ4" s="56"/>
      <c r="BK4" s="56"/>
      <c r="BL4" s="56"/>
      <c r="BM4" s="176"/>
      <c r="BN4" s="74"/>
      <c r="BO4" s="74"/>
    </row>
    <row r="5" s="20" customFormat="1" ht="24" customHeight="1" spans="2:73">
      <c r="B5" s="42" t="s">
        <v>81</v>
      </c>
      <c r="C5" s="122" t="s">
        <v>90</v>
      </c>
      <c r="D5" s="43" t="s">
        <v>91</v>
      </c>
      <c r="E5" s="123">
        <v>117633</v>
      </c>
      <c r="F5" s="9">
        <v>63967.04</v>
      </c>
      <c r="G5" s="124">
        <v>25764</v>
      </c>
      <c r="H5" s="124">
        <v>27572</v>
      </c>
      <c r="I5" s="124"/>
      <c r="J5" s="124">
        <v>22562.94</v>
      </c>
      <c r="K5" s="124">
        <v>13560</v>
      </c>
      <c r="L5" s="124"/>
      <c r="M5" s="124"/>
      <c r="N5" s="124">
        <f>49381+35595</f>
        <v>84976</v>
      </c>
      <c r="O5" s="135">
        <v>19097</v>
      </c>
      <c r="P5" s="136"/>
      <c r="Q5" s="136"/>
      <c r="R5" s="135"/>
      <c r="S5" s="136"/>
      <c r="T5" s="136"/>
      <c r="U5" s="145">
        <f>SUM(R5:T5)+E5</f>
        <v>117633</v>
      </c>
      <c r="V5" s="9">
        <v>49042</v>
      </c>
      <c r="W5" s="124"/>
      <c r="X5" s="124"/>
      <c r="Y5" s="124"/>
      <c r="Z5" s="124">
        <v>21696</v>
      </c>
      <c r="AA5" s="124"/>
      <c r="AB5" s="124"/>
      <c r="AC5" s="124"/>
      <c r="AD5" s="124"/>
      <c r="AE5" s="124"/>
      <c r="AF5" s="124"/>
      <c r="AG5" s="124"/>
      <c r="AH5" s="156"/>
      <c r="AI5" s="79"/>
      <c r="AJ5" s="79"/>
      <c r="AK5" s="79" t="s">
        <v>84</v>
      </c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168"/>
      <c r="AX5" s="169">
        <f>SUM(U5:AG5)</f>
        <v>188371</v>
      </c>
      <c r="AY5" s="170">
        <f t="shared" ref="AY5:AY33" si="0">SUM(AL5:AW5)</f>
        <v>0</v>
      </c>
      <c r="AZ5" s="171">
        <f t="shared" ref="AZ5:AZ33" si="1">AX5-AY5</f>
        <v>188371</v>
      </c>
      <c r="BA5" s="172">
        <f>IF(AZ5-V5-T5-Q5&gt;0,AZ5-V5-T5-Q5,0)</f>
        <v>139329</v>
      </c>
      <c r="BB5" s="172">
        <f>IF(AZ5-W5-V5&gt;0,AZ5-W5-V5,0)</f>
        <v>139329</v>
      </c>
      <c r="BC5" s="173">
        <f t="shared" ref="BC5:BC15" si="2">IF(AZ5-SUM(W5:AG5)&gt;0,AZ5-SUM(W5:AG5),"")</f>
        <v>166675</v>
      </c>
      <c r="BD5" s="108">
        <f t="shared" ref="BD5:BD15" si="3">IF(AZ5-SUM(X5:AG5)&gt;0,AZ5-SUM(X5:AG5),"")</f>
        <v>166675</v>
      </c>
      <c r="BE5" s="108">
        <f t="shared" ref="BE5:BE15" si="4">IF(AZ5-SUM(Y5:AG5)&gt;0,AZ5-SUM(Y5:AG5),"")</f>
        <v>166675</v>
      </c>
      <c r="BF5" s="108">
        <f>IF($AZ5-SUM(Z5:$AG5)&gt;0,$AZ5-SUM(Z5:$AG5),"")</f>
        <v>166675</v>
      </c>
      <c r="BG5" s="108">
        <f>IF($AZ5-SUM(AA5:$AG5)&gt;0,$AZ5-SUM(AA5:$AG5),"")</f>
        <v>188371</v>
      </c>
      <c r="BH5" s="108">
        <f>IF($AZ5-SUM(AB5:$AG5)&gt;0,$AZ5-SUM(AB5:$AG5),"")</f>
        <v>188371</v>
      </c>
      <c r="BI5" s="108">
        <f>IF($AZ5-SUM(AC5:$AG5)&gt;0,$AZ5-SUM(AC5:$AG5),"")</f>
        <v>188371</v>
      </c>
      <c r="BJ5" s="108">
        <f>IF($AZ5-SUM(AD5:$AG5)&gt;0,$AZ5-SUM(AD5:$AG5),"")</f>
        <v>188371</v>
      </c>
      <c r="BK5" s="108">
        <f>IF($AZ5-SUM(AE5:$AG5)&gt;0,$AZ5-SUM(AE5:$AG5),"")</f>
        <v>188371</v>
      </c>
      <c r="BL5" s="108">
        <f>IF($AZ5-SUM(AF5:$AG5)&gt;0,$AZ5-SUM(AF5:$AG5),"")</f>
        <v>188371</v>
      </c>
      <c r="BM5" s="177" t="s">
        <v>85</v>
      </c>
      <c r="BN5" s="178"/>
      <c r="BO5" s="179"/>
      <c r="BP5" s="180">
        <f>IFERROR(VLOOKUP(D5,Sheet3!D:O,12,FALSE),"0")</f>
        <v>188371</v>
      </c>
      <c r="BQ5" s="180">
        <f>AZ5-BP5</f>
        <v>0</v>
      </c>
      <c r="BS5" s="20">
        <f>VLOOKUP(D5,'2022年'!BI:BL,2,FALSE)</f>
        <v>238401.98</v>
      </c>
      <c r="BT5" s="20">
        <f>SUM(F5:N5)</f>
        <v>238401.98</v>
      </c>
      <c r="BU5" s="20">
        <f>BS5-BT5</f>
        <v>0</v>
      </c>
    </row>
    <row r="6" s="20" customFormat="1" ht="24" customHeight="1" spans="2:73">
      <c r="B6" s="42" t="s">
        <v>81</v>
      </c>
      <c r="C6" s="122" t="s">
        <v>92</v>
      </c>
      <c r="D6" s="43" t="s">
        <v>93</v>
      </c>
      <c r="E6" s="123">
        <v>24984.3</v>
      </c>
      <c r="F6" s="124">
        <v>0</v>
      </c>
      <c r="G6" s="124">
        <v>0</v>
      </c>
      <c r="H6" s="124">
        <v>12718.52</v>
      </c>
      <c r="I6" s="124">
        <v>0</v>
      </c>
      <c r="J6" s="124">
        <v>7268.16</v>
      </c>
      <c r="K6" s="124">
        <v>8782.36</v>
      </c>
      <c r="L6" s="124">
        <v>0</v>
      </c>
      <c r="M6" s="124">
        <v>19836.02</v>
      </c>
      <c r="N6" s="124">
        <f>IFERROR(VLOOKUP($D6,'2022年'!$D:AF,COLUMN(R1),FALSE),"")</f>
        <v>5451.12</v>
      </c>
      <c r="O6" s="135">
        <v>4542.6</v>
      </c>
      <c r="P6" s="136">
        <v>4542.6</v>
      </c>
      <c r="Q6" s="136">
        <v>10447.98</v>
      </c>
      <c r="R6" s="135"/>
      <c r="S6" s="136"/>
      <c r="T6" s="136"/>
      <c r="U6" s="145">
        <f t="shared" ref="U6:U34" si="5">SUM(R6:T6)+E6</f>
        <v>24984.3</v>
      </c>
      <c r="V6" s="9"/>
      <c r="W6" s="124">
        <v>2271.3</v>
      </c>
      <c r="X6" s="124">
        <v>1817.04</v>
      </c>
      <c r="Y6" s="124"/>
      <c r="Z6" s="124">
        <f>10902.24+9528.16</f>
        <v>20430.4</v>
      </c>
      <c r="AA6" s="124"/>
      <c r="AB6" s="124"/>
      <c r="AC6" s="124"/>
      <c r="AD6" s="124"/>
      <c r="AE6" s="124"/>
      <c r="AF6" s="124"/>
      <c r="AG6" s="124"/>
      <c r="AH6" s="156"/>
      <c r="AI6" s="79"/>
      <c r="AJ6" s="79"/>
      <c r="AK6" s="79" t="s">
        <v>84</v>
      </c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168"/>
      <c r="AX6" s="169">
        <f t="shared" ref="AX6:AX33" si="6">SUM(U6:AG6)</f>
        <v>49503.04</v>
      </c>
      <c r="AY6" s="170">
        <f t="shared" si="0"/>
        <v>0</v>
      </c>
      <c r="AZ6" s="171">
        <f t="shared" si="1"/>
        <v>49503.04</v>
      </c>
      <c r="BA6" s="172">
        <f t="shared" ref="BA6:BA24" si="7">IF(AZ6-V6-T6-Q6&gt;0,AZ6-V6-T6-Q6,0)</f>
        <v>39055.06</v>
      </c>
      <c r="BB6" s="172">
        <f t="shared" ref="BB6:BB24" si="8">IF(AZ6-W6-V6&gt;0,AZ6-W6-V6,0)</f>
        <v>47231.74</v>
      </c>
      <c r="BC6" s="173">
        <f t="shared" si="2"/>
        <v>24984.3</v>
      </c>
      <c r="BD6" s="108">
        <f t="shared" si="3"/>
        <v>27255.6</v>
      </c>
      <c r="BE6" s="108">
        <f t="shared" si="4"/>
        <v>29072.64</v>
      </c>
      <c r="BF6" s="108">
        <f>IF($AZ6-SUM(Z6:$AG6)&gt;0,$AZ6-SUM(Z6:$AG6),"")</f>
        <v>29072.64</v>
      </c>
      <c r="BG6" s="108">
        <f>IF($AZ6-SUM(AA6:$AG6)&gt;0,$AZ6-SUM(AA6:$AG6),"")</f>
        <v>49503.04</v>
      </c>
      <c r="BH6" s="108">
        <f>IF($AZ6-SUM(AB6:$AG6)&gt;0,$AZ6-SUM(AB6:$AG6),"")</f>
        <v>49503.04</v>
      </c>
      <c r="BI6" s="108">
        <f>IF($AZ6-SUM(AC6:$AG6)&gt;0,$AZ6-SUM(AC6:$AG6),"")</f>
        <v>49503.04</v>
      </c>
      <c r="BJ6" s="108">
        <f>IF($AZ6-SUM(AD6:$AG6)&gt;0,$AZ6-SUM(AD6:$AG6),"")</f>
        <v>49503.04</v>
      </c>
      <c r="BK6" s="108">
        <f>IF($AZ6-SUM(AE6:$AG6)&gt;0,$AZ6-SUM(AE6:$AG6),"")</f>
        <v>49503.04</v>
      </c>
      <c r="BL6" s="108">
        <f>IF($AZ6-SUM(AF6:$AG6)&gt;0,$AZ6-SUM(AF6:$AG6),"")</f>
        <v>49503.04</v>
      </c>
      <c r="BM6" s="177" t="s">
        <v>85</v>
      </c>
      <c r="BN6" s="178"/>
      <c r="BO6" s="179"/>
      <c r="BP6" s="180">
        <f>IFERROR(VLOOKUP(D6,Sheet3!D:O,12,FALSE),"0")</f>
        <v>49503.04</v>
      </c>
      <c r="BQ6" s="180">
        <f t="shared" ref="BQ6:BQ31" si="9">AZ6-BP6</f>
        <v>0</v>
      </c>
      <c r="BS6" s="20">
        <f>VLOOKUP(D6,'2022年'!BI:BL,2,FALSE)</f>
        <v>54056.18</v>
      </c>
      <c r="BT6" s="20">
        <f t="shared" ref="BT6:BT32" si="10">SUM(F6:N6)</f>
        <v>54056.18</v>
      </c>
      <c r="BU6" s="20">
        <f t="shared" ref="BU6:BU32" si="11">BS6-BT6</f>
        <v>0</v>
      </c>
    </row>
    <row r="7" s="20" customFormat="1" ht="24" customHeight="1" spans="2:73">
      <c r="B7" s="42" t="s">
        <v>81</v>
      </c>
      <c r="C7" s="122" t="s">
        <v>105</v>
      </c>
      <c r="D7" s="43" t="s">
        <v>106</v>
      </c>
      <c r="E7" s="123">
        <v>71106.5600000001</v>
      </c>
      <c r="F7" s="124">
        <v>31188</v>
      </c>
      <c r="G7" s="124">
        <v>0</v>
      </c>
      <c r="H7" s="124">
        <v>0</v>
      </c>
      <c r="I7" s="124">
        <v>47405.76</v>
      </c>
      <c r="J7" s="124">
        <v>28069.2</v>
      </c>
      <c r="K7" s="124">
        <v>16217.76</v>
      </c>
      <c r="L7" s="124">
        <v>24950.4</v>
      </c>
      <c r="M7" s="124">
        <v>12475.2</v>
      </c>
      <c r="N7" s="124">
        <f>IFERROR(VLOOKUP($D7,'2022年'!$D:AF,COLUMN(R1),FALSE),"")</f>
        <v>14970.24</v>
      </c>
      <c r="O7" s="135">
        <v>24950.4</v>
      </c>
      <c r="P7" s="136"/>
      <c r="Q7" s="136">
        <v>31185.92</v>
      </c>
      <c r="R7" s="135"/>
      <c r="S7" s="136"/>
      <c r="T7" s="136"/>
      <c r="U7" s="145">
        <f t="shared" si="5"/>
        <v>71106.5600000001</v>
      </c>
      <c r="V7" s="9"/>
      <c r="W7" s="124">
        <v>65893.25</v>
      </c>
      <c r="X7" s="124"/>
      <c r="Y7" s="124">
        <v>110547.64</v>
      </c>
      <c r="Z7" s="124">
        <v>123272.71</v>
      </c>
      <c r="AA7" s="124"/>
      <c r="AB7" s="124"/>
      <c r="AC7" s="124"/>
      <c r="AD7" s="124"/>
      <c r="AE7" s="124"/>
      <c r="AF7" s="124"/>
      <c r="AG7" s="124"/>
      <c r="AH7" s="156"/>
      <c r="AI7" s="79"/>
      <c r="AJ7" s="79"/>
      <c r="AK7" s="79" t="s">
        <v>84</v>
      </c>
      <c r="AL7" s="7"/>
      <c r="AM7" s="7"/>
      <c r="AN7" s="7">
        <v>60000</v>
      </c>
      <c r="AO7" s="7"/>
      <c r="AP7" s="7"/>
      <c r="AQ7" s="7">
        <v>30000</v>
      </c>
      <c r="AR7" s="7"/>
      <c r="AS7" s="7"/>
      <c r="AT7" s="7"/>
      <c r="AU7" s="7"/>
      <c r="AV7" s="7"/>
      <c r="AW7" s="168"/>
      <c r="AX7" s="169">
        <f t="shared" si="6"/>
        <v>370820.16</v>
      </c>
      <c r="AY7" s="170">
        <f t="shared" si="0"/>
        <v>90000</v>
      </c>
      <c r="AZ7" s="171">
        <f t="shared" si="1"/>
        <v>280820.16</v>
      </c>
      <c r="BA7" s="172">
        <f t="shared" si="7"/>
        <v>249634.24</v>
      </c>
      <c r="BB7" s="172">
        <f t="shared" si="8"/>
        <v>214926.91</v>
      </c>
      <c r="BC7" s="173" t="str">
        <f t="shared" si="2"/>
        <v/>
      </c>
      <c r="BD7" s="108">
        <f t="shared" si="3"/>
        <v>46999.8100000001</v>
      </c>
      <c r="BE7" s="108">
        <f t="shared" si="4"/>
        <v>46999.8100000001</v>
      </c>
      <c r="BF7" s="108">
        <f>IF($AZ7-SUM(Z7:$AG7)&gt;0,$AZ7-SUM(Z7:$AG7),"")</f>
        <v>157547.45</v>
      </c>
      <c r="BG7" s="108">
        <f>IF($AZ7-SUM(AA7:$AG7)&gt;0,$AZ7-SUM(AA7:$AG7),"")</f>
        <v>280820.16</v>
      </c>
      <c r="BH7" s="108">
        <f>IF($AZ7-SUM(AB7:$AG7)&gt;0,$AZ7-SUM(AB7:$AG7),"")</f>
        <v>280820.16</v>
      </c>
      <c r="BI7" s="108">
        <f>IF($AZ7-SUM(AC7:$AG7)&gt;0,$AZ7-SUM(AC7:$AG7),"")</f>
        <v>280820.16</v>
      </c>
      <c r="BJ7" s="108">
        <f>IF($AZ7-SUM(AD7:$AG7)&gt;0,$AZ7-SUM(AD7:$AG7),"")</f>
        <v>280820.16</v>
      </c>
      <c r="BK7" s="108">
        <f>IF($AZ7-SUM(AE7:$AG7)&gt;0,$AZ7-SUM(AE7:$AG7),"")</f>
        <v>280820.16</v>
      </c>
      <c r="BL7" s="108">
        <f>IF($AZ7-SUM(AF7:$AG7)&gt;0,$AZ7-SUM(AF7:$AG7),"")</f>
        <v>280820.16</v>
      </c>
      <c r="BM7" s="177" t="s">
        <v>85</v>
      </c>
      <c r="BN7" s="178"/>
      <c r="BO7" s="179"/>
      <c r="BP7" s="180">
        <f>IFERROR(VLOOKUP(D7,Sheet3!D:O,12,FALSE),"0")</f>
        <v>310820.26</v>
      </c>
      <c r="BQ7" s="180">
        <f t="shared" si="9"/>
        <v>-30000.0999999999</v>
      </c>
      <c r="BS7" s="20">
        <f>VLOOKUP(D7,'2022年'!BI:BL,2,FALSE)</f>
        <v>175276.56</v>
      </c>
      <c r="BT7" s="20">
        <f t="shared" si="10"/>
        <v>175276.56</v>
      </c>
      <c r="BU7" s="20">
        <f t="shared" si="11"/>
        <v>0</v>
      </c>
    </row>
    <row r="8" s="20" customFormat="1" ht="24" customHeight="1" spans="2:73">
      <c r="B8" s="42" t="s">
        <v>81</v>
      </c>
      <c r="C8" s="122" t="s">
        <v>107</v>
      </c>
      <c r="D8" s="43" t="s">
        <v>108</v>
      </c>
      <c r="E8" s="123">
        <v>935085.37</v>
      </c>
      <c r="F8" s="124">
        <v>274834.08</v>
      </c>
      <c r="G8" s="124">
        <v>164900.45</v>
      </c>
      <c r="H8" s="124">
        <v>164900.45</v>
      </c>
      <c r="I8" s="124">
        <v>219867.26</v>
      </c>
      <c r="J8" s="124">
        <v>54954.09</v>
      </c>
      <c r="K8" s="124">
        <v>159403.77</v>
      </c>
      <c r="L8" s="124">
        <v>219867.26</v>
      </c>
      <c r="M8" s="124">
        <v>164900.45</v>
      </c>
      <c r="N8" s="124">
        <v>164900.45</v>
      </c>
      <c r="O8" s="135">
        <v>164900.45</v>
      </c>
      <c r="P8" s="136">
        <v>219867.26</v>
      </c>
      <c r="Q8" s="136">
        <v>219867.26</v>
      </c>
      <c r="R8" s="135"/>
      <c r="S8" s="136"/>
      <c r="T8" s="136"/>
      <c r="U8" s="145">
        <f t="shared" si="5"/>
        <v>935085.37</v>
      </c>
      <c r="V8" s="9"/>
      <c r="W8" s="124"/>
      <c r="X8" s="124">
        <v>54966.82</v>
      </c>
      <c r="Y8" s="124">
        <v>219867.26</v>
      </c>
      <c r="Z8" s="124">
        <v>219867.26</v>
      </c>
      <c r="AA8" s="124"/>
      <c r="AB8" s="124"/>
      <c r="AC8" s="124"/>
      <c r="AD8" s="124"/>
      <c r="AE8" s="124"/>
      <c r="AF8" s="124"/>
      <c r="AG8" s="124"/>
      <c r="AH8" s="156"/>
      <c r="AI8" s="79"/>
      <c r="AJ8" s="79"/>
      <c r="AK8" s="79" t="s">
        <v>84</v>
      </c>
      <c r="AL8" s="7">
        <f>150000+225000</f>
        <v>375000</v>
      </c>
      <c r="AM8" s="7">
        <v>340000</v>
      </c>
      <c r="AN8" s="7">
        <v>220000</v>
      </c>
      <c r="AO8" s="7"/>
      <c r="AP8" s="7"/>
      <c r="AQ8" s="7"/>
      <c r="AR8" s="7"/>
      <c r="AS8" s="7"/>
      <c r="AT8" s="7"/>
      <c r="AU8" s="7"/>
      <c r="AV8" s="7"/>
      <c r="AW8" s="168"/>
      <c r="AX8" s="169">
        <f t="shared" si="6"/>
        <v>1429786.71</v>
      </c>
      <c r="AY8" s="170">
        <f t="shared" si="0"/>
        <v>935000</v>
      </c>
      <c r="AZ8" s="171">
        <f t="shared" si="1"/>
        <v>494786.71</v>
      </c>
      <c r="BA8" s="172">
        <f t="shared" si="7"/>
        <v>274919.45</v>
      </c>
      <c r="BB8" s="172">
        <f t="shared" si="8"/>
        <v>494786.71</v>
      </c>
      <c r="BC8" s="173">
        <f t="shared" si="2"/>
        <v>85.3699999999371</v>
      </c>
      <c r="BD8" s="108">
        <f t="shared" si="3"/>
        <v>85.3699999999371</v>
      </c>
      <c r="BE8" s="108">
        <f t="shared" si="4"/>
        <v>55052.1899999999</v>
      </c>
      <c r="BF8" s="108">
        <f>IF($AZ8-SUM(Z8:$AG8)&gt;0,$AZ8-SUM(Z8:$AG8),"")</f>
        <v>274919.45</v>
      </c>
      <c r="BG8" s="108">
        <f>IF($AZ8-SUM(AA8:$AG8)&gt;0,$AZ8-SUM(AA8:$AG8),"")</f>
        <v>494786.71</v>
      </c>
      <c r="BH8" s="108">
        <f>IF($AZ8-SUM(AB8:$AG8)&gt;0,$AZ8-SUM(AB8:$AG8),"")</f>
        <v>494786.71</v>
      </c>
      <c r="BI8" s="108">
        <f>IF($AZ8-SUM(AC8:$AG8)&gt;0,$AZ8-SUM(AC8:$AG8),"")</f>
        <v>494786.71</v>
      </c>
      <c r="BJ8" s="108">
        <f>IF($AZ8-SUM(AD8:$AG8)&gt;0,$AZ8-SUM(AD8:$AG8),"")</f>
        <v>494786.71</v>
      </c>
      <c r="BK8" s="108">
        <f>IF($AZ8-SUM(AE8:$AG8)&gt;0,$AZ8-SUM(AE8:$AG8),"")</f>
        <v>494786.71</v>
      </c>
      <c r="BL8" s="108">
        <f>IF($AZ8-SUM(AF8:$AG8)&gt;0,$AZ8-SUM(AF8:$AG8),"")</f>
        <v>494786.71</v>
      </c>
      <c r="BM8" s="177" t="s">
        <v>85</v>
      </c>
      <c r="BN8" s="178"/>
      <c r="BO8" s="179"/>
      <c r="BP8" s="180">
        <f>IFERROR(VLOOKUP(D8,Sheet3!D:O,12,FALSE),"0")</f>
        <v>494786.71</v>
      </c>
      <c r="BQ8" s="180">
        <f t="shared" si="9"/>
        <v>0</v>
      </c>
      <c r="BS8" s="20">
        <f>VLOOKUP(D8,'2022年'!BI:BL,2,FALSE)</f>
        <v>1588528.26</v>
      </c>
      <c r="BT8" s="20">
        <f t="shared" si="10"/>
        <v>1588528.26</v>
      </c>
      <c r="BU8" s="20">
        <f t="shared" si="11"/>
        <v>0</v>
      </c>
    </row>
    <row r="9" s="20" customFormat="1" ht="24" customHeight="1" spans="2:73">
      <c r="B9" s="42" t="s">
        <v>81</v>
      </c>
      <c r="C9" s="122" t="s">
        <v>109</v>
      </c>
      <c r="D9" s="43" t="s">
        <v>204</v>
      </c>
      <c r="E9" s="123">
        <v>62.7000000000698</v>
      </c>
      <c r="F9" s="124">
        <v>0</v>
      </c>
      <c r="G9" s="124">
        <v>0</v>
      </c>
      <c r="H9" s="124">
        <v>0</v>
      </c>
      <c r="I9" s="124">
        <v>0</v>
      </c>
      <c r="J9" s="124">
        <v>0</v>
      </c>
      <c r="K9" s="124">
        <v>0</v>
      </c>
      <c r="L9" s="124">
        <v>0</v>
      </c>
      <c r="M9" s="124">
        <v>0</v>
      </c>
      <c r="N9" s="124">
        <f>IFERROR(VLOOKUP($D9,'2022年'!$D:AF,COLUMN(R3),FALSE),"")</f>
        <v>0</v>
      </c>
      <c r="O9" s="135"/>
      <c r="P9" s="136"/>
      <c r="Q9" s="136"/>
      <c r="R9" s="135"/>
      <c r="S9" s="136"/>
      <c r="T9" s="136"/>
      <c r="U9" s="145">
        <f t="shared" si="5"/>
        <v>62.7000000000698</v>
      </c>
      <c r="V9" s="9"/>
      <c r="W9" s="124"/>
      <c r="X9" s="124"/>
      <c r="Y9" s="124">
        <f>682.52+136.5</f>
        <v>819.02</v>
      </c>
      <c r="Z9" s="124"/>
      <c r="AA9" s="124"/>
      <c r="AB9" s="124"/>
      <c r="AC9" s="124"/>
      <c r="AD9" s="124"/>
      <c r="AE9" s="124"/>
      <c r="AF9" s="124"/>
      <c r="AG9" s="124"/>
      <c r="AH9" s="156"/>
      <c r="AI9" s="79"/>
      <c r="AJ9" s="79"/>
      <c r="AK9" s="79" t="s">
        <v>84</v>
      </c>
      <c r="AL9" s="7"/>
      <c r="AM9" s="7"/>
      <c r="AN9" s="7"/>
      <c r="AO9" s="7"/>
      <c r="AP9" s="7">
        <v>819.02</v>
      </c>
      <c r="AQ9" s="7"/>
      <c r="AR9" s="7"/>
      <c r="AS9" s="7"/>
      <c r="AT9" s="7"/>
      <c r="AU9" s="7"/>
      <c r="AV9" s="7"/>
      <c r="AW9" s="168"/>
      <c r="AX9" s="169">
        <f t="shared" si="6"/>
        <v>881.72000000007</v>
      </c>
      <c r="AY9" s="170">
        <f t="shared" si="0"/>
        <v>819.02</v>
      </c>
      <c r="AZ9" s="171">
        <f t="shared" si="1"/>
        <v>62.7000000000698</v>
      </c>
      <c r="BA9" s="172">
        <f t="shared" si="7"/>
        <v>62.7000000000698</v>
      </c>
      <c r="BB9" s="172">
        <f t="shared" si="8"/>
        <v>62.7000000000698</v>
      </c>
      <c r="BC9" s="173" t="str">
        <f t="shared" si="2"/>
        <v/>
      </c>
      <c r="BD9" s="108" t="str">
        <f t="shared" si="3"/>
        <v/>
      </c>
      <c r="BE9" s="108" t="str">
        <f t="shared" si="4"/>
        <v/>
      </c>
      <c r="BF9" s="108">
        <f>IF($AZ9-SUM(Z9:$AG9)&gt;0,$AZ9-SUM(Z9:$AG9),"")</f>
        <v>62.7000000000698</v>
      </c>
      <c r="BG9" s="108">
        <f>IF($AZ9-SUM(AA9:$AG9)&gt;0,$AZ9-SUM(AA9:$AG9),"")</f>
        <v>62.7000000000698</v>
      </c>
      <c r="BH9" s="108">
        <f>IF($AZ9-SUM(AB9:$AG9)&gt;0,$AZ9-SUM(AB9:$AG9),"")</f>
        <v>62.7000000000698</v>
      </c>
      <c r="BI9" s="108">
        <f>IF($AZ9-SUM(AC9:$AG9)&gt;0,$AZ9-SUM(AC9:$AG9),"")</f>
        <v>62.7000000000698</v>
      </c>
      <c r="BJ9" s="108">
        <f>IF($AZ9-SUM(AD9:$AG9)&gt;0,$AZ9-SUM(AD9:$AG9),"")</f>
        <v>62.7000000000698</v>
      </c>
      <c r="BK9" s="108">
        <f>IF($AZ9-SUM(AE9:$AG9)&gt;0,$AZ9-SUM(AE9:$AG9),"")</f>
        <v>62.7000000000698</v>
      </c>
      <c r="BL9" s="108">
        <f>IF($AZ9-SUM(AF9:$AG9)&gt;0,$AZ9-SUM(AF9:$AG9),"")</f>
        <v>62.7000000000698</v>
      </c>
      <c r="BM9" s="177" t="s">
        <v>111</v>
      </c>
      <c r="BN9" s="178"/>
      <c r="BO9" s="179"/>
      <c r="BP9" s="180">
        <f>IFERROR(VLOOKUP(D9,Sheet3!D:O,12,FALSE),"0")</f>
        <v>62.7</v>
      </c>
      <c r="BQ9" s="180">
        <f t="shared" si="9"/>
        <v>6.98463509252178e-11</v>
      </c>
      <c r="BS9" s="20">
        <f>VLOOKUP(D9,'2022年'!BI:BL,2,FALSE)</f>
        <v>0</v>
      </c>
      <c r="BT9" s="20">
        <f t="shared" si="10"/>
        <v>0</v>
      </c>
      <c r="BU9" s="20">
        <f t="shared" si="11"/>
        <v>0</v>
      </c>
    </row>
    <row r="10" s="20" customFormat="1" ht="24" customHeight="1" spans="2:73">
      <c r="B10" s="42" t="s">
        <v>81</v>
      </c>
      <c r="C10" s="122" t="s">
        <v>112</v>
      </c>
      <c r="D10" s="43" t="s">
        <v>113</v>
      </c>
      <c r="E10" s="123">
        <v>42809.4299999999</v>
      </c>
      <c r="F10" s="124">
        <v>42537.15</v>
      </c>
      <c r="G10" s="124">
        <v>42849.6</v>
      </c>
      <c r="H10" s="124">
        <v>41943.51</v>
      </c>
      <c r="I10" s="124">
        <v>45070.5</v>
      </c>
      <c r="J10" s="124">
        <v>21281.97</v>
      </c>
      <c r="K10" s="124">
        <v>32137.2</v>
      </c>
      <c r="L10" s="124">
        <v>31271.28</v>
      </c>
      <c r="M10" s="124">
        <v>42809.43</v>
      </c>
      <c r="N10" s="124" t="str">
        <f>IFERROR(VLOOKUP($D10,'2022年'!$D:AF,COLUMN(#REF!),FALSE),"")</f>
        <v/>
      </c>
      <c r="O10" s="135"/>
      <c r="P10" s="136"/>
      <c r="Q10" s="136"/>
      <c r="R10" s="135"/>
      <c r="S10" s="136"/>
      <c r="T10" s="136"/>
      <c r="U10" s="145">
        <f t="shared" si="5"/>
        <v>42809.4299999999</v>
      </c>
      <c r="V10" s="9"/>
      <c r="W10" s="124">
        <f>84175.45+78294.25</f>
        <v>162469.7</v>
      </c>
      <c r="X10" s="124"/>
      <c r="Y10" s="124"/>
      <c r="Z10" s="124"/>
      <c r="AA10" s="124"/>
      <c r="AB10" s="124"/>
      <c r="AC10" s="124"/>
      <c r="AD10" s="124"/>
      <c r="AE10" s="124"/>
      <c r="AF10" s="124"/>
      <c r="AG10" s="124"/>
      <c r="AH10" s="156"/>
      <c r="AI10" s="79"/>
      <c r="AJ10" s="79"/>
      <c r="AK10" s="79" t="s">
        <v>84</v>
      </c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168"/>
      <c r="AX10" s="169">
        <f t="shared" si="6"/>
        <v>205279.13</v>
      </c>
      <c r="AY10" s="170">
        <f t="shared" si="0"/>
        <v>0</v>
      </c>
      <c r="AZ10" s="171">
        <f t="shared" si="1"/>
        <v>205279.13</v>
      </c>
      <c r="BA10" s="172">
        <f t="shared" si="7"/>
        <v>205279.13</v>
      </c>
      <c r="BB10" s="172">
        <f t="shared" si="8"/>
        <v>42809.4299999999</v>
      </c>
      <c r="BC10" s="173">
        <f t="shared" si="2"/>
        <v>42809.4299999999</v>
      </c>
      <c r="BD10" s="108">
        <f t="shared" si="3"/>
        <v>205279.13</v>
      </c>
      <c r="BE10" s="108">
        <f t="shared" si="4"/>
        <v>205279.13</v>
      </c>
      <c r="BF10" s="108">
        <f>IF($AZ10-SUM(Z10:$AG10)&gt;0,$AZ10-SUM(Z10:$AG10),"")</f>
        <v>205279.13</v>
      </c>
      <c r="BG10" s="108">
        <f>IF($AZ10-SUM(AA10:$AG10)&gt;0,$AZ10-SUM(AA10:$AG10),"")</f>
        <v>205279.13</v>
      </c>
      <c r="BH10" s="108">
        <f>IF($AZ10-SUM(AB10:$AG10)&gt;0,$AZ10-SUM(AB10:$AG10),"")</f>
        <v>205279.13</v>
      </c>
      <c r="BI10" s="108">
        <f>IF($AZ10-SUM(AC10:$AG10)&gt;0,$AZ10-SUM(AC10:$AG10),"")</f>
        <v>205279.13</v>
      </c>
      <c r="BJ10" s="108">
        <f>IF($AZ10-SUM(AD10:$AG10)&gt;0,$AZ10-SUM(AD10:$AG10),"")</f>
        <v>205279.13</v>
      </c>
      <c r="BK10" s="108">
        <f>IF($AZ10-SUM(AE10:$AG10)&gt;0,$AZ10-SUM(AE10:$AG10),"")</f>
        <v>205279.13</v>
      </c>
      <c r="BL10" s="108">
        <f>IF($AZ10-SUM(AF10:$AG10)&gt;0,$AZ10-SUM(AF10:$AG10),"")</f>
        <v>205279.13</v>
      </c>
      <c r="BM10" s="177" t="s">
        <v>85</v>
      </c>
      <c r="BN10" s="178"/>
      <c r="BO10" s="179"/>
      <c r="BP10" s="180">
        <f>IFERROR(VLOOKUP(D10,Sheet3!D:O,12,FALSE),"0")</f>
        <v>205279.13</v>
      </c>
      <c r="BQ10" s="180">
        <f t="shared" si="9"/>
        <v>0</v>
      </c>
      <c r="BS10" s="20">
        <f>VLOOKUP(D10,'2022年'!BI:BL,2,FALSE)</f>
        <v>299900.64</v>
      </c>
      <c r="BT10" s="20">
        <f t="shared" si="10"/>
        <v>299900.64</v>
      </c>
      <c r="BU10" s="20">
        <f t="shared" si="11"/>
        <v>0</v>
      </c>
    </row>
    <row r="11" s="20" customFormat="1" ht="24" customHeight="1" spans="2:73">
      <c r="B11" s="48" t="s">
        <v>81</v>
      </c>
      <c r="C11" s="122" t="s">
        <v>122</v>
      </c>
      <c r="D11" s="43" t="s">
        <v>123</v>
      </c>
      <c r="E11" s="123">
        <v>840975</v>
      </c>
      <c r="F11" s="124">
        <v>191422.73</v>
      </c>
      <c r="G11" s="124">
        <v>271787.09</v>
      </c>
      <c r="H11" s="124">
        <v>224386.21</v>
      </c>
      <c r="I11" s="124">
        <v>270173.53</v>
      </c>
      <c r="J11" s="124">
        <v>0</v>
      </c>
      <c r="K11" s="124">
        <v>355399.9</v>
      </c>
      <c r="L11" s="124">
        <v>198768.76</v>
      </c>
      <c r="M11" s="124">
        <v>331451.1</v>
      </c>
      <c r="N11" s="124">
        <f>IFERROR(VLOOKUP($D11,'2022年'!$D:AF,COLUMN(R5),FALSE),"")</f>
        <v>147250.47</v>
      </c>
      <c r="O11" s="135">
        <v>221799.23</v>
      </c>
      <c r="P11" s="136">
        <v>158895.27</v>
      </c>
      <c r="Q11" s="136">
        <v>176578.93</v>
      </c>
      <c r="R11" s="135"/>
      <c r="S11" s="136"/>
      <c r="T11" s="136"/>
      <c r="U11" s="145">
        <f t="shared" si="5"/>
        <v>840975</v>
      </c>
      <c r="V11" s="9"/>
      <c r="W11" s="124"/>
      <c r="X11" s="124"/>
      <c r="Y11" s="124">
        <f>36520.88+110446.2</f>
        <v>146967.08</v>
      </c>
      <c r="Z11" s="124">
        <f>98244.64+110446.2</f>
        <v>208690.84</v>
      </c>
      <c r="AA11" s="124"/>
      <c r="AB11" s="124"/>
      <c r="AC11" s="124"/>
      <c r="AD11" s="124"/>
      <c r="AE11" s="124"/>
      <c r="AF11" s="124"/>
      <c r="AG11" s="124"/>
      <c r="AH11" s="156"/>
      <c r="AI11" s="79"/>
      <c r="AJ11" s="79"/>
      <c r="AK11" s="79" t="s">
        <v>84</v>
      </c>
      <c r="AL11" s="7"/>
      <c r="AM11" s="7">
        <v>150000</v>
      </c>
      <c r="AN11" s="7">
        <v>200000</v>
      </c>
      <c r="AO11" s="7">
        <v>120000</v>
      </c>
      <c r="AP11" s="7">
        <v>370975</v>
      </c>
      <c r="AQ11" s="7"/>
      <c r="AR11" s="7"/>
      <c r="AS11" s="7"/>
      <c r="AT11" s="7"/>
      <c r="AU11" s="7"/>
      <c r="AV11" s="7"/>
      <c r="AW11" s="168"/>
      <c r="AX11" s="169">
        <f t="shared" si="6"/>
        <v>1196632.92</v>
      </c>
      <c r="AY11" s="170">
        <f t="shared" si="0"/>
        <v>840975</v>
      </c>
      <c r="AZ11" s="171">
        <f t="shared" si="1"/>
        <v>355657.92</v>
      </c>
      <c r="BA11" s="172">
        <f t="shared" si="7"/>
        <v>179078.99</v>
      </c>
      <c r="BB11" s="172">
        <f t="shared" si="8"/>
        <v>355657.92</v>
      </c>
      <c r="BC11" s="173" t="str">
        <f t="shared" si="2"/>
        <v/>
      </c>
      <c r="BD11" s="108" t="str">
        <f t="shared" si="3"/>
        <v/>
      </c>
      <c r="BE11" s="108" t="str">
        <f t="shared" si="4"/>
        <v/>
      </c>
      <c r="BF11" s="108">
        <f>IF($AZ11-SUM(Z11:$AG11)&gt;0,$AZ11-SUM(Z11:$AG11),"")</f>
        <v>146967.08</v>
      </c>
      <c r="BG11" s="108">
        <f>IF($AZ11-SUM(AA11:$AG11)&gt;0,$AZ11-SUM(AA11:$AG11),"")</f>
        <v>355657.92</v>
      </c>
      <c r="BH11" s="108">
        <f>IF($AZ11-SUM(AB11:$AG11)&gt;0,$AZ11-SUM(AB11:$AG11),"")</f>
        <v>355657.92</v>
      </c>
      <c r="BI11" s="108">
        <f>IF($AZ11-SUM(AC11:$AG11)&gt;0,$AZ11-SUM(AC11:$AG11),"")</f>
        <v>355657.92</v>
      </c>
      <c r="BJ11" s="108">
        <f>IF($AZ11-SUM(AD11:$AG11)&gt;0,$AZ11-SUM(AD11:$AG11),"")</f>
        <v>355657.92</v>
      </c>
      <c r="BK11" s="108">
        <f>IF($AZ11-SUM(AE11:$AG11)&gt;0,$AZ11-SUM(AE11:$AG11),"")</f>
        <v>355657.92</v>
      </c>
      <c r="BL11" s="108">
        <f>IF($AZ11-SUM(AF11:$AG11)&gt;0,$AZ11-SUM(AF11:$AG11),"")</f>
        <v>355657.92</v>
      </c>
      <c r="BM11" s="177" t="s">
        <v>85</v>
      </c>
      <c r="BN11" s="178"/>
      <c r="BO11" s="179"/>
      <c r="BP11" s="180">
        <f>IFERROR(VLOOKUP(D11,Sheet3!D:O,12,FALSE),"0")</f>
        <v>355657.92</v>
      </c>
      <c r="BQ11" s="180">
        <f t="shared" si="9"/>
        <v>0</v>
      </c>
      <c r="BS11" s="20">
        <f>VLOOKUP(D11,'2022年'!BI:BL,2,FALSE)</f>
        <v>1990639.79</v>
      </c>
      <c r="BT11" s="20">
        <f t="shared" si="10"/>
        <v>1990639.79</v>
      </c>
      <c r="BU11" s="20">
        <f t="shared" si="11"/>
        <v>0</v>
      </c>
    </row>
    <row r="12" s="20" customFormat="1" ht="24" customHeight="1" spans="2:73">
      <c r="B12" s="48" t="s">
        <v>81</v>
      </c>
      <c r="C12" s="122" t="s">
        <v>124</v>
      </c>
      <c r="D12" s="43" t="s">
        <v>125</v>
      </c>
      <c r="E12" s="123">
        <v>43378.44</v>
      </c>
      <c r="F12" s="124">
        <v>33981.36</v>
      </c>
      <c r="G12" s="124">
        <v>5410.44</v>
      </c>
      <c r="H12" s="124">
        <v>3986.64</v>
      </c>
      <c r="I12" s="124" t="s">
        <v>286</v>
      </c>
      <c r="J12" s="124" t="s">
        <v>286</v>
      </c>
      <c r="K12" s="124" t="s">
        <v>286</v>
      </c>
      <c r="L12" s="124" t="s">
        <v>286</v>
      </c>
      <c r="M12" s="124" t="s">
        <v>286</v>
      </c>
      <c r="N12" s="124" t="str">
        <f>IFERROR(VLOOKUP($D12,'2022年'!$D:AF,COLUMN(#REF!),FALSE),"")</f>
        <v/>
      </c>
      <c r="O12" s="135"/>
      <c r="P12" s="136"/>
      <c r="Q12" s="136"/>
      <c r="R12" s="135"/>
      <c r="S12" s="136"/>
      <c r="T12" s="136"/>
      <c r="U12" s="145">
        <f t="shared" si="5"/>
        <v>43378.44</v>
      </c>
      <c r="V12" s="9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56"/>
      <c r="AI12" s="79"/>
      <c r="AJ12" s="79"/>
      <c r="AK12" s="79" t="s">
        <v>84</v>
      </c>
      <c r="AL12" s="7"/>
      <c r="AM12" s="157"/>
      <c r="AN12" s="7"/>
      <c r="AO12" s="7"/>
      <c r="AP12" s="7"/>
      <c r="AQ12" s="7"/>
      <c r="AR12" s="7"/>
      <c r="AS12" s="7"/>
      <c r="AT12" s="7"/>
      <c r="AU12" s="7"/>
      <c r="AV12" s="7"/>
      <c r="AW12" s="168"/>
      <c r="AX12" s="169">
        <f t="shared" si="6"/>
        <v>43378.44</v>
      </c>
      <c r="AY12" s="170">
        <f t="shared" si="0"/>
        <v>0</v>
      </c>
      <c r="AZ12" s="171">
        <f t="shared" si="1"/>
        <v>43378.44</v>
      </c>
      <c r="BA12" s="172">
        <f t="shared" si="7"/>
        <v>43378.44</v>
      </c>
      <c r="BB12" s="172">
        <f t="shared" si="8"/>
        <v>43378.44</v>
      </c>
      <c r="BC12" s="173">
        <f t="shared" si="2"/>
        <v>43378.44</v>
      </c>
      <c r="BD12" s="108">
        <f t="shared" si="3"/>
        <v>43378.44</v>
      </c>
      <c r="BE12" s="108">
        <f t="shared" si="4"/>
        <v>43378.44</v>
      </c>
      <c r="BF12" s="108">
        <f>IF($AZ12-SUM(Z12:$AG12)&gt;0,$AZ12-SUM(Z12:$AG12),"")</f>
        <v>43378.44</v>
      </c>
      <c r="BG12" s="108">
        <f>IF($AZ12-SUM(AA12:$AG12)&gt;0,$AZ12-SUM(AA12:$AG12),"")</f>
        <v>43378.44</v>
      </c>
      <c r="BH12" s="108">
        <f>IF($AZ12-SUM(AB12:$AG12)&gt;0,$AZ12-SUM(AB12:$AG12),"")</f>
        <v>43378.44</v>
      </c>
      <c r="BI12" s="108">
        <f>IF($AZ12-SUM(AC12:$AG12)&gt;0,$AZ12-SUM(AC12:$AG12),"")</f>
        <v>43378.44</v>
      </c>
      <c r="BJ12" s="108">
        <f>IF($AZ12-SUM(AD12:$AG12)&gt;0,$AZ12-SUM(AD12:$AG12),"")</f>
        <v>43378.44</v>
      </c>
      <c r="BK12" s="108">
        <f>IF($AZ12-SUM(AE12:$AG12)&gt;0,$AZ12-SUM(AE12:$AG12),"")</f>
        <v>43378.44</v>
      </c>
      <c r="BL12" s="108">
        <f>IF($AZ12-SUM(AF12:$AG12)&gt;0,$AZ12-SUM(AF12:$AG12),"")</f>
        <v>43378.44</v>
      </c>
      <c r="BM12" s="177" t="s">
        <v>85</v>
      </c>
      <c r="BN12" s="178" t="s">
        <v>266</v>
      </c>
      <c r="BO12" s="179"/>
      <c r="BP12" s="180">
        <f>IFERROR(VLOOKUP(D12,Sheet3!D:O,12,FALSE),"0")</f>
        <v>43378.44</v>
      </c>
      <c r="BQ12" s="180">
        <f t="shared" si="9"/>
        <v>0</v>
      </c>
      <c r="BS12" s="20">
        <f>VLOOKUP(D12,'2022年'!BI:BL,2,FALSE)</f>
        <v>43378.44</v>
      </c>
      <c r="BT12" s="20">
        <f t="shared" si="10"/>
        <v>43378.44</v>
      </c>
      <c r="BU12" s="20">
        <f t="shared" si="11"/>
        <v>0</v>
      </c>
    </row>
    <row r="13" s="20" customFormat="1" ht="24" customHeight="1" spans="2:73">
      <c r="B13" s="48" t="s">
        <v>81</v>
      </c>
      <c r="C13" s="122" t="s">
        <v>128</v>
      </c>
      <c r="D13" s="43" t="s">
        <v>129</v>
      </c>
      <c r="E13" s="123">
        <v>93338.0200000001</v>
      </c>
      <c r="F13" s="124">
        <v>27162.94</v>
      </c>
      <c r="G13" s="124">
        <v>16479.92</v>
      </c>
      <c r="H13" s="124">
        <v>30769.9</v>
      </c>
      <c r="I13" s="124">
        <v>14805.26</v>
      </c>
      <c r="J13" s="124">
        <v>38135.24</v>
      </c>
      <c r="K13" s="124">
        <v>16110.41</v>
      </c>
      <c r="L13" s="124">
        <v>0</v>
      </c>
      <c r="M13" s="124">
        <v>20990.11</v>
      </c>
      <c r="N13" s="124">
        <f>IFERROR(VLOOKUP($D13,'2022年'!$D:AF,COLUMN(R7),FALSE),"")</f>
        <v>24360.11</v>
      </c>
      <c r="O13" s="135">
        <v>21710.01</v>
      </c>
      <c r="P13" s="136">
        <v>23909.67</v>
      </c>
      <c r="Q13" s="136">
        <v>23358.23</v>
      </c>
      <c r="R13" s="135"/>
      <c r="S13" s="136"/>
      <c r="T13" s="146"/>
      <c r="U13" s="145">
        <f t="shared" si="5"/>
        <v>93338.0200000001</v>
      </c>
      <c r="V13" s="9"/>
      <c r="W13" s="124"/>
      <c r="X13" s="124"/>
      <c r="Y13" s="124">
        <v>49145.74</v>
      </c>
      <c r="Z13" s="124"/>
      <c r="AA13" s="124"/>
      <c r="AB13" s="124"/>
      <c r="AC13" s="124"/>
      <c r="AD13" s="124"/>
      <c r="AE13" s="124"/>
      <c r="AF13" s="124"/>
      <c r="AG13" s="124"/>
      <c r="AH13" s="156"/>
      <c r="AI13" s="79"/>
      <c r="AJ13" s="79"/>
      <c r="AK13" s="79" t="s">
        <v>84</v>
      </c>
      <c r="AL13" s="7"/>
      <c r="AM13" s="7"/>
      <c r="AN13" s="7"/>
      <c r="AO13" s="7"/>
      <c r="AP13" s="7">
        <v>30000</v>
      </c>
      <c r="AQ13" s="7"/>
      <c r="AR13" s="7"/>
      <c r="AS13" s="7"/>
      <c r="AT13" s="7"/>
      <c r="AU13" s="7"/>
      <c r="AV13" s="7"/>
      <c r="AW13" s="168"/>
      <c r="AX13" s="169">
        <f t="shared" si="6"/>
        <v>142483.76</v>
      </c>
      <c r="AY13" s="170">
        <f t="shared" si="0"/>
        <v>30000</v>
      </c>
      <c r="AZ13" s="171">
        <f t="shared" si="1"/>
        <v>112483.76</v>
      </c>
      <c r="BA13" s="172">
        <f t="shared" si="7"/>
        <v>89125.5300000001</v>
      </c>
      <c r="BB13" s="172">
        <f t="shared" si="8"/>
        <v>112483.76</v>
      </c>
      <c r="BC13" s="173">
        <f t="shared" si="2"/>
        <v>63338.0200000001</v>
      </c>
      <c r="BD13" s="108">
        <f t="shared" si="3"/>
        <v>63338.0200000001</v>
      </c>
      <c r="BE13" s="108">
        <f t="shared" si="4"/>
        <v>63338.0200000001</v>
      </c>
      <c r="BF13" s="108">
        <f>IF($AZ13-SUM(Z13:$AG13)&gt;0,$AZ13-SUM(Z13:$AG13),"")</f>
        <v>112483.76</v>
      </c>
      <c r="BG13" s="108">
        <f>IF($AZ13-SUM(AA13:$AG13)&gt;0,$AZ13-SUM(AA13:$AG13),"")</f>
        <v>112483.76</v>
      </c>
      <c r="BH13" s="108">
        <f>IF($AZ13-SUM(AB13:$AG13)&gt;0,$AZ13-SUM(AB13:$AG13),"")</f>
        <v>112483.76</v>
      </c>
      <c r="BI13" s="108">
        <f>IF($AZ13-SUM(AC13:$AG13)&gt;0,$AZ13-SUM(AC13:$AG13),"")</f>
        <v>112483.76</v>
      </c>
      <c r="BJ13" s="108">
        <f>IF($AZ13-SUM(AD13:$AG13)&gt;0,$AZ13-SUM(AD13:$AG13),"")</f>
        <v>112483.76</v>
      </c>
      <c r="BK13" s="108">
        <f>IF($AZ13-SUM(AE13:$AG13)&gt;0,$AZ13-SUM(AE13:$AG13),"")</f>
        <v>112483.76</v>
      </c>
      <c r="BL13" s="108">
        <f>IF($AZ13-SUM(AF13:$AG13)&gt;0,$AZ13-SUM(AF13:$AG13),"")</f>
        <v>112483.76</v>
      </c>
      <c r="BM13" s="177" t="s">
        <v>85</v>
      </c>
      <c r="BN13" s="178"/>
      <c r="BO13" s="179"/>
      <c r="BP13" s="180">
        <f>IFERROR(VLOOKUP(D13,Sheet3!D:O,12,FALSE),"0")</f>
        <v>112483.76</v>
      </c>
      <c r="BQ13" s="180">
        <f t="shared" si="9"/>
        <v>0</v>
      </c>
      <c r="BS13" s="20">
        <f>VLOOKUP(D13,'2022年'!BI:BL,2,FALSE)</f>
        <v>188813.89</v>
      </c>
      <c r="BT13" s="20">
        <f t="shared" si="10"/>
        <v>188813.89</v>
      </c>
      <c r="BU13" s="20">
        <f t="shared" si="11"/>
        <v>0</v>
      </c>
    </row>
    <row r="14" s="20" customFormat="1" ht="24" customHeight="1" spans="2:73">
      <c r="B14" s="48" t="s">
        <v>81</v>
      </c>
      <c r="C14" s="122" t="s">
        <v>130</v>
      </c>
      <c r="D14" s="43" t="s">
        <v>131</v>
      </c>
      <c r="E14" s="123">
        <v>0</v>
      </c>
      <c r="F14" s="124" t="s">
        <v>286</v>
      </c>
      <c r="G14" s="124" t="s">
        <v>286</v>
      </c>
      <c r="H14" s="124" t="s">
        <v>286</v>
      </c>
      <c r="I14" s="124" t="s">
        <v>286</v>
      </c>
      <c r="J14" s="124" t="s">
        <v>286</v>
      </c>
      <c r="K14" s="124" t="s">
        <v>286</v>
      </c>
      <c r="L14" s="124" t="s">
        <v>286</v>
      </c>
      <c r="M14" s="124" t="s">
        <v>286</v>
      </c>
      <c r="N14" s="124" t="str">
        <f>IFERROR(VLOOKUP($D14,'2022年'!$D:AF,COLUMN(#REF!),FALSE),"")</f>
        <v/>
      </c>
      <c r="O14" s="135">
        <v>2076.8</v>
      </c>
      <c r="P14" s="136"/>
      <c r="Q14" s="136"/>
      <c r="R14" s="135"/>
      <c r="S14" s="136">
        <v>2000</v>
      </c>
      <c r="T14" s="136"/>
      <c r="U14" s="145">
        <f t="shared" si="5"/>
        <v>2000</v>
      </c>
      <c r="V14" s="9"/>
      <c r="W14" s="124"/>
      <c r="X14" s="124"/>
      <c r="Y14" s="124"/>
      <c r="Z14" s="124"/>
      <c r="AA14" s="124"/>
      <c r="AB14" s="124"/>
      <c r="AC14" s="124"/>
      <c r="AD14" s="124"/>
      <c r="AE14" s="149"/>
      <c r="AF14" s="124"/>
      <c r="AG14" s="124"/>
      <c r="AH14" s="156"/>
      <c r="AI14" s="79"/>
      <c r="AJ14" s="79"/>
      <c r="AK14" s="79" t="s">
        <v>84</v>
      </c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168"/>
      <c r="AX14" s="169">
        <f t="shared" si="6"/>
        <v>2000</v>
      </c>
      <c r="AY14" s="170">
        <f t="shared" si="0"/>
        <v>0</v>
      </c>
      <c r="AZ14" s="171">
        <f t="shared" si="1"/>
        <v>2000</v>
      </c>
      <c r="BA14" s="172">
        <f t="shared" si="7"/>
        <v>2000</v>
      </c>
      <c r="BB14" s="172">
        <f t="shared" si="8"/>
        <v>2000</v>
      </c>
      <c r="BC14" s="173">
        <f t="shared" si="2"/>
        <v>2000</v>
      </c>
      <c r="BD14" s="108">
        <f t="shared" si="3"/>
        <v>2000</v>
      </c>
      <c r="BE14" s="108">
        <f t="shared" si="4"/>
        <v>2000</v>
      </c>
      <c r="BF14" s="108">
        <f>IF($AZ14-SUM(Z14:$AG14)&gt;0,$AZ14-SUM(Z14:$AG14),"")</f>
        <v>2000</v>
      </c>
      <c r="BG14" s="108">
        <f>IF($AZ14-SUM(AA14:$AG14)&gt;0,$AZ14-SUM(AA14:$AG14),"")</f>
        <v>2000</v>
      </c>
      <c r="BH14" s="108">
        <f>IF($AZ14-SUM(AB14:$AG14)&gt;0,$AZ14-SUM(AB14:$AG14),"")</f>
        <v>2000</v>
      </c>
      <c r="BI14" s="108">
        <f>IF($AZ14-SUM(AC14:$AG14)&gt;0,$AZ14-SUM(AC14:$AG14),"")</f>
        <v>2000</v>
      </c>
      <c r="BJ14" s="108">
        <f>IF($AZ14-SUM(AD14:$AG14)&gt;0,$AZ14-SUM(AD14:$AG14),"")</f>
        <v>2000</v>
      </c>
      <c r="BK14" s="108">
        <f>IF($AZ14-SUM(AE14:$AG14)&gt;0,$AZ14-SUM(AE14:$AG14),"")</f>
        <v>2000</v>
      </c>
      <c r="BL14" s="108">
        <f>IF($AZ14-SUM(AF14:$AG14)&gt;0,$AZ14-SUM(AF14:$AG14),"")</f>
        <v>2000</v>
      </c>
      <c r="BM14" s="177" t="s">
        <v>85</v>
      </c>
      <c r="BN14" s="178"/>
      <c r="BO14" s="179"/>
      <c r="BP14" s="180">
        <f>IFERROR(VLOOKUP(D14,Sheet3!D:O,12,FALSE),"0")</f>
        <v>2000</v>
      </c>
      <c r="BQ14" s="180">
        <f t="shared" si="9"/>
        <v>0</v>
      </c>
      <c r="BS14" s="20">
        <f>VLOOKUP(D14,'2022年'!BI:BL,2,FALSE)</f>
        <v>0</v>
      </c>
      <c r="BT14" s="20">
        <f t="shared" si="10"/>
        <v>0</v>
      </c>
      <c r="BU14" s="20">
        <f t="shared" si="11"/>
        <v>0</v>
      </c>
    </row>
    <row r="15" s="20" customFormat="1" ht="24" customHeight="1" spans="2:73">
      <c r="B15" s="48" t="s">
        <v>81</v>
      </c>
      <c r="C15" s="122" t="s">
        <v>102</v>
      </c>
      <c r="D15" s="50" t="s">
        <v>103</v>
      </c>
      <c r="E15" s="123">
        <v>0.12</v>
      </c>
      <c r="F15" s="124">
        <v>103253.96</v>
      </c>
      <c r="G15" s="124">
        <v>0</v>
      </c>
      <c r="H15" s="124">
        <v>282007.54</v>
      </c>
      <c r="I15" s="124">
        <v>95208.32</v>
      </c>
      <c r="J15" s="124">
        <v>0</v>
      </c>
      <c r="K15" s="124">
        <v>64734.62</v>
      </c>
      <c r="L15" s="124">
        <v>76707.42</v>
      </c>
      <c r="M15" s="124">
        <v>22941.32</v>
      </c>
      <c r="N15" s="124">
        <f>IFERROR(VLOOKUP($D15,'2022年'!$D:AF,COLUMN(R9),FALSE),"")</f>
        <v>33766.26</v>
      </c>
      <c r="O15" s="135">
        <v>78991.44</v>
      </c>
      <c r="P15" s="136">
        <v>22471.7</v>
      </c>
      <c r="Q15" s="136"/>
      <c r="R15" s="135"/>
      <c r="S15" s="136"/>
      <c r="T15" s="136">
        <v>21555.34</v>
      </c>
      <c r="U15" s="145">
        <f t="shared" si="5"/>
        <v>21555.46</v>
      </c>
      <c r="V15" s="9">
        <v>13548.18</v>
      </c>
      <c r="W15" s="124">
        <v>53656.12</v>
      </c>
      <c r="X15" s="124">
        <v>89792.9</v>
      </c>
      <c r="Y15" s="124">
        <v>88067.12</v>
      </c>
      <c r="Z15" s="124">
        <v>79072.14</v>
      </c>
      <c r="AA15" s="124"/>
      <c r="AB15" s="124"/>
      <c r="AC15" s="124"/>
      <c r="AD15" s="124"/>
      <c r="AE15" s="124"/>
      <c r="AF15" s="124"/>
      <c r="AG15" s="124"/>
      <c r="AH15" s="156"/>
      <c r="AI15" s="79"/>
      <c r="AJ15" s="79"/>
      <c r="AK15" s="79" t="s">
        <v>84</v>
      </c>
      <c r="AL15" s="7">
        <v>21555.34</v>
      </c>
      <c r="AM15" s="7">
        <v>13548.18</v>
      </c>
      <c r="AN15" s="7">
        <v>53656.11</v>
      </c>
      <c r="AO15" s="7">
        <v>89792.92</v>
      </c>
      <c r="AP15" s="7">
        <v>88067.1400000001</v>
      </c>
      <c r="AQ15" s="7"/>
      <c r="AR15" s="7"/>
      <c r="AS15" s="7"/>
      <c r="AT15" s="7"/>
      <c r="AU15" s="7"/>
      <c r="AV15" s="7"/>
      <c r="AW15" s="168"/>
      <c r="AX15" s="169">
        <f t="shared" si="6"/>
        <v>345691.92</v>
      </c>
      <c r="AY15" s="170">
        <f t="shared" si="0"/>
        <v>266619.69</v>
      </c>
      <c r="AZ15" s="171">
        <f t="shared" si="1"/>
        <v>79072.23</v>
      </c>
      <c r="BA15" s="172">
        <f t="shared" si="7"/>
        <v>43968.71</v>
      </c>
      <c r="BB15" s="172">
        <f t="shared" si="8"/>
        <v>11867.93</v>
      </c>
      <c r="BC15" s="173" t="str">
        <f t="shared" si="2"/>
        <v/>
      </c>
      <c r="BD15" s="108" t="str">
        <f t="shared" si="3"/>
        <v/>
      </c>
      <c r="BE15" s="108" t="str">
        <f t="shared" si="4"/>
        <v/>
      </c>
      <c r="BF15" s="108">
        <f>IF($AZ15-SUM(Z15:$AG15)&gt;0,$AZ15-SUM(Z15:$AG15),"")</f>
        <v>0.0899999999819556</v>
      </c>
      <c r="BG15" s="108">
        <f>IF($AZ15-SUM(AA15:$AG15)&gt;0,$AZ15-SUM(AA15:$AG15),"")</f>
        <v>79072.23</v>
      </c>
      <c r="BH15" s="108">
        <f>IF($AZ15-SUM(AB15:$AG15)&gt;0,$AZ15-SUM(AB15:$AG15),"")</f>
        <v>79072.23</v>
      </c>
      <c r="BI15" s="108">
        <f>IF($AZ15-SUM(AC15:$AG15)&gt;0,$AZ15-SUM(AC15:$AG15),"")</f>
        <v>79072.23</v>
      </c>
      <c r="BJ15" s="108">
        <f>IF($AZ15-SUM(AD15:$AG15)&gt;0,$AZ15-SUM(AD15:$AG15),"")</f>
        <v>79072.23</v>
      </c>
      <c r="BK15" s="108">
        <f>IF($AZ15-SUM(AE15:$AG15)&gt;0,$AZ15-SUM(AE15:$AG15),"")</f>
        <v>79072.23</v>
      </c>
      <c r="BL15" s="108">
        <f>IF($AZ15-SUM(AF15:$AG15)&gt;0,$AZ15-SUM(AF15:$AG15),"")</f>
        <v>79072.23</v>
      </c>
      <c r="BM15" s="177" t="s">
        <v>104</v>
      </c>
      <c r="BN15" s="178"/>
      <c r="BO15" s="179"/>
      <c r="BP15" s="180">
        <f>IFERROR(VLOOKUP(D15,Sheet3!D:O,12,FALSE),"0")</f>
        <v>79072.23</v>
      </c>
      <c r="BQ15" s="180">
        <f t="shared" si="9"/>
        <v>0</v>
      </c>
      <c r="BS15" s="20">
        <f>VLOOKUP(D15,'2022年'!BI:BL,2,FALSE)</f>
        <v>678619.44</v>
      </c>
      <c r="BT15" s="20">
        <f t="shared" si="10"/>
        <v>678619.44</v>
      </c>
      <c r="BU15" s="20">
        <f t="shared" si="11"/>
        <v>0</v>
      </c>
    </row>
    <row r="16" s="20" customFormat="1" ht="24" customHeight="1" spans="2:73">
      <c r="B16" s="48" t="s">
        <v>81</v>
      </c>
      <c r="C16" s="122" t="s">
        <v>267</v>
      </c>
      <c r="D16" s="50" t="s">
        <v>268</v>
      </c>
      <c r="E16" s="123">
        <v>36506.91</v>
      </c>
      <c r="F16" s="124" t="s">
        <v>286</v>
      </c>
      <c r="G16" s="124" t="s">
        <v>286</v>
      </c>
      <c r="H16" s="124" t="s">
        <v>286</v>
      </c>
      <c r="I16" s="124" t="s">
        <v>286</v>
      </c>
      <c r="J16" s="124" t="s">
        <v>286</v>
      </c>
      <c r="K16" s="124" t="s">
        <v>286</v>
      </c>
      <c r="L16" s="124" t="s">
        <v>286</v>
      </c>
      <c r="M16" s="124" t="s">
        <v>286</v>
      </c>
      <c r="N16" s="124">
        <v>180073.43</v>
      </c>
      <c r="O16" s="135"/>
      <c r="P16" s="136">
        <v>157512.96</v>
      </c>
      <c r="Q16" s="136">
        <v>36506.91</v>
      </c>
      <c r="R16" s="135"/>
      <c r="S16" s="136"/>
      <c r="T16" s="136"/>
      <c r="U16" s="145">
        <f t="shared" si="5"/>
        <v>36506.91</v>
      </c>
      <c r="V16" s="9">
        <v>60297.93</v>
      </c>
      <c r="W16" s="131">
        <v>54555.27</v>
      </c>
      <c r="X16" s="124">
        <v>30559.16</v>
      </c>
      <c r="Y16" s="124">
        <v>34250.87</v>
      </c>
      <c r="Z16" s="124">
        <f>45120.9+21115.99</f>
        <v>66236.89</v>
      </c>
      <c r="AA16" s="124"/>
      <c r="AB16" s="124"/>
      <c r="AC16" s="124"/>
      <c r="AD16" s="124"/>
      <c r="AE16" s="124"/>
      <c r="AF16" s="124"/>
      <c r="AG16" s="124"/>
      <c r="AH16" s="156"/>
      <c r="AI16" s="79"/>
      <c r="AJ16" s="79"/>
      <c r="AK16" s="79"/>
      <c r="AL16" s="7">
        <v>36506.91</v>
      </c>
      <c r="AM16" s="7">
        <v>60297.9299999999</v>
      </c>
      <c r="AN16" s="7">
        <v>54555.27</v>
      </c>
      <c r="AO16" s="7">
        <v>30559.16</v>
      </c>
      <c r="AP16" s="7">
        <v>34250.8700000001</v>
      </c>
      <c r="AQ16" s="7"/>
      <c r="AR16" s="7"/>
      <c r="AS16" s="7"/>
      <c r="AT16" s="7"/>
      <c r="AU16" s="7"/>
      <c r="AV16" s="7"/>
      <c r="AW16" s="168"/>
      <c r="AX16" s="169">
        <f t="shared" si="6"/>
        <v>282407.03</v>
      </c>
      <c r="AY16" s="170">
        <f t="shared" si="0"/>
        <v>216170.14</v>
      </c>
      <c r="AZ16" s="171">
        <f t="shared" si="1"/>
        <v>66236.89</v>
      </c>
      <c r="BA16" s="172">
        <f t="shared" si="7"/>
        <v>0</v>
      </c>
      <c r="BB16" s="172">
        <f t="shared" si="8"/>
        <v>0</v>
      </c>
      <c r="BC16" s="173"/>
      <c r="BD16" s="108"/>
      <c r="BE16" s="108"/>
      <c r="BF16" s="108"/>
      <c r="BG16" s="108"/>
      <c r="BH16" s="108"/>
      <c r="BI16" s="108">
        <f>IF($AZ16-SUM(AC16:$AG16)&gt;0,$AZ16-SUM(AC16:$AG16),"")</f>
        <v>66236.89</v>
      </c>
      <c r="BJ16" s="108">
        <f>IF($AZ16-SUM(AD16:$AG16)&gt;0,$AZ16-SUM(AD16:$AG16),"")</f>
        <v>66236.89</v>
      </c>
      <c r="BK16" s="108">
        <f>IF($AZ16-SUM(AE16:$AG16)&gt;0,$AZ16-SUM(AE16:$AG16),"")</f>
        <v>66236.89</v>
      </c>
      <c r="BL16" s="108">
        <f>IF($AZ16-SUM(AF16:$AG16)&gt;0,$AZ16-SUM(AF16:$AG16),"")</f>
        <v>66236.89</v>
      </c>
      <c r="BM16" s="177"/>
      <c r="BN16" s="178"/>
      <c r="BO16" s="179"/>
      <c r="BP16" s="180">
        <f>IFERROR(VLOOKUP(D16,Sheet3!D:O,12,FALSE),"0")</f>
        <v>66236.89</v>
      </c>
      <c r="BQ16" s="180">
        <f t="shared" si="9"/>
        <v>0</v>
      </c>
      <c r="BS16" s="20">
        <f>VLOOKUP(D16,'2022年'!BI:BL,2,FALSE)</f>
        <v>180073.43</v>
      </c>
      <c r="BT16" s="20">
        <f t="shared" si="10"/>
        <v>180073.43</v>
      </c>
      <c r="BU16" s="20">
        <f t="shared" si="11"/>
        <v>0</v>
      </c>
    </row>
    <row r="17" s="20" customFormat="1" ht="24" customHeight="1" spans="2:73">
      <c r="B17" s="48" t="s">
        <v>81</v>
      </c>
      <c r="C17" s="122" t="s">
        <v>132</v>
      </c>
      <c r="D17" s="50" t="s">
        <v>133</v>
      </c>
      <c r="E17" s="123">
        <v>120026.79</v>
      </c>
      <c r="F17" s="124">
        <v>0</v>
      </c>
      <c r="G17" s="124">
        <v>64247.28</v>
      </c>
      <c r="H17" s="124">
        <v>513978.24</v>
      </c>
      <c r="I17" s="124">
        <v>53539.4</v>
      </c>
      <c r="J17" s="124">
        <v>0</v>
      </c>
      <c r="K17" s="124">
        <v>0</v>
      </c>
      <c r="L17" s="124">
        <v>0</v>
      </c>
      <c r="M17" s="124">
        <v>0</v>
      </c>
      <c r="N17" s="124">
        <f>IFERROR(VLOOKUP($D17,'2022年'!$D:AF,COLUMN(R11),FALSE),"")</f>
        <v>0</v>
      </c>
      <c r="O17" s="135"/>
      <c r="P17" s="136"/>
      <c r="Q17" s="136">
        <v>-32123.64</v>
      </c>
      <c r="R17" s="135"/>
      <c r="S17" s="136"/>
      <c r="T17" s="136"/>
      <c r="U17" s="145">
        <f t="shared" si="5"/>
        <v>120026.79</v>
      </c>
      <c r="V17" s="9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56"/>
      <c r="AI17" s="79"/>
      <c r="AJ17" s="79"/>
      <c r="AK17" s="79" t="s">
        <v>84</v>
      </c>
      <c r="AL17" s="7">
        <v>120026.79</v>
      </c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168"/>
      <c r="AX17" s="169">
        <f t="shared" si="6"/>
        <v>120026.79</v>
      </c>
      <c r="AY17" s="170">
        <f t="shared" si="0"/>
        <v>120026.79</v>
      </c>
      <c r="AZ17" s="171">
        <f t="shared" si="1"/>
        <v>0</v>
      </c>
      <c r="BA17" s="172">
        <f t="shared" si="7"/>
        <v>32123.64</v>
      </c>
      <c r="BB17" s="172">
        <f t="shared" si="8"/>
        <v>0</v>
      </c>
      <c r="BC17" s="173" t="str">
        <f>IF(AZ17-SUM(W17:AG17)&gt;0,AZ17-SUM(W17:AG17),"")</f>
        <v/>
      </c>
      <c r="BD17" s="108" t="str">
        <f>IF(AZ17-SUM(X17:AG17)&gt;0,AZ17-SUM(X17:AG17),"")</f>
        <v/>
      </c>
      <c r="BE17" s="108" t="str">
        <f>IF(AZ17-SUM(Y17:AG17)&gt;0,AZ17-SUM(Y17:AG17),"")</f>
        <v/>
      </c>
      <c r="BF17" s="108" t="str">
        <f>IF($AZ17-SUM(Z17:$AG17)&gt;0,$AZ17-SUM(Z17:$AG17),"")</f>
        <v/>
      </c>
      <c r="BG17" s="108" t="str">
        <f>IF($AZ17-SUM(AA17:$AG17)&gt;0,$AZ17-SUM(AA17:$AG17),"")</f>
        <v/>
      </c>
      <c r="BH17" s="108" t="str">
        <f>IF($AZ17-SUM(AB17:$AG17)&gt;0,$AZ17-SUM(AB17:$AG17),"")</f>
        <v/>
      </c>
      <c r="BI17" s="108" t="str">
        <f>IF($AZ17-SUM(AC17:$AG17)&gt;0,$AZ17-SUM(AC17:$AG17),"")</f>
        <v/>
      </c>
      <c r="BJ17" s="108" t="str">
        <f>IF($AZ17-SUM(AD17:$AG17)&gt;0,$AZ17-SUM(AD17:$AG17),"")</f>
        <v/>
      </c>
      <c r="BK17" s="108" t="str">
        <f>IF($AZ17-SUM(AE17:$AG17)&gt;0,$AZ17-SUM(AE17:$AG17),"")</f>
        <v/>
      </c>
      <c r="BL17" s="108" t="str">
        <f>IF($AZ17-SUM(AF17:$AG17)&gt;0,$AZ17-SUM(AF17:$AG17),"")</f>
        <v/>
      </c>
      <c r="BM17" s="177" t="s">
        <v>104</v>
      </c>
      <c r="BN17" s="178"/>
      <c r="BO17" s="179"/>
      <c r="BP17" s="180">
        <f>IFERROR(VLOOKUP(D17,Sheet3!D:O,12,FALSE),"0")</f>
        <v>0</v>
      </c>
      <c r="BQ17" s="180">
        <f t="shared" si="9"/>
        <v>0</v>
      </c>
      <c r="BS17" s="20">
        <f>VLOOKUP(D17,'2022年'!BI:BL,2,FALSE)</f>
        <v>631764.92</v>
      </c>
      <c r="BT17" s="20">
        <f t="shared" si="10"/>
        <v>631764.92</v>
      </c>
      <c r="BU17" s="20">
        <f t="shared" si="11"/>
        <v>0</v>
      </c>
    </row>
    <row r="18" s="20" customFormat="1" ht="24" customHeight="1" spans="2:73">
      <c r="B18" s="48" t="s">
        <v>81</v>
      </c>
      <c r="C18" s="125" t="s">
        <v>136</v>
      </c>
      <c r="D18" s="126" t="s">
        <v>137</v>
      </c>
      <c r="E18" s="123">
        <v>305679.35</v>
      </c>
      <c r="F18" s="124">
        <v>113152.63</v>
      </c>
      <c r="G18" s="124">
        <v>0</v>
      </c>
      <c r="H18" s="124">
        <v>168455</v>
      </c>
      <c r="I18" s="124">
        <v>114596.13</v>
      </c>
      <c r="J18" s="124">
        <v>56137.51</v>
      </c>
      <c r="K18" s="124">
        <v>56179.98</v>
      </c>
      <c r="L18" s="124">
        <v>34606.56</v>
      </c>
      <c r="M18" s="124">
        <v>54289.65</v>
      </c>
      <c r="N18" s="124">
        <f>IFERROR(VLOOKUP($D18,'2022年'!$D:AF,COLUMN(R12),FALSE),"")</f>
        <v>0</v>
      </c>
      <c r="O18" s="124">
        <f>51595.03+68134.05</f>
        <v>119729.08</v>
      </c>
      <c r="P18" s="124">
        <f>49448.8+47605.26</f>
        <v>97054.06</v>
      </c>
      <c r="Q18" s="136"/>
      <c r="R18" s="135"/>
      <c r="S18" s="136"/>
      <c r="T18" s="136"/>
      <c r="U18" s="145">
        <f t="shared" si="5"/>
        <v>305679.35</v>
      </c>
      <c r="V18" s="9">
        <v>46043.28</v>
      </c>
      <c r="W18" s="124"/>
      <c r="X18" s="124">
        <v>16.72</v>
      </c>
      <c r="Y18" s="124">
        <v>42395.78</v>
      </c>
      <c r="Z18" s="124">
        <v>47545.77</v>
      </c>
      <c r="AA18" s="124"/>
      <c r="AB18" s="124"/>
      <c r="AC18" s="124"/>
      <c r="AD18" s="124"/>
      <c r="AE18" s="124"/>
      <c r="AF18" s="124"/>
      <c r="AG18" s="124"/>
      <c r="AH18" s="158"/>
      <c r="AI18" s="85"/>
      <c r="AJ18" s="85"/>
      <c r="AK18" s="79" t="s">
        <v>84</v>
      </c>
      <c r="AL18" s="159"/>
      <c r="AM18" s="159"/>
      <c r="AN18" s="7">
        <v>100000</v>
      </c>
      <c r="AO18" s="7"/>
      <c r="AP18" s="7"/>
      <c r="AQ18" s="7"/>
      <c r="AR18" s="7"/>
      <c r="AS18" s="7"/>
      <c r="AT18" s="7"/>
      <c r="AU18" s="7"/>
      <c r="AV18" s="7"/>
      <c r="AW18" s="168"/>
      <c r="AX18" s="169">
        <f t="shared" si="6"/>
        <v>441680.9</v>
      </c>
      <c r="AY18" s="170">
        <f t="shared" si="0"/>
        <v>100000</v>
      </c>
      <c r="AZ18" s="171">
        <f t="shared" si="1"/>
        <v>341680.9</v>
      </c>
      <c r="BA18" s="172">
        <f t="shared" si="7"/>
        <v>295637.62</v>
      </c>
      <c r="BB18" s="172">
        <f t="shared" si="8"/>
        <v>295637.62</v>
      </c>
      <c r="BC18" s="173">
        <f>IF(AZ18-SUM(W18:AG18)&gt;0,AZ18-SUM(W18:AG18),"")</f>
        <v>251722.63</v>
      </c>
      <c r="BD18" s="108">
        <f>IF(AZ18-SUM(X18:AG18)&gt;0,AZ18-SUM(X18:AG18),"")</f>
        <v>251722.63</v>
      </c>
      <c r="BE18" s="108">
        <f>IF(AZ18-SUM(Y18:AG18)&gt;0,AZ18-SUM(Y18:AG18),"")</f>
        <v>251739.35</v>
      </c>
      <c r="BF18" s="108">
        <f>IF($AZ18-SUM(Z18:$AG18)&gt;0,$AZ18-SUM(Z18:$AG18),"")</f>
        <v>294135.13</v>
      </c>
      <c r="BG18" s="108">
        <f>IF($AZ18-SUM(AA18:$AG18)&gt;0,$AZ18-SUM(AA18:$AG18),"")</f>
        <v>341680.9</v>
      </c>
      <c r="BH18" s="108">
        <f>IF($AZ18-SUM(AB18:$AG18)&gt;0,$AZ18-SUM(AB18:$AG18),"")</f>
        <v>341680.9</v>
      </c>
      <c r="BI18" s="108">
        <f>IF($AZ18-SUM(AC18:$AG18)&gt;0,$AZ18-SUM(AC18:$AG18),"")</f>
        <v>341680.9</v>
      </c>
      <c r="BJ18" s="108">
        <f>IF($AZ18-SUM(AD18:$AG18)&gt;0,$AZ18-SUM(AD18:$AG18),"")</f>
        <v>341680.9</v>
      </c>
      <c r="BK18" s="108">
        <f>IF($AZ18-SUM(AE18:$AG18)&gt;0,$AZ18-SUM(AE18:$AG18),"")</f>
        <v>341680.9</v>
      </c>
      <c r="BL18" s="108">
        <f>IF($AZ18-SUM(AF18:$AG18)&gt;0,$AZ18-SUM(AF18:$AG18),"")</f>
        <v>341680.9</v>
      </c>
      <c r="BM18" s="181" t="s">
        <v>85</v>
      </c>
      <c r="BN18" s="182"/>
      <c r="BO18" s="179"/>
      <c r="BP18" s="180">
        <f>IFERROR(VLOOKUP(D18,Sheet3!D:O,12,FALSE),"0")</f>
        <v>341680.9</v>
      </c>
      <c r="BQ18" s="180">
        <f t="shared" si="9"/>
        <v>0</v>
      </c>
      <c r="BS18" s="20">
        <f>VLOOKUP(D18,'2022年'!BI:BL,2,FALSE)</f>
        <v>597417.46</v>
      </c>
      <c r="BT18" s="20">
        <f t="shared" si="10"/>
        <v>597417.46</v>
      </c>
      <c r="BU18" s="20">
        <f t="shared" si="11"/>
        <v>0</v>
      </c>
    </row>
    <row r="19" s="20" customFormat="1" ht="24" customHeight="1" spans="2:73">
      <c r="B19" s="48" t="s">
        <v>81</v>
      </c>
      <c r="C19" s="90" t="s">
        <v>181</v>
      </c>
      <c r="D19" s="126" t="s">
        <v>182</v>
      </c>
      <c r="E19" s="123">
        <v>0</v>
      </c>
      <c r="F19" s="124">
        <v>0</v>
      </c>
      <c r="G19" s="124">
        <v>0</v>
      </c>
      <c r="H19" s="124">
        <v>0</v>
      </c>
      <c r="I19" s="124">
        <v>0</v>
      </c>
      <c r="J19" s="124">
        <v>0</v>
      </c>
      <c r="K19" s="124">
        <v>0</v>
      </c>
      <c r="L19" s="124">
        <v>0</v>
      </c>
      <c r="M19" s="124">
        <v>0</v>
      </c>
      <c r="N19" s="124">
        <f>IFERROR(VLOOKUP($D19,'2022年'!$D:AF,COLUMN(R13),FALSE),"")</f>
        <v>0</v>
      </c>
      <c r="O19" s="135"/>
      <c r="P19" s="136"/>
      <c r="Q19" s="147"/>
      <c r="R19" s="135"/>
      <c r="S19" s="136"/>
      <c r="T19" s="146"/>
      <c r="U19" s="145">
        <f t="shared" si="5"/>
        <v>0</v>
      </c>
      <c r="V19" s="9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58"/>
      <c r="AI19" s="85"/>
      <c r="AJ19" s="85"/>
      <c r="AK19" s="79" t="s">
        <v>84</v>
      </c>
      <c r="AL19" s="159"/>
      <c r="AM19" s="159"/>
      <c r="AN19" s="159"/>
      <c r="AO19" s="159"/>
      <c r="AP19" s="159"/>
      <c r="AQ19" s="159"/>
      <c r="AR19" s="159"/>
      <c r="AS19" s="159"/>
      <c r="AT19" s="159"/>
      <c r="AU19" s="159"/>
      <c r="AV19" s="159"/>
      <c r="AW19" s="174"/>
      <c r="AX19" s="169">
        <f t="shared" si="6"/>
        <v>0</v>
      </c>
      <c r="AY19" s="170">
        <f t="shared" si="0"/>
        <v>0</v>
      </c>
      <c r="AZ19" s="171">
        <f t="shared" si="1"/>
        <v>0</v>
      </c>
      <c r="BA19" s="172">
        <f t="shared" si="7"/>
        <v>0</v>
      </c>
      <c r="BB19" s="172">
        <f t="shared" si="8"/>
        <v>0</v>
      </c>
      <c r="BC19" s="173" t="str">
        <f>IF(AZ19-SUM(W19:AG19)&gt;0,AZ19-SUM(W19:AG19),"")</f>
        <v/>
      </c>
      <c r="BD19" s="108" t="str">
        <f>IF(AZ19-SUM(X19:AG19)&gt;0,AZ19-SUM(X19:AG19),"")</f>
        <v/>
      </c>
      <c r="BE19" s="108" t="str">
        <f>IF(AZ19-SUM(Y19:AG19)&gt;0,AZ19-SUM(Y19:AG19),"")</f>
        <v/>
      </c>
      <c r="BF19" s="108" t="str">
        <f>IF($AZ19-SUM(Z19:$AG19)&gt;0,$AZ19-SUM(Z19:$AG19),"")</f>
        <v/>
      </c>
      <c r="BG19" s="108" t="str">
        <f>IF($AZ19-SUM(AA19:$AG19)&gt;0,$AZ19-SUM(AA19:$AG19),"")</f>
        <v/>
      </c>
      <c r="BH19" s="108" t="str">
        <f>IF($AZ19-SUM(AB19:$AG19)&gt;0,$AZ19-SUM(AB19:$AG19),"")</f>
        <v/>
      </c>
      <c r="BI19" s="108" t="str">
        <f>IF($AZ19-SUM(AC19:$AG19)&gt;0,$AZ19-SUM(AC19:$AG19),"")</f>
        <v/>
      </c>
      <c r="BJ19" s="108" t="str">
        <f>IF($AZ19-SUM(AD19:$AG19)&gt;0,$AZ19-SUM(AD19:$AG19),"")</f>
        <v/>
      </c>
      <c r="BK19" s="108" t="str">
        <f>IF($AZ19-SUM(AE19:$AG19)&gt;0,$AZ19-SUM(AE19:$AG19),"")</f>
        <v/>
      </c>
      <c r="BL19" s="108" t="str">
        <f>IF($AZ19-SUM(AF19:$AG19)&gt;0,$AZ19-SUM(AF19:$AG19),"")</f>
        <v/>
      </c>
      <c r="BM19" s="183" t="s">
        <v>96</v>
      </c>
      <c r="BN19" s="182"/>
      <c r="BO19" s="179"/>
      <c r="BP19" s="180">
        <f>IFERROR(VLOOKUP(D19,Sheet3!D:O,12,FALSE),"0")</f>
        <v>0</v>
      </c>
      <c r="BQ19" s="180">
        <f t="shared" si="9"/>
        <v>0</v>
      </c>
      <c r="BS19" s="20">
        <f>VLOOKUP(D19,'2022年'!BI:BL,2,FALSE)</f>
        <v>0</v>
      </c>
      <c r="BT19" s="20">
        <f t="shared" si="10"/>
        <v>0</v>
      </c>
      <c r="BU19" s="20">
        <f t="shared" si="11"/>
        <v>0</v>
      </c>
    </row>
    <row r="20" s="20" customFormat="1" ht="24" customHeight="1" spans="2:73">
      <c r="B20" s="48" t="s">
        <v>81</v>
      </c>
      <c r="C20" s="90" t="s">
        <v>184</v>
      </c>
      <c r="D20" s="126" t="s">
        <v>185</v>
      </c>
      <c r="E20" s="123">
        <v>46458.82</v>
      </c>
      <c r="F20" s="124">
        <v>19074.4</v>
      </c>
      <c r="G20" s="124">
        <v>0</v>
      </c>
      <c r="H20" s="124">
        <v>22385.76</v>
      </c>
      <c r="I20" s="124">
        <v>0</v>
      </c>
      <c r="J20" s="124">
        <v>24048.66</v>
      </c>
      <c r="K20" s="124">
        <v>0</v>
      </c>
      <c r="L20" s="124">
        <v>0</v>
      </c>
      <c r="M20" s="124">
        <v>0</v>
      </c>
      <c r="N20" s="124">
        <f>IFERROR(VLOOKUP($D20,'2022年'!$D:AF,COLUMN(R14),FALSE),"")</f>
        <v>0</v>
      </c>
      <c r="O20" s="135">
        <v>56601.7</v>
      </c>
      <c r="P20" s="136">
        <v>6611.86</v>
      </c>
      <c r="Q20" s="147">
        <v>27360.46</v>
      </c>
      <c r="R20" s="135"/>
      <c r="S20" s="136"/>
      <c r="T20" s="136"/>
      <c r="U20" s="145">
        <f t="shared" si="5"/>
        <v>46458.82</v>
      </c>
      <c r="V20" s="9">
        <v>7090.75</v>
      </c>
      <c r="W20" s="124"/>
      <c r="X20" s="124">
        <v>31099.86</v>
      </c>
      <c r="Y20" s="124">
        <f>37148.64+8249+47054.1</f>
        <v>92451.74</v>
      </c>
      <c r="Z20" s="124">
        <v>6780</v>
      </c>
      <c r="AA20" s="124"/>
      <c r="AB20" s="124"/>
      <c r="AC20" s="124"/>
      <c r="AD20" s="124"/>
      <c r="AE20" s="124"/>
      <c r="AF20" s="124"/>
      <c r="AG20" s="124"/>
      <c r="AH20" s="158"/>
      <c r="AI20" s="85"/>
      <c r="AJ20" s="85"/>
      <c r="AK20" s="79" t="s">
        <v>84</v>
      </c>
      <c r="AL20" s="159">
        <v>12486.5</v>
      </c>
      <c r="AM20" s="159"/>
      <c r="AN20" s="159">
        <v>6611.86</v>
      </c>
      <c r="AO20" s="159">
        <v>27360.46</v>
      </c>
      <c r="AP20" s="159">
        <v>38190.61</v>
      </c>
      <c r="AQ20" s="159"/>
      <c r="AR20" s="159"/>
      <c r="AS20" s="159"/>
      <c r="AT20" s="159"/>
      <c r="AU20" s="159"/>
      <c r="AV20" s="159"/>
      <c r="AW20" s="174"/>
      <c r="AX20" s="169">
        <f t="shared" si="6"/>
        <v>183881.17</v>
      </c>
      <c r="AY20" s="170">
        <f t="shared" si="0"/>
        <v>84649.43</v>
      </c>
      <c r="AZ20" s="171">
        <f t="shared" si="1"/>
        <v>99231.74</v>
      </c>
      <c r="BA20" s="172">
        <f t="shared" ref="BA20:BA26" si="12">IF(AZ20-V20-T20-Q20-P20-S20&gt;0,AZ20-V20-T20-Q20-P20-S20,0)</f>
        <v>58168.67</v>
      </c>
      <c r="BB20" s="172">
        <f>IF(AZ20-W20-V20-T20-Q20&gt;0,AZ20-W20-V20,0)</f>
        <v>92140.99</v>
      </c>
      <c r="BC20" s="173" t="str">
        <f>IF(AZ20-SUM(W20:AG20)&gt;0,AZ20-SUM(W20:AG20),"")</f>
        <v/>
      </c>
      <c r="BD20" s="108" t="str">
        <f>IF(AZ20-SUM(X20:AG20)&gt;0,AZ20-SUM(X20:AG20),"")</f>
        <v/>
      </c>
      <c r="BE20" s="108" t="str">
        <f>IF(AZ20-SUM(Y20:AG20)&gt;0,AZ20-SUM(Y20:AG20),"")</f>
        <v/>
      </c>
      <c r="BF20" s="108">
        <f>IF($AZ20-SUM(Z20:$AG20)&gt;0,$AZ20-SUM(Z20:$AG20),"")</f>
        <v>92451.74</v>
      </c>
      <c r="BG20" s="108">
        <f>IF($AZ20-SUM(AA20:$AG20)&gt;0,$AZ20-SUM(AA20:$AG20),"")</f>
        <v>99231.74</v>
      </c>
      <c r="BH20" s="108">
        <f>IF($AZ20-SUM(AB20:$AG20)&gt;0,$AZ20-SUM(AB20:$AG20),"")</f>
        <v>99231.74</v>
      </c>
      <c r="BI20" s="108">
        <f>IF($AZ20-SUM(AC20:$AG20)&gt;0,$AZ20-SUM(AC20:$AG20),"")</f>
        <v>99231.74</v>
      </c>
      <c r="BJ20" s="108">
        <f>IF($AZ20-SUM(AD20:$AG20)&gt;0,$AZ20-SUM(AD20:$AG20),"")</f>
        <v>99231.74</v>
      </c>
      <c r="BK20" s="108">
        <f>IF($AZ20-SUM(AE20:$AG20)&gt;0,$AZ20-SUM(AE20:$AG20),"")</f>
        <v>99231.74</v>
      </c>
      <c r="BL20" s="108">
        <f>IF($AZ20-SUM(AF20:$AG20)&gt;0,$AZ20-SUM(AF20:$AG20),"")</f>
        <v>99231.74</v>
      </c>
      <c r="BM20" s="181"/>
      <c r="BN20" s="182"/>
      <c r="BO20" s="179"/>
      <c r="BP20" s="180">
        <f>IFERROR(VLOOKUP(D20,Sheet3!D:O,12,FALSE),"0")</f>
        <v>99231.74</v>
      </c>
      <c r="BQ20" s="180">
        <f t="shared" si="9"/>
        <v>0</v>
      </c>
      <c r="BS20" s="20">
        <f>VLOOKUP(D20,'2022年'!BI:BL,2,FALSE)</f>
        <v>65508.82</v>
      </c>
      <c r="BT20" s="20">
        <f t="shared" si="10"/>
        <v>65508.82</v>
      </c>
      <c r="BU20" s="20">
        <f t="shared" si="11"/>
        <v>0</v>
      </c>
    </row>
    <row r="21" s="20" customFormat="1" ht="24" customHeight="1" spans="2:73">
      <c r="B21" s="48" t="s">
        <v>81</v>
      </c>
      <c r="C21" s="90" t="s">
        <v>212</v>
      </c>
      <c r="D21" s="126" t="s">
        <v>213</v>
      </c>
      <c r="E21" s="123">
        <v>334790.96</v>
      </c>
      <c r="F21" s="124">
        <v>167395.48</v>
      </c>
      <c r="G21" s="124">
        <v>334790.96</v>
      </c>
      <c r="H21" s="124">
        <v>334790.96</v>
      </c>
      <c r="I21" s="124">
        <v>0</v>
      </c>
      <c r="J21" s="124">
        <v>0</v>
      </c>
      <c r="K21" s="124">
        <v>0</v>
      </c>
      <c r="L21" s="124">
        <v>167395.48</v>
      </c>
      <c r="M21" s="124">
        <v>167395.48</v>
      </c>
      <c r="N21" s="124">
        <f>IFERROR(VLOOKUP($D21,'2022年'!$D:AF,COLUMN(R15),FALSE),"")</f>
        <v>167395.48</v>
      </c>
      <c r="O21" s="135">
        <v>167395.48</v>
      </c>
      <c r="P21" s="136">
        <v>167395.48</v>
      </c>
      <c r="Q21" s="147"/>
      <c r="R21" s="135"/>
      <c r="S21" s="136"/>
      <c r="T21" s="136"/>
      <c r="U21" s="145">
        <f t="shared" si="5"/>
        <v>334790.96</v>
      </c>
      <c r="V21" s="9"/>
      <c r="W21" s="124"/>
      <c r="X21" s="124">
        <v>168832.84</v>
      </c>
      <c r="Y21" s="124">
        <v>168832.84</v>
      </c>
      <c r="Z21" s="124"/>
      <c r="AA21" s="124"/>
      <c r="AB21" s="124"/>
      <c r="AC21" s="124"/>
      <c r="AD21" s="124"/>
      <c r="AE21" s="124"/>
      <c r="AF21" s="124"/>
      <c r="AG21" s="124"/>
      <c r="AH21" s="158"/>
      <c r="AI21" s="85"/>
      <c r="AJ21" s="85"/>
      <c r="AK21" s="79" t="s">
        <v>84</v>
      </c>
      <c r="AL21" s="159"/>
      <c r="AM21" s="159"/>
      <c r="AN21" s="159">
        <v>120000</v>
      </c>
      <c r="AO21" s="159">
        <v>214790.96</v>
      </c>
      <c r="AP21" s="159"/>
      <c r="AQ21" s="159"/>
      <c r="AR21" s="159"/>
      <c r="AS21" s="159"/>
      <c r="AT21" s="159"/>
      <c r="AU21" s="159"/>
      <c r="AV21" s="159"/>
      <c r="AW21" s="174"/>
      <c r="AX21" s="169">
        <f t="shared" si="6"/>
        <v>672456.64</v>
      </c>
      <c r="AY21" s="170">
        <f t="shared" si="0"/>
        <v>334790.96</v>
      </c>
      <c r="AZ21" s="171">
        <f t="shared" si="1"/>
        <v>337665.68</v>
      </c>
      <c r="BA21" s="172">
        <f>IF(AZ21-V21&gt;0,AZ21-V21,0)</f>
        <v>337665.68</v>
      </c>
      <c r="BB21" s="172">
        <f>IF(AZ21-W21&gt;0,AZ21-W21,0)</f>
        <v>337665.68</v>
      </c>
      <c r="BC21" s="173">
        <f>IF(AZ21-SUM(W21:AG21)&gt;0,AZ21-SUM(W21:AG21),"")</f>
        <v>5.82076609134674e-11</v>
      </c>
      <c r="BD21" s="108">
        <f>IF(AZ21-SUM(Y21:AG21)&gt;0,AZ21-SUM(Y21:AG21),"")</f>
        <v>168832.84</v>
      </c>
      <c r="BE21" s="108">
        <f t="shared" ref="BE21:BG21" si="13">IF($AZ21-SUM(Z21)&gt;0,$AZ21-SUM(Z21),"")</f>
        <v>337665.68</v>
      </c>
      <c r="BF21" s="108">
        <f t="shared" si="13"/>
        <v>337665.68</v>
      </c>
      <c r="BG21" s="108">
        <f t="shared" si="13"/>
        <v>337665.68</v>
      </c>
      <c r="BH21" s="108">
        <f>IF($AZ21-SUM(AD21)&gt;0,$AZ21-SUM(AD21),"")</f>
        <v>337665.68</v>
      </c>
      <c r="BI21" s="108">
        <f t="shared" ref="BI21:BL21" si="14">IF($AZ21-SUM(AD21)&gt;0,$AZ21-SUM(AD21),"")</f>
        <v>337665.68</v>
      </c>
      <c r="BJ21" s="108">
        <f t="shared" si="14"/>
        <v>337665.68</v>
      </c>
      <c r="BK21" s="108">
        <f t="shared" si="14"/>
        <v>337665.68</v>
      </c>
      <c r="BL21" s="108">
        <f t="shared" si="14"/>
        <v>337665.68</v>
      </c>
      <c r="BM21" s="181" t="s">
        <v>101</v>
      </c>
      <c r="BN21" s="182"/>
      <c r="BO21" s="179"/>
      <c r="BP21" s="180">
        <f>IFERROR(VLOOKUP(D21,Sheet3!D:O,12,FALSE),"0")</f>
        <v>337665.68</v>
      </c>
      <c r="BQ21" s="180">
        <f t="shared" si="9"/>
        <v>0</v>
      </c>
      <c r="BS21" s="20">
        <f>VLOOKUP(D21,'2022年'!BI:BL,2,FALSE)</f>
        <v>1339163.84</v>
      </c>
      <c r="BT21" s="20">
        <f t="shared" si="10"/>
        <v>1339163.84</v>
      </c>
      <c r="BU21" s="20">
        <f t="shared" si="11"/>
        <v>0</v>
      </c>
    </row>
    <row r="22" s="20" customFormat="1" ht="24" customHeight="1" spans="2:73">
      <c r="B22" s="48" t="s">
        <v>81</v>
      </c>
      <c r="C22" s="90" t="s">
        <v>215</v>
      </c>
      <c r="D22" s="127" t="s">
        <v>216</v>
      </c>
      <c r="E22" s="128">
        <v>77290.31</v>
      </c>
      <c r="F22" s="124">
        <v>0</v>
      </c>
      <c r="G22" s="124">
        <v>0</v>
      </c>
      <c r="H22" s="124">
        <v>45154.8</v>
      </c>
      <c r="I22" s="124">
        <v>17494.1</v>
      </c>
      <c r="J22" s="124">
        <v>0</v>
      </c>
      <c r="K22" s="124">
        <v>35554.32</v>
      </c>
      <c r="L22" s="124">
        <v>12204</v>
      </c>
      <c r="M22" s="124">
        <v>0</v>
      </c>
      <c r="N22" s="124">
        <f>IFERROR(VLOOKUP($D22,'2022年'!$D:AF,COLUMN(R16),FALSE),"")</f>
        <v>0</v>
      </c>
      <c r="O22" s="137">
        <v>42307.2</v>
      </c>
      <c r="P22" s="138"/>
      <c r="Q22" s="148">
        <v>34983.11</v>
      </c>
      <c r="R22" s="137"/>
      <c r="S22" s="138"/>
      <c r="T22" s="138"/>
      <c r="U22" s="145">
        <f t="shared" si="5"/>
        <v>77290.31</v>
      </c>
      <c r="V22" s="133"/>
      <c r="W22" s="134"/>
      <c r="X22" s="134">
        <v>19628.1</v>
      </c>
      <c r="Y22" s="134"/>
      <c r="Z22" s="134"/>
      <c r="AA22" s="134"/>
      <c r="AB22" s="134"/>
      <c r="AC22" s="134"/>
      <c r="AD22" s="134"/>
      <c r="AE22" s="134"/>
      <c r="AF22" s="134"/>
      <c r="AG22" s="134"/>
      <c r="AH22" s="158"/>
      <c r="AI22" s="85"/>
      <c r="AJ22" s="85"/>
      <c r="AK22" s="79" t="s">
        <v>84</v>
      </c>
      <c r="AL22" s="159"/>
      <c r="AM22" s="159"/>
      <c r="AN22" s="159"/>
      <c r="AO22" s="159">
        <v>20000</v>
      </c>
      <c r="AP22" s="159">
        <v>20000</v>
      </c>
      <c r="AQ22" s="159"/>
      <c r="AR22" s="159"/>
      <c r="AS22" s="159"/>
      <c r="AT22" s="159"/>
      <c r="AU22" s="159"/>
      <c r="AV22" s="159"/>
      <c r="AW22" s="174"/>
      <c r="AX22" s="169">
        <f t="shared" si="6"/>
        <v>96918.41</v>
      </c>
      <c r="AY22" s="170">
        <f t="shared" si="0"/>
        <v>40000</v>
      </c>
      <c r="AZ22" s="171">
        <f t="shared" si="1"/>
        <v>56918.41</v>
      </c>
      <c r="BA22" s="172">
        <f t="shared" si="12"/>
        <v>21935.3</v>
      </c>
      <c r="BB22" s="172">
        <f>IF(AZ22-W22-V22-T22-Q22&gt;0,AZ22-W22-V22,0)</f>
        <v>56918.41</v>
      </c>
      <c r="BC22" s="173">
        <f>IF(AZ22-SUM(V22:AG22)&gt;0,AZ22-SUM(V22:AG22),"")</f>
        <v>37290.31</v>
      </c>
      <c r="BD22" s="108">
        <f>IF(AZ22-SUM(W22:AG22)&gt;0,AZ22-SUM(W22:AG22),"")</f>
        <v>37290.31</v>
      </c>
      <c r="BE22" s="108">
        <f>IF(AZ22-SUM(X22:AG22)&gt;0,AZ22-SUM(X22:AG22),"")</f>
        <v>37290.31</v>
      </c>
      <c r="BF22" s="108">
        <f>IF($AZ22-SUM(Y22:$AG22)&gt;0,$AZ22-SUM(Y22:$AG22),"")</f>
        <v>56918.41</v>
      </c>
      <c r="BG22" s="108">
        <f>IF($AZ22-SUM(Z22:$AG22)&gt;0,$AZ22-SUM(Z22:$AG22),"")</f>
        <v>56918.41</v>
      </c>
      <c r="BH22" s="108">
        <f>IF($AZ22-SUM(AA22:$AG22)&gt;0,$AZ22-SUM(AA22:$AG22),"")</f>
        <v>56918.41</v>
      </c>
      <c r="BI22" s="108">
        <f>IF($AZ22-SUM(AB22:$AG22)&gt;0,$AZ22-SUM(AB22:$AG22),"")</f>
        <v>56918.41</v>
      </c>
      <c r="BJ22" s="108">
        <f>IF($AZ22-SUM(AC22:$AG22)&gt;0,$AZ22-SUM(AC22:$AG22),"")</f>
        <v>56918.41</v>
      </c>
      <c r="BK22" s="108">
        <f>IF($AZ22-SUM(AD22:$AG22)&gt;0,$AZ22-SUM(AD22:$AG22),"")</f>
        <v>56918.41</v>
      </c>
      <c r="BL22" s="108">
        <f>IF($AZ22-SUM(AE22:$AG22)&gt;0,$AZ22-SUM(AE22:$AG22),"")</f>
        <v>56918.41</v>
      </c>
      <c r="BM22" s="184" t="s">
        <v>222</v>
      </c>
      <c r="BN22" s="182"/>
      <c r="BO22" s="179"/>
      <c r="BP22" s="180">
        <f>IFERROR(VLOOKUP(D22,Sheet3!D:O,12,FALSE),"0")</f>
        <v>56918.41</v>
      </c>
      <c r="BQ22" s="180">
        <f t="shared" si="9"/>
        <v>0</v>
      </c>
      <c r="BS22" s="20">
        <f>VLOOKUP(D22,'2022年'!BI:BL,2,FALSE)</f>
        <v>110407.22</v>
      </c>
      <c r="BT22" s="20">
        <f t="shared" si="10"/>
        <v>110407.22</v>
      </c>
      <c r="BU22" s="20">
        <f t="shared" si="11"/>
        <v>0</v>
      </c>
    </row>
    <row r="23" s="20" customFormat="1" ht="24" customHeight="1" spans="2:73">
      <c r="B23" s="48" t="s">
        <v>81</v>
      </c>
      <c r="C23" s="90" t="s">
        <v>217</v>
      </c>
      <c r="D23" s="127" t="s">
        <v>223</v>
      </c>
      <c r="E23" s="128">
        <v>25391.1</v>
      </c>
      <c r="F23" s="124">
        <v>2600.8</v>
      </c>
      <c r="G23" s="124">
        <v>17351.38</v>
      </c>
      <c r="H23" s="124">
        <v>14233.25</v>
      </c>
      <c r="I23" s="124">
        <v>12814.2</v>
      </c>
      <c r="J23" s="124">
        <v>10441.2</v>
      </c>
      <c r="K23" s="124">
        <v>0</v>
      </c>
      <c r="L23" s="124">
        <v>5695.2</v>
      </c>
      <c r="M23" s="124">
        <v>9492</v>
      </c>
      <c r="N23" s="124">
        <f>IFERROR(VLOOKUP($D23,'2022年'!$D:AF,COLUMN(R17),FALSE),"")</f>
        <v>6644.4</v>
      </c>
      <c r="O23" s="137">
        <v>14475.3</v>
      </c>
      <c r="P23" s="138">
        <v>10915.8</v>
      </c>
      <c r="Q23" s="148"/>
      <c r="R23" s="137"/>
      <c r="S23" s="138"/>
      <c r="T23" s="138"/>
      <c r="U23" s="145">
        <f t="shared" si="5"/>
        <v>25391.1</v>
      </c>
      <c r="V23" s="133">
        <v>4746</v>
      </c>
      <c r="W23" s="134"/>
      <c r="X23" s="134">
        <v>9966.6</v>
      </c>
      <c r="Y23" s="134">
        <v>6644.4</v>
      </c>
      <c r="Z23" s="134">
        <v>11390.4</v>
      </c>
      <c r="AA23" s="134"/>
      <c r="AB23" s="134"/>
      <c r="AC23" s="134"/>
      <c r="AD23" s="134"/>
      <c r="AE23" s="134"/>
      <c r="AF23" s="134"/>
      <c r="AG23" s="134"/>
      <c r="AH23" s="158"/>
      <c r="AI23" s="85"/>
      <c r="AJ23" s="85"/>
      <c r="AK23" s="79" t="s">
        <v>84</v>
      </c>
      <c r="AL23" s="159"/>
      <c r="AM23" s="160"/>
      <c r="AN23" s="159"/>
      <c r="AO23" s="159"/>
      <c r="AP23" s="159">
        <v>25391</v>
      </c>
      <c r="AQ23" s="159"/>
      <c r="AR23" s="159"/>
      <c r="AS23" s="159"/>
      <c r="AT23" s="159"/>
      <c r="AU23" s="159"/>
      <c r="AV23" s="159"/>
      <c r="AW23" s="174"/>
      <c r="AX23" s="169">
        <f t="shared" si="6"/>
        <v>58138.5</v>
      </c>
      <c r="AY23" s="170">
        <f t="shared" si="0"/>
        <v>25391</v>
      </c>
      <c r="AZ23" s="171">
        <f t="shared" si="1"/>
        <v>32747.5</v>
      </c>
      <c r="BA23" s="172">
        <f>IF(AZ23-V23&gt;0,AZ23-V23,0)</f>
        <v>28001.5</v>
      </c>
      <c r="BB23" s="172">
        <f>IF(AZ23-W23&gt;0,AZ23-W23,0)</f>
        <v>32747.5</v>
      </c>
      <c r="BC23" s="173">
        <f t="shared" ref="BC23:BC25" si="15">IF(AZ23-SUM(W23:AG23)&gt;0,AZ23-SUM(W23:AG23),"")</f>
        <v>4746.1</v>
      </c>
      <c r="BD23" s="108">
        <f>IF(AZ23-SUM(Y23:AG23)&gt;0,AZ23-SUM(Y23:AG23),"")</f>
        <v>14712.7</v>
      </c>
      <c r="BE23" s="108">
        <f>IF(AZ23-SUM(Z23:AG23)&gt;0,AZ23-SUM(Z23:AG23),"")</f>
        <v>21357.1</v>
      </c>
      <c r="BF23" s="108">
        <f>IF(AZ23-SUM(AH23)&gt;0,AZ23-SUM(AH23),"")</f>
        <v>32747.5</v>
      </c>
      <c r="BG23" s="108">
        <f t="shared" ref="BG23:BL23" si="16">IF($AZ23-SUM(AB23)&gt;0,$AZ23-SUM(AB23),"")</f>
        <v>32747.5</v>
      </c>
      <c r="BH23" s="108">
        <f t="shared" si="16"/>
        <v>32747.5</v>
      </c>
      <c r="BI23" s="108">
        <f t="shared" si="16"/>
        <v>32747.5</v>
      </c>
      <c r="BJ23" s="108">
        <f t="shared" si="16"/>
        <v>32747.5</v>
      </c>
      <c r="BK23" s="108">
        <f t="shared" si="16"/>
        <v>32747.5</v>
      </c>
      <c r="BL23" s="108">
        <f t="shared" si="16"/>
        <v>32747.5</v>
      </c>
      <c r="BM23" s="184" t="s">
        <v>101</v>
      </c>
      <c r="BN23" s="182"/>
      <c r="BO23" s="179"/>
      <c r="BP23" s="180">
        <f>IFERROR(VLOOKUP(D23,Sheet3!D:O,12,FALSE),"0")</f>
        <v>32747.5</v>
      </c>
      <c r="BQ23" s="180">
        <f t="shared" si="9"/>
        <v>0</v>
      </c>
      <c r="BS23" s="20">
        <f>VLOOKUP(D23,'2022年'!BI:BL,2,FALSE)</f>
        <v>79272.43</v>
      </c>
      <c r="BT23" s="20">
        <f t="shared" si="10"/>
        <v>79272.43</v>
      </c>
      <c r="BU23" s="20">
        <f t="shared" si="11"/>
        <v>0</v>
      </c>
    </row>
    <row r="24" s="20" customFormat="1" ht="24" customHeight="1" spans="2:73">
      <c r="B24" s="48" t="s">
        <v>81</v>
      </c>
      <c r="C24" s="90" t="s">
        <v>228</v>
      </c>
      <c r="D24" s="127" t="s">
        <v>229</v>
      </c>
      <c r="E24" s="128">
        <v>2518.39</v>
      </c>
      <c r="F24" s="124">
        <v>0</v>
      </c>
      <c r="G24" s="124">
        <v>0</v>
      </c>
      <c r="H24" s="124">
        <v>0</v>
      </c>
      <c r="I24" s="124">
        <v>0</v>
      </c>
      <c r="J24" s="124">
        <v>0</v>
      </c>
      <c r="K24" s="124">
        <v>0</v>
      </c>
      <c r="L24" s="124">
        <v>0</v>
      </c>
      <c r="M24" s="124">
        <v>0</v>
      </c>
      <c r="N24" s="124">
        <f>IFERROR(VLOOKUP($D24,'2022年'!$D:AF,COLUMN(R18),FALSE),"")</f>
        <v>0</v>
      </c>
      <c r="O24" s="137"/>
      <c r="P24" s="138"/>
      <c r="Q24" s="148"/>
      <c r="R24" s="137"/>
      <c r="S24" s="138"/>
      <c r="T24" s="148"/>
      <c r="U24" s="145">
        <f t="shared" si="5"/>
        <v>2518.39</v>
      </c>
      <c r="V24" s="133"/>
      <c r="W24" s="134"/>
      <c r="X24" s="134"/>
      <c r="Y24" s="134"/>
      <c r="Z24" s="134"/>
      <c r="AA24" s="134"/>
      <c r="AB24" s="134"/>
      <c r="AC24" s="139"/>
      <c r="AD24" s="134"/>
      <c r="AE24" s="134"/>
      <c r="AF24" s="134"/>
      <c r="AG24" s="134"/>
      <c r="AH24" s="158"/>
      <c r="AI24" s="85"/>
      <c r="AJ24" s="85"/>
      <c r="AK24" s="79" t="s">
        <v>84</v>
      </c>
      <c r="AL24" s="159"/>
      <c r="AM24" s="159"/>
      <c r="AN24" s="161"/>
      <c r="AO24" s="159"/>
      <c r="AP24" s="159"/>
      <c r="AQ24" s="159"/>
      <c r="AR24" s="159"/>
      <c r="AS24" s="159"/>
      <c r="AT24" s="159"/>
      <c r="AU24" s="159"/>
      <c r="AV24" s="159"/>
      <c r="AW24" s="174"/>
      <c r="AX24" s="169">
        <f t="shared" si="6"/>
        <v>2518.39</v>
      </c>
      <c r="AY24" s="170">
        <f t="shared" si="0"/>
        <v>0</v>
      </c>
      <c r="AZ24" s="171">
        <f t="shared" si="1"/>
        <v>2518.39</v>
      </c>
      <c r="BA24" s="172">
        <f t="shared" si="7"/>
        <v>2518.39</v>
      </c>
      <c r="BB24" s="172">
        <f t="shared" si="8"/>
        <v>2518.39</v>
      </c>
      <c r="BC24" s="173">
        <f t="shared" si="15"/>
        <v>2518.39</v>
      </c>
      <c r="BD24" s="108">
        <f>AZ24-Y24-X24</f>
        <v>2518.39</v>
      </c>
      <c r="BE24" s="108">
        <f t="shared" ref="BE24:BE28" si="17">IF(AZ24-SUM(Y24:AG24)&gt;0,AZ24-SUM(Y24:AG24),"")</f>
        <v>2518.39</v>
      </c>
      <c r="BF24" s="108">
        <f>IF($AZ24-SUM(Z24:$AG24)&gt;0,$AZ24-SUM(Z24:$AG24),"")</f>
        <v>2518.39</v>
      </c>
      <c r="BG24" s="108">
        <f>IF($AZ24-SUM(AA24:$AG24)&gt;0,$AZ24-SUM(AA24:$AG24),"")</f>
        <v>2518.39</v>
      </c>
      <c r="BH24" s="108">
        <f>IF($AZ24-SUM(AB24:$AG24)&gt;0,$AZ24-SUM(AB24:$AG24),"")</f>
        <v>2518.39</v>
      </c>
      <c r="BI24" s="108">
        <f>IF($AZ24-SUM(AC24:$AG24)&gt;0,$AZ24-SUM(AC24:$AG24),"")</f>
        <v>2518.39</v>
      </c>
      <c r="BJ24" s="108">
        <f>IF($AZ24-SUM(AD24:$AG24)&gt;0,$AZ24-SUM(AD24:$AG24),"")</f>
        <v>2518.39</v>
      </c>
      <c r="BK24" s="108">
        <f>IF($AZ24-SUM(AE24:$AG24)&gt;0,$AZ24-SUM(AE24:$AG24),"")</f>
        <v>2518.39</v>
      </c>
      <c r="BL24" s="108">
        <f>IF($AZ24-SUM(AF24:$AG24)&gt;0,$AZ24-SUM(AF24:$AG24),"")</f>
        <v>2518.39</v>
      </c>
      <c r="BM24" s="184" t="s">
        <v>85</v>
      </c>
      <c r="BN24" s="182" t="s">
        <v>270</v>
      </c>
      <c r="BO24" s="179"/>
      <c r="BP24" s="180">
        <f>IFERROR(VLOOKUP(D24,Sheet3!D:O,12,FALSE),"0")</f>
        <v>2518.39</v>
      </c>
      <c r="BQ24" s="180">
        <f t="shared" si="9"/>
        <v>0</v>
      </c>
      <c r="BS24" s="20">
        <f>VLOOKUP(D24,'2022年'!BI:BL,2,FALSE)</f>
        <v>0</v>
      </c>
      <c r="BT24" s="20">
        <f t="shared" si="10"/>
        <v>0</v>
      </c>
      <c r="BU24" s="20">
        <f t="shared" si="11"/>
        <v>0</v>
      </c>
    </row>
    <row r="25" s="20" customFormat="1" ht="24" customHeight="1" spans="2:73">
      <c r="B25" s="48" t="s">
        <v>81</v>
      </c>
      <c r="C25" s="122" t="s">
        <v>230</v>
      </c>
      <c r="D25" s="50" t="s">
        <v>231</v>
      </c>
      <c r="E25" s="123">
        <v>1180377.44</v>
      </c>
      <c r="F25" s="124">
        <v>289497.18</v>
      </c>
      <c r="G25" s="124">
        <v>0</v>
      </c>
      <c r="H25" s="124">
        <v>0</v>
      </c>
      <c r="I25" s="124">
        <v>0</v>
      </c>
      <c r="J25" s="124">
        <v>259295.33</v>
      </c>
      <c r="K25" s="124">
        <v>216378.96</v>
      </c>
      <c r="L25" s="124">
        <v>475094.62</v>
      </c>
      <c r="M25" s="124">
        <v>173037.47</v>
      </c>
      <c r="N25" s="124">
        <f>IFERROR(VLOOKUP($D25,'2022年'!$D:AF,COLUMN(R19),FALSE),"")</f>
        <v>129734.62</v>
      </c>
      <c r="O25" s="135"/>
      <c r="P25" s="136">
        <v>396836.44</v>
      </c>
      <c r="Q25" s="136"/>
      <c r="R25" s="135"/>
      <c r="S25" s="136"/>
      <c r="T25" s="136"/>
      <c r="U25" s="145">
        <f t="shared" si="5"/>
        <v>1180377.44</v>
      </c>
      <c r="V25" s="9"/>
      <c r="W25" s="124"/>
      <c r="X25" s="124">
        <f>97349.27*2+97387.92+97368.6</f>
        <v>389455.06</v>
      </c>
      <c r="Y25" s="124">
        <f>86567.04+86567.04</f>
        <v>173134.08</v>
      </c>
      <c r="Z25" s="124"/>
      <c r="AA25" s="124"/>
      <c r="AB25" s="124"/>
      <c r="AC25" s="124"/>
      <c r="AD25" s="124"/>
      <c r="AE25" s="124"/>
      <c r="AF25" s="124"/>
      <c r="AG25" s="124"/>
      <c r="AH25" s="156"/>
      <c r="AI25" s="79"/>
      <c r="AJ25" s="79"/>
      <c r="AK25" s="79" t="s">
        <v>84</v>
      </c>
      <c r="AL25" s="7">
        <v>110000</v>
      </c>
      <c r="AM25" s="7"/>
      <c r="AN25" s="7">
        <v>1000000</v>
      </c>
      <c r="AO25" s="7">
        <v>70377.44</v>
      </c>
      <c r="AP25" s="7"/>
      <c r="AQ25" s="7"/>
      <c r="AR25" s="7"/>
      <c r="AS25" s="7"/>
      <c r="AT25" s="7"/>
      <c r="AU25" s="7"/>
      <c r="AV25" s="7"/>
      <c r="AW25" s="168"/>
      <c r="AX25" s="169">
        <f t="shared" si="6"/>
        <v>1742966.58</v>
      </c>
      <c r="AY25" s="170">
        <f t="shared" si="0"/>
        <v>1180377.44</v>
      </c>
      <c r="AZ25" s="171">
        <f t="shared" si="1"/>
        <v>562589.14</v>
      </c>
      <c r="BA25" s="172">
        <f t="shared" si="12"/>
        <v>165752.7</v>
      </c>
      <c r="BB25" s="172">
        <f>IF(AZ25-W25-V25-T25-Q25&gt;0,AZ25-W25-V25,0)</f>
        <v>562589.14</v>
      </c>
      <c r="BC25" s="173">
        <f t="shared" si="15"/>
        <v>1.16415321826935e-10</v>
      </c>
      <c r="BD25" s="108">
        <f>AZ25-Y25-X25-W25</f>
        <v>1.16415321826935e-10</v>
      </c>
      <c r="BE25" s="108">
        <f>IF(AZ25-SUM(X25:AG25)&gt;0,AZ25-SUM(X25:AG25),"")</f>
        <v>1.16415321826935e-10</v>
      </c>
      <c r="BF25" s="108">
        <f>IF($AZ25-SUM(Y25:$AG25)&gt;0,$AZ25-SUM(Y25:$AG25),"")</f>
        <v>389455.06</v>
      </c>
      <c r="BG25" s="108">
        <f>IF($AZ25-SUM(Z25:$AG25)&gt;0,$AZ25-SUM(Z25:$AG25),"")</f>
        <v>562589.14</v>
      </c>
      <c r="BH25" s="108">
        <f>IF($AZ25-SUM(AA25:$AG25)&gt;0,$AZ25-SUM(AA25:$AG25),"")</f>
        <v>562589.14</v>
      </c>
      <c r="BI25" s="108">
        <f>IF($AZ25-SUM(AB25:$AG25)&gt;0,$AZ25-SUM(AB25:$AG25),"")</f>
        <v>562589.14</v>
      </c>
      <c r="BJ25" s="108">
        <f>IF($AZ25-SUM(AC25:$AG25)&gt;0,$AZ25-SUM(AC25:$AG25),"")</f>
        <v>562589.14</v>
      </c>
      <c r="BK25" s="108">
        <f>IF($AZ25-SUM(AD25:$AG25)&gt;0,$AZ25-SUM(AD25:$AG25),"")</f>
        <v>562589.14</v>
      </c>
      <c r="BL25" s="108">
        <f>IF($AZ25-SUM(AE25:$AG25)&gt;0,$AZ25-SUM(AE25:$AG25),"")</f>
        <v>562589.14</v>
      </c>
      <c r="BM25" s="177" t="s">
        <v>241</v>
      </c>
      <c r="BN25" s="178"/>
      <c r="BO25" s="179"/>
      <c r="BP25" s="180">
        <f>IFERROR(VLOOKUP(D25,Sheet3!D:O,12,FALSE),"0")</f>
        <v>562589.14</v>
      </c>
      <c r="BQ25" s="180">
        <f t="shared" si="9"/>
        <v>0</v>
      </c>
      <c r="BS25" s="20">
        <f>VLOOKUP(D25,'2022年'!BI:BL,2,FALSE)</f>
        <v>1543038.18</v>
      </c>
      <c r="BT25" s="20">
        <f t="shared" si="10"/>
        <v>1543038.18</v>
      </c>
      <c r="BU25" s="20">
        <f t="shared" si="11"/>
        <v>0</v>
      </c>
    </row>
    <row r="26" s="20" customFormat="1" ht="24" customHeight="1" spans="2:73">
      <c r="B26" s="48" t="s">
        <v>81</v>
      </c>
      <c r="C26" s="91" t="s">
        <v>271</v>
      </c>
      <c r="D26" s="127" t="s">
        <v>272</v>
      </c>
      <c r="E26" s="123">
        <v>30758.4</v>
      </c>
      <c r="F26" s="124">
        <v>4214.9</v>
      </c>
      <c r="G26" s="124">
        <v>18419</v>
      </c>
      <c r="H26" s="124">
        <v>0</v>
      </c>
      <c r="I26" s="124">
        <v>0</v>
      </c>
      <c r="J26" s="124">
        <v>9957.56</v>
      </c>
      <c r="K26" s="124">
        <v>0</v>
      </c>
      <c r="L26" s="124">
        <v>17325.16</v>
      </c>
      <c r="M26" s="124">
        <v>0</v>
      </c>
      <c r="N26" s="124">
        <f>IFERROR(VLOOKUP($D26,'2022年'!$D:AF,COLUMN(R20),FALSE),"")</f>
        <v>14735.2</v>
      </c>
      <c r="O26" s="135">
        <v>9202.52</v>
      </c>
      <c r="P26" s="136">
        <v>6820.68</v>
      </c>
      <c r="Q26" s="136"/>
      <c r="R26" s="135"/>
      <c r="S26" s="136"/>
      <c r="T26" s="136"/>
      <c r="U26" s="145">
        <f t="shared" si="5"/>
        <v>30758.4</v>
      </c>
      <c r="V26" s="9">
        <v>7641.06</v>
      </c>
      <c r="W26" s="124"/>
      <c r="X26" s="124"/>
      <c r="Y26" s="124">
        <f>5654.52+6691.86</f>
        <v>12346.38</v>
      </c>
      <c r="Z26" s="124">
        <v>5525.7</v>
      </c>
      <c r="AA26" s="124"/>
      <c r="AB26" s="124"/>
      <c r="AC26" s="124"/>
      <c r="AD26" s="124"/>
      <c r="AE26" s="124"/>
      <c r="AF26" s="124"/>
      <c r="AG26" s="124"/>
      <c r="AH26" s="158"/>
      <c r="AI26" s="85"/>
      <c r="AJ26" s="79"/>
      <c r="AK26" s="79" t="s">
        <v>84</v>
      </c>
      <c r="AL26" s="159"/>
      <c r="AM26" s="159"/>
      <c r="AN26" s="159">
        <v>23000</v>
      </c>
      <c r="AO26" s="159"/>
      <c r="AP26" s="159">
        <v>15399.46</v>
      </c>
      <c r="AQ26" s="159"/>
      <c r="AR26" s="159"/>
      <c r="AS26" s="159"/>
      <c r="AT26" s="159"/>
      <c r="AU26" s="159"/>
      <c r="AV26" s="159"/>
      <c r="AW26" s="174"/>
      <c r="AX26" s="169">
        <f t="shared" si="6"/>
        <v>56271.54</v>
      </c>
      <c r="AY26" s="170">
        <f t="shared" si="0"/>
        <v>38399.46</v>
      </c>
      <c r="AZ26" s="171">
        <f t="shared" si="1"/>
        <v>17872.08</v>
      </c>
      <c r="BA26" s="172">
        <f t="shared" si="12"/>
        <v>3410.33999999999</v>
      </c>
      <c r="BB26" s="172">
        <f>IF(AZ26-W26-V26-T26-Q26&gt;0,AZ26-W26-V26,0)</f>
        <v>10231.02</v>
      </c>
      <c r="BC26" s="173" t="str">
        <f>IF(AZ26-SUM(V26:AG26)&gt;0,AZ26-SUM(V26:AG26),"")</f>
        <v/>
      </c>
      <c r="BD26" s="108" t="str">
        <f>IF(AZ26-SUM(W26:AG26)&gt;0,AZ26-SUM(W26:AG26),"")</f>
        <v/>
      </c>
      <c r="BE26" s="108" t="str">
        <f t="shared" si="17"/>
        <v/>
      </c>
      <c r="BF26" s="108">
        <f>IF(AZ26-SUM(Z26:AH26)&gt;0,AZ26-SUM(Z26:AH26),"")</f>
        <v>12346.38</v>
      </c>
      <c r="BG26" s="107"/>
      <c r="BH26" s="107"/>
      <c r="BI26" s="108">
        <f>IF($AZ26-SUM(AB26:$AG26)&gt;0,$AZ26-SUM(AB26:$AG26),"")</f>
        <v>17872.08</v>
      </c>
      <c r="BJ26" s="108">
        <f>IF($AZ26-SUM(AC26:$AG26)&gt;0,$AZ26-SUM(AC26:$AG26),"")</f>
        <v>17872.08</v>
      </c>
      <c r="BK26" s="108">
        <f>IF($AZ26-SUM(AD26:$AG26)&gt;0,$AZ26-SUM(AD26:$AG26),"")</f>
        <v>17872.08</v>
      </c>
      <c r="BL26" s="108">
        <f>IF($AZ26-SUM(AE26:$AG26)&gt;0,$AZ26-SUM(AE26:$AG26),"")</f>
        <v>17872.08</v>
      </c>
      <c r="BM26" s="184" t="s">
        <v>222</v>
      </c>
      <c r="BN26" s="182"/>
      <c r="BO26" s="179"/>
      <c r="BP26" s="180">
        <f>IFERROR(VLOOKUP(D26,Sheet3!D:O,12,FALSE),"0")</f>
        <v>17872.08</v>
      </c>
      <c r="BQ26" s="180">
        <f t="shared" si="9"/>
        <v>0</v>
      </c>
      <c r="BS26" s="20">
        <f>VLOOKUP(D26,'2022年'!BI:BL,2,FALSE)</f>
        <v>64651.82</v>
      </c>
      <c r="BT26" s="20">
        <f t="shared" si="10"/>
        <v>64651.82</v>
      </c>
      <c r="BU26" s="20">
        <f t="shared" si="11"/>
        <v>0</v>
      </c>
    </row>
    <row r="27" s="20" customFormat="1" ht="24" customHeight="1" spans="2:73">
      <c r="B27" s="48" t="s">
        <v>81</v>
      </c>
      <c r="C27" s="91" t="s">
        <v>274</v>
      </c>
      <c r="D27" s="127" t="s">
        <v>275</v>
      </c>
      <c r="E27" s="123">
        <v>270324.84</v>
      </c>
      <c r="F27" s="124">
        <v>0</v>
      </c>
      <c r="G27" s="124">
        <v>0</v>
      </c>
      <c r="H27" s="124">
        <v>0</v>
      </c>
      <c r="I27" s="124">
        <v>0</v>
      </c>
      <c r="J27" s="124">
        <v>0</v>
      </c>
      <c r="K27" s="124">
        <v>37916.02</v>
      </c>
      <c r="L27" s="124">
        <v>0</v>
      </c>
      <c r="M27" s="124">
        <v>62498.04</v>
      </c>
      <c r="N27" s="124">
        <f>IFERROR(VLOOKUP($D27,'2022年'!$D:AF,COLUMN(R21),FALSE),"")</f>
        <v>62498.04</v>
      </c>
      <c r="O27" s="135">
        <v>104163.4</v>
      </c>
      <c r="P27" s="136">
        <v>104163.4</v>
      </c>
      <c r="Q27" s="136"/>
      <c r="R27" s="135"/>
      <c r="S27" s="136">
        <v>24408</v>
      </c>
      <c r="T27" s="136"/>
      <c r="U27" s="145">
        <f t="shared" si="5"/>
        <v>294732.84</v>
      </c>
      <c r="V27" s="9"/>
      <c r="W27" s="124"/>
      <c r="X27" s="124"/>
      <c r="Y27" s="124">
        <v>56104.5</v>
      </c>
      <c r="Z27" s="124"/>
      <c r="AA27" s="124"/>
      <c r="AB27" s="124"/>
      <c r="AC27" s="124"/>
      <c r="AD27" s="124"/>
      <c r="AE27" s="124"/>
      <c r="AF27" s="124"/>
      <c r="AG27" s="124"/>
      <c r="AH27" s="158"/>
      <c r="AI27" s="85"/>
      <c r="AJ27" s="79"/>
      <c r="AK27" s="79" t="s">
        <v>84</v>
      </c>
      <c r="AL27" s="159">
        <v>270324.84</v>
      </c>
      <c r="AM27" s="159"/>
      <c r="AN27" s="159"/>
      <c r="AO27" s="159">
        <v>24408</v>
      </c>
      <c r="AP27" s="159"/>
      <c r="AQ27" s="159"/>
      <c r="AR27" s="159"/>
      <c r="AS27" s="159"/>
      <c r="AT27" s="159"/>
      <c r="AU27" s="159"/>
      <c r="AV27" s="159"/>
      <c r="AW27" s="174"/>
      <c r="AX27" s="169">
        <f t="shared" si="6"/>
        <v>350837.34</v>
      </c>
      <c r="AY27" s="170">
        <f t="shared" si="0"/>
        <v>294732.84</v>
      </c>
      <c r="AZ27" s="171">
        <f t="shared" si="1"/>
        <v>56104.5</v>
      </c>
      <c r="BA27" s="172">
        <f>IF(AZ27-V27&gt;0,AZ27-V27,0)</f>
        <v>56104.5</v>
      </c>
      <c r="BB27" s="172">
        <f>IF(AZ27-W27&gt;0,AZ27-W27,0)</f>
        <v>56104.5</v>
      </c>
      <c r="BC27" s="173"/>
      <c r="BD27" s="108"/>
      <c r="BE27" s="108"/>
      <c r="BF27" s="108"/>
      <c r="BG27" s="108"/>
      <c r="BH27" s="108"/>
      <c r="BI27" s="108">
        <f>IF($AZ27-SUM(AB27:$AG27)&gt;0,$AZ27-SUM(AB27:$AG27),"")</f>
        <v>56104.5</v>
      </c>
      <c r="BJ27" s="108">
        <f t="shared" ref="BJ27:BL27" si="18">IF($AZ27-SUM(AE27)&gt;0,$AZ27-SUM(AE27),"")</f>
        <v>56104.5</v>
      </c>
      <c r="BK27" s="108">
        <f t="shared" si="18"/>
        <v>56104.5</v>
      </c>
      <c r="BL27" s="108">
        <f t="shared" si="18"/>
        <v>56104.5</v>
      </c>
      <c r="BM27" s="177" t="s">
        <v>101</v>
      </c>
      <c r="BN27" s="182"/>
      <c r="BO27" s="179"/>
      <c r="BP27" s="180">
        <f>IFERROR(VLOOKUP(D27,Sheet3!D:O,12,FALSE),"0")</f>
        <v>56104.5</v>
      </c>
      <c r="BQ27" s="180">
        <f t="shared" si="9"/>
        <v>0</v>
      </c>
      <c r="BS27" s="20">
        <f>VLOOKUP(D27,'2022年'!BI:BL,2,FALSE)</f>
        <v>162912.1</v>
      </c>
      <c r="BT27" s="20">
        <f t="shared" si="10"/>
        <v>162912.1</v>
      </c>
      <c r="BU27" s="20">
        <f t="shared" si="11"/>
        <v>0</v>
      </c>
    </row>
    <row r="28" s="20" customFormat="1" ht="24" customHeight="1" spans="2:73">
      <c r="B28" s="42" t="s">
        <v>81</v>
      </c>
      <c r="C28" s="122" t="s">
        <v>114</v>
      </c>
      <c r="D28" s="43" t="s">
        <v>115</v>
      </c>
      <c r="E28" s="123"/>
      <c r="F28" s="124">
        <v>0</v>
      </c>
      <c r="G28" s="124">
        <v>0</v>
      </c>
      <c r="H28" s="124">
        <v>0</v>
      </c>
      <c r="I28" s="124">
        <v>0</v>
      </c>
      <c r="J28" s="124">
        <v>0</v>
      </c>
      <c r="K28" s="124">
        <v>0</v>
      </c>
      <c r="L28" s="124">
        <v>0</v>
      </c>
      <c r="M28" s="124">
        <v>0</v>
      </c>
      <c r="N28" s="124">
        <f>IFERROR(VLOOKUP($D28,'2022年'!$D:AF,COLUMN(R22),FALSE),"")</f>
        <v>0</v>
      </c>
      <c r="O28" s="135"/>
      <c r="P28" s="136"/>
      <c r="Q28" s="136"/>
      <c r="R28" s="135"/>
      <c r="S28" s="136"/>
      <c r="T28" s="136"/>
      <c r="U28" s="145">
        <f t="shared" si="5"/>
        <v>0</v>
      </c>
      <c r="V28" s="9"/>
      <c r="W28" s="124">
        <v>38483.28</v>
      </c>
      <c r="X28" s="124">
        <v>54242.04</v>
      </c>
      <c r="Y28" s="124">
        <v>24883.28</v>
      </c>
      <c r="Z28" s="124">
        <v>75926.51</v>
      </c>
      <c r="AA28" s="124"/>
      <c r="AB28" s="124"/>
      <c r="AC28" s="124"/>
      <c r="AD28" s="124"/>
      <c r="AE28" s="124"/>
      <c r="AF28" s="124"/>
      <c r="AG28" s="124"/>
      <c r="AH28" s="156"/>
      <c r="AI28" s="79"/>
      <c r="AJ28" s="79"/>
      <c r="AK28" s="79" t="s">
        <v>84</v>
      </c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168"/>
      <c r="AX28" s="169">
        <f t="shared" si="6"/>
        <v>193535.11</v>
      </c>
      <c r="AY28" s="170">
        <f t="shared" si="0"/>
        <v>0</v>
      </c>
      <c r="AZ28" s="171">
        <f t="shared" si="1"/>
        <v>193535.11</v>
      </c>
      <c r="BA28" s="172">
        <f>IF(AZ28-V28-T28-Q28-W28&gt;0,AZ28-V28-T28-Q28-W28,0)</f>
        <v>155051.83</v>
      </c>
      <c r="BB28" s="172">
        <f>IF(AZ28-W28-V28&gt;0,AZ28-W28-V28,0)</f>
        <v>155051.83</v>
      </c>
      <c r="BC28" s="173" t="str">
        <f>IF(AZ28-SUM(W28:AG28)&gt;0,AZ28-SUM(W28:AG28),"")</f>
        <v/>
      </c>
      <c r="BD28" s="108">
        <f>IF(AZ28-SUM(X28:AG28)&gt;0,AZ28-SUM(X28:AG28),"")</f>
        <v>38483.28</v>
      </c>
      <c r="BE28" s="108">
        <f t="shared" si="17"/>
        <v>92725.32</v>
      </c>
      <c r="BF28" s="108">
        <f>IF(AZ28-SUM(Z28:AH28)&gt;0,AZ28-SUM(Z28:AH28),"")</f>
        <v>117608.6</v>
      </c>
      <c r="BG28" s="108"/>
      <c r="BH28" s="108"/>
      <c r="BI28" s="108"/>
      <c r="BJ28" s="108"/>
      <c r="BK28" s="108"/>
      <c r="BL28" s="108"/>
      <c r="BM28" s="177" t="s">
        <v>85</v>
      </c>
      <c r="BN28" s="178"/>
      <c r="BO28" s="179"/>
      <c r="BP28" s="180">
        <f>IFERROR(VLOOKUP(D28,Sheet3!D:O,12,FALSE),"0")</f>
        <v>193535.11</v>
      </c>
      <c r="BQ28" s="180">
        <f t="shared" si="9"/>
        <v>0</v>
      </c>
      <c r="BS28" s="20">
        <f>VLOOKUP(D28,'2022年'!BI:BL,2,FALSE)</f>
        <v>0</v>
      </c>
      <c r="BT28" s="20">
        <f t="shared" si="10"/>
        <v>0</v>
      </c>
      <c r="BU28" s="20">
        <f t="shared" si="11"/>
        <v>0</v>
      </c>
    </row>
    <row r="29" s="20" customFormat="1" ht="24" customHeight="1" spans="2:73">
      <c r="B29" s="129"/>
      <c r="C29" s="91"/>
      <c r="D29" s="127" t="s">
        <v>287</v>
      </c>
      <c r="E29" s="123"/>
      <c r="F29" s="124" t="s">
        <v>286</v>
      </c>
      <c r="G29" s="124" t="s">
        <v>286</v>
      </c>
      <c r="H29" s="124" t="s">
        <v>286</v>
      </c>
      <c r="I29" s="124" t="s">
        <v>286</v>
      </c>
      <c r="J29" s="124" t="s">
        <v>286</v>
      </c>
      <c r="K29" s="124" t="s">
        <v>286</v>
      </c>
      <c r="L29" s="124" t="s">
        <v>286</v>
      </c>
      <c r="M29" s="124" t="s">
        <v>286</v>
      </c>
      <c r="N29" s="124" t="str">
        <f>IFERROR(VLOOKUP($D29,'2022年'!$D:AF,COLUMN(R23),FALSE),"")</f>
        <v/>
      </c>
      <c r="O29" s="135"/>
      <c r="P29" s="136"/>
      <c r="Q29" s="136"/>
      <c r="R29" s="135"/>
      <c r="S29" s="136">
        <v>19790.82</v>
      </c>
      <c r="T29" s="136">
        <v>32006.12</v>
      </c>
      <c r="U29" s="145">
        <f t="shared" si="5"/>
        <v>51796.94</v>
      </c>
      <c r="V29" s="9"/>
      <c r="W29" s="124"/>
      <c r="X29" s="124">
        <f>85684.51+13874.14+65263.15</f>
        <v>164821.8</v>
      </c>
      <c r="Y29" s="124">
        <f>64206.6+69817.05</f>
        <v>134023.65</v>
      </c>
      <c r="Z29" s="124"/>
      <c r="AA29" s="124"/>
      <c r="AB29" s="124"/>
      <c r="AC29" s="124"/>
      <c r="AD29" s="124"/>
      <c r="AE29" s="124"/>
      <c r="AF29" s="124"/>
      <c r="AG29" s="124"/>
      <c r="AH29" s="158"/>
      <c r="AI29" s="85"/>
      <c r="AJ29" s="79"/>
      <c r="AK29" s="79" t="s">
        <v>84</v>
      </c>
      <c r="AL29" s="159"/>
      <c r="AM29" s="159">
        <v>19790.82</v>
      </c>
      <c r="AN29" s="159"/>
      <c r="AO29" s="159"/>
      <c r="AP29" s="159">
        <v>20000</v>
      </c>
      <c r="AQ29" s="159"/>
      <c r="AR29" s="159"/>
      <c r="AS29" s="159"/>
      <c r="AT29" s="159"/>
      <c r="AU29" s="159"/>
      <c r="AV29" s="159"/>
      <c r="AW29" s="174"/>
      <c r="AX29" s="169">
        <f t="shared" si="6"/>
        <v>350642.39</v>
      </c>
      <c r="AY29" s="170">
        <f t="shared" si="0"/>
        <v>39790.82</v>
      </c>
      <c r="AZ29" s="171">
        <f t="shared" si="1"/>
        <v>310851.57</v>
      </c>
      <c r="BA29" s="172"/>
      <c r="BB29" s="172"/>
      <c r="BC29" s="173"/>
      <c r="BD29" s="108"/>
      <c r="BE29" s="108"/>
      <c r="BF29" s="108"/>
      <c r="BG29" s="108"/>
      <c r="BH29" s="108"/>
      <c r="BI29" s="108"/>
      <c r="BJ29" s="108"/>
      <c r="BK29" s="108"/>
      <c r="BL29" s="108"/>
      <c r="BM29" s="177"/>
      <c r="BN29" s="182"/>
      <c r="BO29" s="179"/>
      <c r="BP29" s="180">
        <f>IFERROR(VLOOKUP(D29,Sheet3!D:O,12,FALSE),"0")</f>
        <v>310851.57</v>
      </c>
      <c r="BQ29" s="180">
        <f t="shared" si="9"/>
        <v>0</v>
      </c>
      <c r="BS29" s="20" t="e">
        <f>VLOOKUP(D29,'2022年'!BI:BL,2,FALSE)</f>
        <v>#N/A</v>
      </c>
      <c r="BT29" s="20">
        <f t="shared" si="10"/>
        <v>0</v>
      </c>
      <c r="BU29" s="20" t="e">
        <f t="shared" si="11"/>
        <v>#N/A</v>
      </c>
    </row>
    <row r="30" s="20" customFormat="1" ht="24" customHeight="1" spans="2:73">
      <c r="B30" s="129"/>
      <c r="C30" s="91"/>
      <c r="D30" s="127" t="s">
        <v>288</v>
      </c>
      <c r="E30" s="123"/>
      <c r="F30" s="124" t="s">
        <v>286</v>
      </c>
      <c r="G30" s="124" t="s">
        <v>286</v>
      </c>
      <c r="H30" s="124" t="s">
        <v>286</v>
      </c>
      <c r="I30" s="124" t="s">
        <v>286</v>
      </c>
      <c r="J30" s="124" t="s">
        <v>286</v>
      </c>
      <c r="K30" s="124" t="s">
        <v>286</v>
      </c>
      <c r="L30" s="124" t="s">
        <v>286</v>
      </c>
      <c r="M30" s="124" t="s">
        <v>286</v>
      </c>
      <c r="N30" s="124" t="str">
        <f>IFERROR(VLOOKUP($D30,'2022年'!$D:AF,COLUMN(R24),FALSE),"")</f>
        <v/>
      </c>
      <c r="O30" s="135"/>
      <c r="P30" s="136"/>
      <c r="Q30" s="136"/>
      <c r="R30" s="135">
        <v>1531.82</v>
      </c>
      <c r="S30" s="136"/>
      <c r="T30" s="136">
        <v>1489.62</v>
      </c>
      <c r="U30" s="145">
        <f t="shared" si="5"/>
        <v>3021.44</v>
      </c>
      <c r="V30" s="9">
        <f>62489.03+45000.89+39869+32615.51</f>
        <v>179974.43</v>
      </c>
      <c r="W30" s="124">
        <v>4554.35</v>
      </c>
      <c r="X30" s="124">
        <v>158546.96</v>
      </c>
      <c r="Y30" s="124">
        <v>40061.43</v>
      </c>
      <c r="Z30" s="124"/>
      <c r="AA30" s="124"/>
      <c r="AB30" s="124"/>
      <c r="AC30" s="124"/>
      <c r="AD30" s="124"/>
      <c r="AE30" s="124"/>
      <c r="AF30" s="124"/>
      <c r="AG30" s="124"/>
      <c r="AH30" s="158"/>
      <c r="AI30" s="85"/>
      <c r="AJ30" s="79"/>
      <c r="AK30" s="79" t="s">
        <v>84</v>
      </c>
      <c r="AL30" s="159"/>
      <c r="AM30" s="159">
        <f>16873.13+143126.87</f>
        <v>160000</v>
      </c>
      <c r="AN30" s="159">
        <v>9200</v>
      </c>
      <c r="AO30" s="159"/>
      <c r="AP30" s="159"/>
      <c r="AQ30" s="159"/>
      <c r="AR30" s="159"/>
      <c r="AS30" s="159"/>
      <c r="AT30" s="159"/>
      <c r="AU30" s="159"/>
      <c r="AV30" s="159"/>
      <c r="AW30" s="174"/>
      <c r="AX30" s="169">
        <f t="shared" si="6"/>
        <v>386158.61</v>
      </c>
      <c r="AY30" s="170">
        <f t="shared" si="0"/>
        <v>169200</v>
      </c>
      <c r="AZ30" s="171">
        <f t="shared" si="1"/>
        <v>216958.61</v>
      </c>
      <c r="BA30" s="172">
        <f>IF(AZ30-V30-T30-Q30&gt;0,AZ30-V30-T30-Q30,0)</f>
        <v>35494.56</v>
      </c>
      <c r="BB30" s="172">
        <f>IF(AZ30-W30-V30&gt;0,AZ30-W30-V30,0)</f>
        <v>32429.83</v>
      </c>
      <c r="BC30" s="173"/>
      <c r="BD30" s="108"/>
      <c r="BE30" s="108"/>
      <c r="BF30" s="108"/>
      <c r="BG30" s="108"/>
      <c r="BH30" s="108"/>
      <c r="BI30" s="108"/>
      <c r="BJ30" s="108"/>
      <c r="BK30" s="108"/>
      <c r="BL30" s="108"/>
      <c r="BM30" s="177"/>
      <c r="BN30" s="182"/>
      <c r="BO30" s="179"/>
      <c r="BP30" s="180">
        <f>IFERROR(VLOOKUP(D30,Sheet3!D:O,12,FALSE),"0")</f>
        <v>216958.61</v>
      </c>
      <c r="BQ30" s="180">
        <f t="shared" si="9"/>
        <v>0</v>
      </c>
      <c r="BS30" s="20" t="e">
        <f>VLOOKUP(D30,'2022年'!BI:BL,2,FALSE)</f>
        <v>#N/A</v>
      </c>
      <c r="BT30" s="20">
        <f t="shared" si="10"/>
        <v>0</v>
      </c>
      <c r="BU30" s="20" t="e">
        <f t="shared" si="11"/>
        <v>#N/A</v>
      </c>
    </row>
    <row r="31" s="20" customFormat="1" ht="24" customHeight="1" spans="2:73">
      <c r="B31" s="129"/>
      <c r="C31" s="91"/>
      <c r="D31" s="127" t="s">
        <v>289</v>
      </c>
      <c r="E31" s="123"/>
      <c r="F31" s="124" t="s">
        <v>286</v>
      </c>
      <c r="G31" s="124" t="s">
        <v>286</v>
      </c>
      <c r="H31" s="124" t="s">
        <v>286</v>
      </c>
      <c r="I31" s="124" t="s">
        <v>286</v>
      </c>
      <c r="J31" s="124" t="s">
        <v>286</v>
      </c>
      <c r="K31" s="124" t="s">
        <v>286</v>
      </c>
      <c r="L31" s="124" t="s">
        <v>286</v>
      </c>
      <c r="M31" s="124" t="s">
        <v>286</v>
      </c>
      <c r="N31" s="124" t="str">
        <f>IFERROR(VLOOKUP($D31,'2022年'!$D:AF,COLUMN(R25),FALSE),"")</f>
        <v/>
      </c>
      <c r="O31" s="135"/>
      <c r="P31" s="136"/>
      <c r="Q31" s="136"/>
      <c r="R31" s="135"/>
      <c r="S31" s="136"/>
      <c r="T31" s="136"/>
      <c r="U31" s="145">
        <f t="shared" si="5"/>
        <v>0</v>
      </c>
      <c r="V31" s="9"/>
      <c r="W31" s="124"/>
      <c r="X31" s="124"/>
      <c r="Y31" s="124">
        <v>9155.89</v>
      </c>
      <c r="Z31" s="124">
        <f>16527.4</f>
        <v>16527.4</v>
      </c>
      <c r="AA31" s="124"/>
      <c r="AB31" s="124"/>
      <c r="AC31" s="124"/>
      <c r="AD31" s="124"/>
      <c r="AE31" s="124"/>
      <c r="AF31" s="124"/>
      <c r="AG31" s="124"/>
      <c r="AH31" s="158"/>
      <c r="AI31" s="85"/>
      <c r="AJ31" s="79"/>
      <c r="AK31" s="79"/>
      <c r="AL31" s="159"/>
      <c r="AM31" s="159"/>
      <c r="AN31" s="159"/>
      <c r="AO31" s="159"/>
      <c r="AP31" s="159"/>
      <c r="AQ31" s="159"/>
      <c r="AR31" s="159"/>
      <c r="AS31" s="159"/>
      <c r="AT31" s="159"/>
      <c r="AU31" s="159"/>
      <c r="AV31" s="159"/>
      <c r="AW31" s="174"/>
      <c r="AX31" s="169">
        <f t="shared" si="6"/>
        <v>25683.29</v>
      </c>
      <c r="AY31" s="170">
        <f t="shared" si="0"/>
        <v>0</v>
      </c>
      <c r="AZ31" s="171">
        <f t="shared" si="1"/>
        <v>25683.29</v>
      </c>
      <c r="BA31" s="172">
        <f>IF(AZ31-V31-T31-Q31&gt;0,AZ31-V31-T31-Q31,0)</f>
        <v>25683.29</v>
      </c>
      <c r="BB31" s="172">
        <f>IF(AZ31-W31-V31&gt;0,AZ31-W31-V31,0)</f>
        <v>25683.29</v>
      </c>
      <c r="BC31" s="173"/>
      <c r="BD31" s="108"/>
      <c r="BE31" s="108"/>
      <c r="BF31" s="108"/>
      <c r="BG31" s="108"/>
      <c r="BH31" s="108"/>
      <c r="BI31" s="108"/>
      <c r="BJ31" s="108"/>
      <c r="BK31" s="108"/>
      <c r="BL31" s="108"/>
      <c r="BM31" s="177"/>
      <c r="BN31" s="182"/>
      <c r="BO31" s="179"/>
      <c r="BP31" s="180">
        <f>IFERROR(VLOOKUP(D31,Sheet3!D:O,12,FALSE),"0")</f>
        <v>25683.29</v>
      </c>
      <c r="BQ31" s="180">
        <f t="shared" si="9"/>
        <v>0</v>
      </c>
      <c r="BS31" s="20" t="e">
        <f>VLOOKUP(D31,'2022年'!BI:BL,2,FALSE)</f>
        <v>#N/A</v>
      </c>
      <c r="BT31" s="20">
        <f t="shared" si="10"/>
        <v>0</v>
      </c>
      <c r="BU31" s="20" t="e">
        <f t="shared" si="11"/>
        <v>#N/A</v>
      </c>
    </row>
    <row r="32" s="20" customFormat="1" ht="24" customHeight="1" spans="2:73">
      <c r="B32" s="129"/>
      <c r="C32" s="90" t="s">
        <v>224</v>
      </c>
      <c r="D32" s="127" t="s">
        <v>225</v>
      </c>
      <c r="E32" s="123"/>
      <c r="F32" s="124">
        <v>45981.51</v>
      </c>
      <c r="G32" s="124">
        <v>0</v>
      </c>
      <c r="H32" s="124">
        <v>49586.66</v>
      </c>
      <c r="I32" s="124">
        <v>25069.28</v>
      </c>
      <c r="J32" s="124">
        <v>0</v>
      </c>
      <c r="K32" s="124">
        <v>0</v>
      </c>
      <c r="L32" s="124">
        <v>0</v>
      </c>
      <c r="M32" s="124">
        <v>0</v>
      </c>
      <c r="N32" s="124">
        <f>IFERROR(VLOOKUP($D32,'2022年'!$D:AF,COLUMN(R26),FALSE),"")</f>
        <v>0</v>
      </c>
      <c r="O32" s="135"/>
      <c r="P32" s="136"/>
      <c r="Q32" s="136"/>
      <c r="R32" s="135"/>
      <c r="S32" s="136"/>
      <c r="T32" s="136"/>
      <c r="U32" s="145">
        <f t="shared" si="5"/>
        <v>0</v>
      </c>
      <c r="V32" s="9"/>
      <c r="W32" s="124">
        <v>182408.67</v>
      </c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58"/>
      <c r="AI32" s="85"/>
      <c r="AJ32" s="79"/>
      <c r="AK32" s="79"/>
      <c r="AL32" s="159"/>
      <c r="AM32" s="159"/>
      <c r="AN32" s="159"/>
      <c r="AO32" s="159"/>
      <c r="AP32" s="159"/>
      <c r="AQ32" s="159"/>
      <c r="AR32" s="159"/>
      <c r="AS32" s="159"/>
      <c r="AT32" s="159"/>
      <c r="AU32" s="159"/>
      <c r="AV32" s="159"/>
      <c r="AW32" s="174"/>
      <c r="AX32" s="169">
        <f t="shared" si="6"/>
        <v>182408.67</v>
      </c>
      <c r="AY32" s="170">
        <f t="shared" si="0"/>
        <v>0</v>
      </c>
      <c r="AZ32" s="171">
        <f t="shared" si="1"/>
        <v>182408.67</v>
      </c>
      <c r="BA32" s="172">
        <f>IF(AZ32-V32-T32-Q32&gt;0,AZ32-V32-T32-Q32,0)</f>
        <v>182408.67</v>
      </c>
      <c r="BB32" s="172">
        <f>IF(AZ32-W32-V32&gt;0,AZ32-W32-V32,0)</f>
        <v>0</v>
      </c>
      <c r="BC32" s="173"/>
      <c r="BD32" s="108"/>
      <c r="BE32" s="108"/>
      <c r="BF32" s="108"/>
      <c r="BG32" s="108"/>
      <c r="BH32" s="108"/>
      <c r="BI32" s="108"/>
      <c r="BJ32" s="108"/>
      <c r="BK32" s="108"/>
      <c r="BL32" s="108"/>
      <c r="BM32" s="177"/>
      <c r="BN32" s="182"/>
      <c r="BO32" s="179"/>
      <c r="BP32" s="180">
        <f>IFERROR(VLOOKUP(D32,Sheet3!D:O,12,FALSE),"0")</f>
        <v>182408.67</v>
      </c>
      <c r="BQ32" s="180"/>
      <c r="BS32" s="20">
        <f>VLOOKUP(D32,'2022年'!BI:BL,2,FALSE)</f>
        <v>120637.45</v>
      </c>
      <c r="BT32" s="20">
        <f t="shared" si="10"/>
        <v>120637.45</v>
      </c>
      <c r="BU32" s="20">
        <f t="shared" si="11"/>
        <v>0</v>
      </c>
    </row>
    <row r="33" s="20" customFormat="1" ht="24" customHeight="1" spans="2:69">
      <c r="B33" s="129" t="s">
        <v>81</v>
      </c>
      <c r="C33" s="90" t="s">
        <v>186</v>
      </c>
      <c r="D33" s="126" t="s">
        <v>187</v>
      </c>
      <c r="E33" s="123">
        <v>-529156.53</v>
      </c>
      <c r="F33" s="124">
        <v>-2470056.46</v>
      </c>
      <c r="G33" s="124">
        <v>618379.18</v>
      </c>
      <c r="H33" s="124">
        <v>887948.4</v>
      </c>
      <c r="I33" s="124">
        <v>786347.46</v>
      </c>
      <c r="J33" s="124">
        <v>595184.04</v>
      </c>
      <c r="K33" s="124">
        <v>620126.64</v>
      </c>
      <c r="L33" s="124">
        <v>460665.15</v>
      </c>
      <c r="M33" s="124">
        <v>1219081.13</v>
      </c>
      <c r="N33" s="124">
        <f>IFERROR(VLOOKUP($D33,'2022年'!$D:AF,COLUMN(R27),FALSE),"")</f>
        <v>759894.65</v>
      </c>
      <c r="O33" s="135">
        <v>-701702.24</v>
      </c>
      <c r="P33" s="136"/>
      <c r="Q33" s="136">
        <v>790018.83</v>
      </c>
      <c r="R33" s="135"/>
      <c r="S33" s="136"/>
      <c r="T33" s="147">
        <v>373399.17</v>
      </c>
      <c r="U33" s="145">
        <f t="shared" si="5"/>
        <v>-155757.36</v>
      </c>
      <c r="V33" s="9">
        <v>300741.83</v>
      </c>
      <c r="W33" s="124">
        <f>461044.69-144754.7</f>
        <v>316289.99</v>
      </c>
      <c r="X33" s="124"/>
      <c r="Y33" s="124">
        <f>819082.18-1355243.22+1226746.88</f>
        <v>690585.84</v>
      </c>
      <c r="Z33" s="124">
        <f>111.19-633453.5</f>
        <v>-633342.31</v>
      </c>
      <c r="AA33" s="124"/>
      <c r="AB33" s="124"/>
      <c r="AC33" s="124"/>
      <c r="AD33" s="124"/>
      <c r="AE33" s="124"/>
      <c r="AF33" s="124"/>
      <c r="AG33" s="124"/>
      <c r="AH33" s="158"/>
      <c r="AI33" s="85"/>
      <c r="AJ33" s="79" t="s">
        <v>84</v>
      </c>
      <c r="AK33" s="79" t="s">
        <v>84</v>
      </c>
      <c r="AL33" s="159">
        <f>-150000-605026.79</f>
        <v>-755026.79</v>
      </c>
      <c r="AM33" s="159">
        <f>651000-340000</f>
        <v>311000</v>
      </c>
      <c r="AN33" s="159">
        <f>-455000+80000</f>
        <v>-375000</v>
      </c>
      <c r="AO33" s="159">
        <f>130000+50000</f>
        <v>180000</v>
      </c>
      <c r="AP33" s="159">
        <f>140000-704038.52+707049.37+910139.83</f>
        <v>1053150.68</v>
      </c>
      <c r="AQ33" s="159">
        <v>12006.12</v>
      </c>
      <c r="AR33" s="159"/>
      <c r="AS33" s="159"/>
      <c r="AT33" s="159"/>
      <c r="AU33" s="159"/>
      <c r="AV33" s="159"/>
      <c r="AW33" s="174"/>
      <c r="AX33" s="169">
        <f t="shared" si="6"/>
        <v>518517.99</v>
      </c>
      <c r="AY33" s="170">
        <f t="shared" si="0"/>
        <v>426130.01</v>
      </c>
      <c r="AZ33" s="171">
        <f t="shared" si="1"/>
        <v>92387.9799999999</v>
      </c>
      <c r="BA33" s="172">
        <f>IF(AZ33-V33-T33-Q33&gt;0,AZ33-V33-T33-Q33,0)</f>
        <v>0</v>
      </c>
      <c r="BB33" s="172">
        <f>IF(AZ33-W33-V33&gt;0,AZ33-W33-V33,0)</f>
        <v>0</v>
      </c>
      <c r="BC33" s="173" t="str">
        <f t="shared" ref="BC33:BC56" si="19">IF(AZ33-SUM(W33:AG33)&gt;0,AZ33-SUM(W33:AG33),"")</f>
        <v/>
      </c>
      <c r="BD33" s="108">
        <f>AZ33-Y33-X33</f>
        <v>-598197.86</v>
      </c>
      <c r="BE33" s="108">
        <f t="shared" ref="BE33:BE56" si="20">IF(AZ33-SUM(Y33:AG33)&gt;0,AZ33-SUM(Y33:AG33),"")</f>
        <v>35144.45</v>
      </c>
      <c r="BF33" s="108">
        <f>IF($AZ33-SUM(Z33:$AG33)&gt;0,$AZ33-SUM(Z33:$AG33),"")</f>
        <v>725730.29</v>
      </c>
      <c r="BG33" s="108">
        <f>IF($AZ33-SUM(AA33:$AG33)&gt;0,$AZ33-SUM(AA33:$AG33),"")</f>
        <v>92387.9799999999</v>
      </c>
      <c r="BH33" s="108">
        <f>IF($AZ33-SUM(AB33:$AG33)&gt;0,$AZ33-SUM(AB33:$AG33),"")</f>
        <v>92387.9799999999</v>
      </c>
      <c r="BI33" s="108">
        <f>IF($AZ33-SUM(AC33:$AG33)&gt;0,$AZ33-SUM(AC33:$AG33),"")</f>
        <v>92387.9799999999</v>
      </c>
      <c r="BJ33" s="108">
        <f>IF($AZ33-SUM(AD33:$AG33)&gt;0,$AZ33-SUM(AD33:$AG33),"")</f>
        <v>92387.9799999999</v>
      </c>
      <c r="BK33" s="108">
        <f>IF($AZ33-SUM(AE33:$AG33)&gt;0,$AZ33-SUM(AE33:$AG33),"")</f>
        <v>92387.9799999999</v>
      </c>
      <c r="BL33" s="108">
        <f>IF($AZ33-SUM(AF33:$AG33)&gt;0,$AZ33-SUM(AF33:$AG33),"")</f>
        <v>92387.9799999999</v>
      </c>
      <c r="BM33" s="181" t="s">
        <v>85</v>
      </c>
      <c r="BN33" s="182"/>
      <c r="BO33" s="179"/>
      <c r="BP33" s="180">
        <f>IFERROR(VLOOKUP(D33,Sheet3!D:O,12,FALSE),"0")</f>
        <v>104394.1</v>
      </c>
      <c r="BQ33" s="180">
        <f t="shared" ref="BQ33:BQ56" si="21">AZ33-BP33</f>
        <v>-12006.1200000001</v>
      </c>
    </row>
    <row r="34" s="20" customFormat="1" ht="24" customHeight="1" spans="2:69">
      <c r="B34" s="130"/>
      <c r="C34" s="90"/>
      <c r="D34" s="126" t="s">
        <v>290</v>
      </c>
      <c r="E34" s="123"/>
      <c r="F34" s="131"/>
      <c r="G34" s="124"/>
      <c r="H34" s="124"/>
      <c r="I34" s="124"/>
      <c r="J34" s="124"/>
      <c r="K34" s="124"/>
      <c r="L34" s="124"/>
      <c r="M34" s="124"/>
      <c r="N34" s="124"/>
      <c r="O34" s="135"/>
      <c r="P34" s="136"/>
      <c r="Q34" s="136"/>
      <c r="R34" s="135"/>
      <c r="S34" s="136"/>
      <c r="T34" s="147"/>
      <c r="U34" s="145">
        <f t="shared" si="5"/>
        <v>0</v>
      </c>
      <c r="V34" s="9"/>
      <c r="W34" s="124"/>
      <c r="X34" s="124">
        <f>53082.88+102416.42</f>
        <v>155499.3</v>
      </c>
      <c r="Y34" s="124"/>
      <c r="Z34" s="124"/>
      <c r="AA34" s="124"/>
      <c r="AB34" s="124"/>
      <c r="AC34" s="124"/>
      <c r="AD34" s="124"/>
      <c r="AE34" s="124"/>
      <c r="AF34" s="124"/>
      <c r="AG34" s="124"/>
      <c r="AH34" s="158"/>
      <c r="AI34" s="85"/>
      <c r="AJ34" s="79"/>
      <c r="AK34" s="79"/>
      <c r="AL34" s="159">
        <v>175000</v>
      </c>
      <c r="AM34" s="159"/>
      <c r="AN34" s="159"/>
      <c r="AO34" s="159"/>
      <c r="AP34" s="159"/>
      <c r="AQ34" s="159"/>
      <c r="AR34" s="159"/>
      <c r="AS34" s="159"/>
      <c r="AT34" s="159"/>
      <c r="AU34" s="159"/>
      <c r="AV34" s="159"/>
      <c r="AW34" s="174"/>
      <c r="AX34" s="169">
        <f t="shared" ref="AX34:AX73" si="22">SUM(U34:AG34)</f>
        <v>155499.3</v>
      </c>
      <c r="AY34" s="170">
        <f t="shared" ref="AY34:AY73" si="23">SUM(AL34:AW34)</f>
        <v>175000</v>
      </c>
      <c r="AZ34" s="171">
        <f t="shared" ref="AZ34:AZ73" si="24">AX34-AY34</f>
        <v>-19500.7</v>
      </c>
      <c r="BA34" s="172"/>
      <c r="BB34" s="172"/>
      <c r="BC34" s="173"/>
      <c r="BD34" s="108"/>
      <c r="BE34" s="108"/>
      <c r="BF34" s="108"/>
      <c r="BG34" s="108"/>
      <c r="BH34" s="108"/>
      <c r="BI34" s="108"/>
      <c r="BJ34" s="108"/>
      <c r="BK34" s="108"/>
      <c r="BL34" s="108"/>
      <c r="BM34" s="181"/>
      <c r="BN34" s="182"/>
      <c r="BO34" s="179"/>
      <c r="BP34" s="180">
        <f>IFERROR(VLOOKUP(D34,Sheet3!D:O,12,FALSE),"0")</f>
        <v>-19500.7</v>
      </c>
      <c r="BQ34" s="180">
        <f t="shared" ref="BQ34:BQ55" si="25">AZ34-BP34</f>
        <v>0</v>
      </c>
    </row>
    <row r="35" s="20" customFormat="1" ht="24" customHeight="1" spans="2:69">
      <c r="B35" s="130"/>
      <c r="C35" s="90"/>
      <c r="D35" s="126" t="s">
        <v>291</v>
      </c>
      <c r="E35" s="123"/>
      <c r="F35" s="131"/>
      <c r="G35" s="124"/>
      <c r="H35" s="124"/>
      <c r="I35" s="124"/>
      <c r="J35" s="124"/>
      <c r="K35" s="124"/>
      <c r="L35" s="124"/>
      <c r="M35" s="124"/>
      <c r="N35" s="124"/>
      <c r="O35" s="135"/>
      <c r="P35" s="136"/>
      <c r="Q35" s="136"/>
      <c r="R35" s="135"/>
      <c r="S35" s="136"/>
      <c r="T35" s="147"/>
      <c r="U35" s="145"/>
      <c r="V35" s="9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58"/>
      <c r="AI35" s="85"/>
      <c r="AJ35" s="79"/>
      <c r="AK35" s="79"/>
      <c r="AL35" s="159"/>
      <c r="AM35" s="159"/>
      <c r="AN35" s="159"/>
      <c r="AO35" s="159"/>
      <c r="AP35" s="159"/>
      <c r="AQ35" s="159"/>
      <c r="AR35" s="159"/>
      <c r="AS35" s="159"/>
      <c r="AT35" s="159"/>
      <c r="AU35" s="159"/>
      <c r="AV35" s="159"/>
      <c r="AW35" s="174"/>
      <c r="AX35" s="169">
        <f t="shared" si="22"/>
        <v>0</v>
      </c>
      <c r="AY35" s="170">
        <f t="shared" si="23"/>
        <v>0</v>
      </c>
      <c r="AZ35" s="171">
        <f t="shared" si="24"/>
        <v>0</v>
      </c>
      <c r="BA35" s="172"/>
      <c r="BB35" s="172"/>
      <c r="BC35" s="173"/>
      <c r="BD35" s="108"/>
      <c r="BE35" s="108"/>
      <c r="BF35" s="108"/>
      <c r="BG35" s="108"/>
      <c r="BH35" s="108"/>
      <c r="BI35" s="108"/>
      <c r="BJ35" s="108"/>
      <c r="BK35" s="108"/>
      <c r="BL35" s="108"/>
      <c r="BM35" s="181"/>
      <c r="BN35" s="182"/>
      <c r="BO35" s="179"/>
      <c r="BP35" s="180" t="str">
        <f>IFERROR(VLOOKUP(D35,Sheet3!D:O,12,FALSE),"0")</f>
        <v>0</v>
      </c>
      <c r="BQ35" s="180">
        <f t="shared" si="25"/>
        <v>0</v>
      </c>
    </row>
    <row r="36" s="20" customFormat="1" ht="24" customHeight="1" spans="2:69">
      <c r="B36" s="130"/>
      <c r="C36" s="90"/>
      <c r="D36" s="126" t="s">
        <v>292</v>
      </c>
      <c r="E36" s="123"/>
      <c r="F36" s="131"/>
      <c r="G36" s="124"/>
      <c r="H36" s="124"/>
      <c r="I36" s="124"/>
      <c r="J36" s="124"/>
      <c r="K36" s="124"/>
      <c r="L36" s="124"/>
      <c r="M36" s="124"/>
      <c r="N36" s="124"/>
      <c r="O36" s="135"/>
      <c r="P36" s="136"/>
      <c r="Q36" s="136"/>
      <c r="R36" s="135"/>
      <c r="S36" s="136"/>
      <c r="T36" s="147"/>
      <c r="U36" s="145"/>
      <c r="V36" s="9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58"/>
      <c r="AI36" s="85"/>
      <c r="AJ36" s="79"/>
      <c r="AK36" s="79"/>
      <c r="AL36" s="159"/>
      <c r="AM36" s="159"/>
      <c r="AN36" s="159"/>
      <c r="AO36" s="159"/>
      <c r="AP36" s="159"/>
      <c r="AQ36" s="159"/>
      <c r="AR36" s="159"/>
      <c r="AS36" s="159"/>
      <c r="AT36" s="159"/>
      <c r="AU36" s="159"/>
      <c r="AV36" s="159"/>
      <c r="AW36" s="174"/>
      <c r="AX36" s="169">
        <f t="shared" si="22"/>
        <v>0</v>
      </c>
      <c r="AY36" s="170">
        <f t="shared" si="23"/>
        <v>0</v>
      </c>
      <c r="AZ36" s="171">
        <f t="shared" si="24"/>
        <v>0</v>
      </c>
      <c r="BA36" s="172"/>
      <c r="BB36" s="172"/>
      <c r="BC36" s="173"/>
      <c r="BD36" s="108"/>
      <c r="BE36" s="108"/>
      <c r="BF36" s="108"/>
      <c r="BG36" s="108"/>
      <c r="BH36" s="108"/>
      <c r="BI36" s="108"/>
      <c r="BJ36" s="108"/>
      <c r="BK36" s="108"/>
      <c r="BL36" s="108"/>
      <c r="BM36" s="181"/>
      <c r="BN36" s="182"/>
      <c r="BO36" s="179"/>
      <c r="BP36" s="180" t="str">
        <f>IFERROR(VLOOKUP(D36,Sheet3!D:O,12,FALSE),"0")</f>
        <v>0</v>
      </c>
      <c r="BQ36" s="180">
        <f t="shared" si="25"/>
        <v>0</v>
      </c>
    </row>
    <row r="37" s="20" customFormat="1" ht="24" customHeight="1" spans="2:69">
      <c r="B37" s="130"/>
      <c r="C37" s="90"/>
      <c r="D37" s="126" t="s">
        <v>293</v>
      </c>
      <c r="E37" s="123"/>
      <c r="F37" s="131"/>
      <c r="G37" s="124"/>
      <c r="H37" s="124"/>
      <c r="I37" s="124"/>
      <c r="J37" s="124"/>
      <c r="K37" s="124"/>
      <c r="L37" s="124"/>
      <c r="M37" s="124"/>
      <c r="N37" s="124"/>
      <c r="O37" s="135"/>
      <c r="P37" s="136"/>
      <c r="Q37" s="136"/>
      <c r="R37" s="135"/>
      <c r="S37" s="136"/>
      <c r="T37" s="147"/>
      <c r="U37" s="145"/>
      <c r="V37" s="9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58"/>
      <c r="AI37" s="85"/>
      <c r="AJ37" s="79"/>
      <c r="AK37" s="79"/>
      <c r="AL37" s="159"/>
      <c r="AM37" s="159"/>
      <c r="AN37" s="159"/>
      <c r="AO37" s="159"/>
      <c r="AP37" s="159"/>
      <c r="AQ37" s="159"/>
      <c r="AR37" s="159"/>
      <c r="AS37" s="159"/>
      <c r="AT37" s="159"/>
      <c r="AU37" s="159"/>
      <c r="AV37" s="159"/>
      <c r="AW37" s="174"/>
      <c r="AX37" s="169">
        <f t="shared" si="22"/>
        <v>0</v>
      </c>
      <c r="AY37" s="170">
        <f t="shared" si="23"/>
        <v>0</v>
      </c>
      <c r="AZ37" s="171">
        <f t="shared" si="24"/>
        <v>0</v>
      </c>
      <c r="BA37" s="172"/>
      <c r="BB37" s="172"/>
      <c r="BC37" s="173"/>
      <c r="BD37" s="108"/>
      <c r="BE37" s="108"/>
      <c r="BF37" s="108"/>
      <c r="BG37" s="108"/>
      <c r="BH37" s="108"/>
      <c r="BI37" s="108"/>
      <c r="BJ37" s="108"/>
      <c r="BK37" s="108"/>
      <c r="BL37" s="108"/>
      <c r="BM37" s="181"/>
      <c r="BN37" s="182"/>
      <c r="BO37" s="179"/>
      <c r="BP37" s="180" t="str">
        <f>IFERROR(VLOOKUP(D37,Sheet3!D:O,12,FALSE),"0")</f>
        <v>0</v>
      </c>
      <c r="BQ37" s="180">
        <f t="shared" si="25"/>
        <v>0</v>
      </c>
    </row>
    <row r="38" s="20" customFormat="1" ht="24" customHeight="1" spans="2:69">
      <c r="B38" s="130"/>
      <c r="C38" s="90"/>
      <c r="D38" s="126" t="s">
        <v>294</v>
      </c>
      <c r="E38" s="123"/>
      <c r="F38" s="131"/>
      <c r="G38" s="124"/>
      <c r="H38" s="124"/>
      <c r="I38" s="124"/>
      <c r="J38" s="124"/>
      <c r="K38" s="124"/>
      <c r="L38" s="124"/>
      <c r="M38" s="124"/>
      <c r="N38" s="124"/>
      <c r="O38" s="135"/>
      <c r="P38" s="136"/>
      <c r="Q38" s="136"/>
      <c r="R38" s="135"/>
      <c r="S38" s="136"/>
      <c r="T38" s="147"/>
      <c r="U38" s="145"/>
      <c r="V38" s="9"/>
      <c r="W38" s="124"/>
      <c r="X38" s="124">
        <v>2948.62</v>
      </c>
      <c r="Y38" s="124"/>
      <c r="Z38" s="124"/>
      <c r="AA38" s="124"/>
      <c r="AB38" s="124"/>
      <c r="AC38" s="124"/>
      <c r="AD38" s="124"/>
      <c r="AE38" s="124"/>
      <c r="AF38" s="124"/>
      <c r="AG38" s="124"/>
      <c r="AH38" s="158"/>
      <c r="AI38" s="85"/>
      <c r="AJ38" s="79"/>
      <c r="AK38" s="79"/>
      <c r="AL38" s="159"/>
      <c r="AM38" s="159">
        <v>2948.62</v>
      </c>
      <c r="AN38" s="159"/>
      <c r="AO38" s="159"/>
      <c r="AP38" s="159"/>
      <c r="AQ38" s="159"/>
      <c r="AR38" s="159"/>
      <c r="AS38" s="159"/>
      <c r="AT38" s="159"/>
      <c r="AU38" s="159"/>
      <c r="AV38" s="159"/>
      <c r="AW38" s="174"/>
      <c r="AX38" s="169">
        <f t="shared" si="22"/>
        <v>2948.62</v>
      </c>
      <c r="AY38" s="170">
        <f t="shared" si="23"/>
        <v>2948.62</v>
      </c>
      <c r="AZ38" s="171">
        <f t="shared" si="24"/>
        <v>0</v>
      </c>
      <c r="BA38" s="172"/>
      <c r="BB38" s="172"/>
      <c r="BC38" s="173"/>
      <c r="BD38" s="108"/>
      <c r="BE38" s="108"/>
      <c r="BF38" s="108"/>
      <c r="BG38" s="108"/>
      <c r="BH38" s="108"/>
      <c r="BI38" s="108"/>
      <c r="BJ38" s="108"/>
      <c r="BK38" s="108"/>
      <c r="BL38" s="108"/>
      <c r="BM38" s="181"/>
      <c r="BN38" s="182"/>
      <c r="BO38" s="179"/>
      <c r="BP38" s="180">
        <f>IFERROR(VLOOKUP(D38,Sheet3!D:O,12,FALSE),"0")</f>
        <v>0</v>
      </c>
      <c r="BQ38" s="180">
        <f t="shared" si="25"/>
        <v>0</v>
      </c>
    </row>
    <row r="39" s="20" customFormat="1" ht="24" customHeight="1" spans="2:69">
      <c r="B39" s="130"/>
      <c r="C39" s="90"/>
      <c r="D39" s="126" t="s">
        <v>295</v>
      </c>
      <c r="E39" s="123"/>
      <c r="F39" s="131"/>
      <c r="G39" s="124"/>
      <c r="H39" s="124"/>
      <c r="I39" s="124"/>
      <c r="J39" s="124"/>
      <c r="K39" s="124"/>
      <c r="L39" s="124"/>
      <c r="M39" s="124"/>
      <c r="N39" s="124"/>
      <c r="O39" s="135"/>
      <c r="P39" s="136"/>
      <c r="Q39" s="136"/>
      <c r="R39" s="135"/>
      <c r="S39" s="136"/>
      <c r="T39" s="147"/>
      <c r="U39" s="145"/>
      <c r="V39" s="9"/>
      <c r="W39" s="124"/>
      <c r="X39" s="124">
        <v>37229.28</v>
      </c>
      <c r="Y39" s="124"/>
      <c r="Z39" s="124">
        <f>39229.2+76920+38844.6</f>
        <v>154993.8</v>
      </c>
      <c r="AA39" s="124"/>
      <c r="AB39" s="124"/>
      <c r="AC39" s="124"/>
      <c r="AD39" s="124"/>
      <c r="AE39" s="124"/>
      <c r="AF39" s="124"/>
      <c r="AG39" s="124"/>
      <c r="AH39" s="158"/>
      <c r="AI39" s="85"/>
      <c r="AJ39" s="79"/>
      <c r="AK39" s="79"/>
      <c r="AL39" s="159"/>
      <c r="AM39" s="159"/>
      <c r="AN39" s="159"/>
      <c r="AO39" s="159"/>
      <c r="AP39" s="159"/>
      <c r="AQ39" s="159"/>
      <c r="AR39" s="159"/>
      <c r="AS39" s="159"/>
      <c r="AT39" s="159"/>
      <c r="AU39" s="159"/>
      <c r="AV39" s="159"/>
      <c r="AW39" s="174"/>
      <c r="AX39" s="169">
        <f t="shared" si="22"/>
        <v>192223.08</v>
      </c>
      <c r="AY39" s="170">
        <f t="shared" si="23"/>
        <v>0</v>
      </c>
      <c r="AZ39" s="171">
        <f t="shared" si="24"/>
        <v>192223.08</v>
      </c>
      <c r="BA39" s="172"/>
      <c r="BB39" s="172"/>
      <c r="BC39" s="173"/>
      <c r="BD39" s="108"/>
      <c r="BE39" s="108"/>
      <c r="BF39" s="108"/>
      <c r="BG39" s="108"/>
      <c r="BH39" s="108"/>
      <c r="BI39" s="108"/>
      <c r="BJ39" s="108"/>
      <c r="BK39" s="108"/>
      <c r="BL39" s="108"/>
      <c r="BM39" s="181"/>
      <c r="BN39" s="182"/>
      <c r="BO39" s="179"/>
      <c r="BP39" s="180">
        <f>IFERROR(VLOOKUP(D39,Sheet3!D:O,12,FALSE),"0")</f>
        <v>192223.08</v>
      </c>
      <c r="BQ39" s="180">
        <f t="shared" si="25"/>
        <v>0</v>
      </c>
    </row>
    <row r="40" s="20" customFormat="1" ht="24" customHeight="1" spans="2:69">
      <c r="B40" s="130"/>
      <c r="C40" s="90"/>
      <c r="D40" s="126" t="s">
        <v>296</v>
      </c>
      <c r="E40" s="123"/>
      <c r="F40" s="131"/>
      <c r="G40" s="124"/>
      <c r="H40" s="124"/>
      <c r="I40" s="124"/>
      <c r="J40" s="124"/>
      <c r="K40" s="124"/>
      <c r="L40" s="124"/>
      <c r="M40" s="124"/>
      <c r="N40" s="124"/>
      <c r="O40" s="135"/>
      <c r="P40" s="136"/>
      <c r="Q40" s="136"/>
      <c r="R40" s="135"/>
      <c r="S40" s="136"/>
      <c r="T40" s="147"/>
      <c r="U40" s="145"/>
      <c r="V40" s="9"/>
      <c r="W40" s="124"/>
      <c r="X40" s="124"/>
      <c r="Y40" s="124"/>
      <c r="Z40" s="124"/>
      <c r="AA40" s="124"/>
      <c r="AB40" s="124"/>
      <c r="AC40" s="124"/>
      <c r="AD40" s="124"/>
      <c r="AE40" s="124"/>
      <c r="AF40" s="124"/>
      <c r="AG40" s="124"/>
      <c r="AH40" s="158"/>
      <c r="AI40" s="85"/>
      <c r="AJ40" s="79"/>
      <c r="AK40" s="79"/>
      <c r="AL40" s="159"/>
      <c r="AM40" s="159"/>
      <c r="AN40" s="159"/>
      <c r="AO40" s="159"/>
      <c r="AP40" s="159"/>
      <c r="AQ40" s="159"/>
      <c r="AR40" s="159"/>
      <c r="AS40" s="159"/>
      <c r="AT40" s="159"/>
      <c r="AU40" s="159"/>
      <c r="AV40" s="159"/>
      <c r="AW40" s="174"/>
      <c r="AX40" s="169">
        <f t="shared" si="22"/>
        <v>0</v>
      </c>
      <c r="AY40" s="170">
        <f t="shared" si="23"/>
        <v>0</v>
      </c>
      <c r="AZ40" s="171">
        <f t="shared" si="24"/>
        <v>0</v>
      </c>
      <c r="BA40" s="172"/>
      <c r="BB40" s="172"/>
      <c r="BC40" s="173"/>
      <c r="BD40" s="108"/>
      <c r="BE40" s="108"/>
      <c r="BF40" s="108"/>
      <c r="BG40" s="108"/>
      <c r="BH40" s="108"/>
      <c r="BI40" s="108"/>
      <c r="BJ40" s="108"/>
      <c r="BK40" s="108"/>
      <c r="BL40" s="108"/>
      <c r="BM40" s="181"/>
      <c r="BN40" s="182"/>
      <c r="BO40" s="179"/>
      <c r="BP40" s="180" t="str">
        <f>IFERROR(VLOOKUP(D40,Sheet3!D:O,12,FALSE),"0")</f>
        <v>0</v>
      </c>
      <c r="BQ40" s="180">
        <f t="shared" si="25"/>
        <v>0</v>
      </c>
    </row>
    <row r="41" s="20" customFormat="1" ht="24" customHeight="1" spans="2:69">
      <c r="B41" s="130"/>
      <c r="C41" s="90"/>
      <c r="D41" s="126" t="s">
        <v>297</v>
      </c>
      <c r="E41" s="123"/>
      <c r="F41" s="131"/>
      <c r="G41" s="124"/>
      <c r="H41" s="124"/>
      <c r="I41" s="124"/>
      <c r="J41" s="124"/>
      <c r="K41" s="124"/>
      <c r="L41" s="124"/>
      <c r="M41" s="124"/>
      <c r="N41" s="124"/>
      <c r="O41" s="135"/>
      <c r="P41" s="136"/>
      <c r="Q41" s="136"/>
      <c r="R41" s="135"/>
      <c r="S41" s="136"/>
      <c r="T41" s="147"/>
      <c r="U41" s="145"/>
      <c r="V41" s="9"/>
      <c r="W41" s="124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58"/>
      <c r="AI41" s="85"/>
      <c r="AJ41" s="79"/>
      <c r="AK41" s="7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74"/>
      <c r="AX41" s="169">
        <f t="shared" si="22"/>
        <v>0</v>
      </c>
      <c r="AY41" s="170">
        <f t="shared" si="23"/>
        <v>0</v>
      </c>
      <c r="AZ41" s="171">
        <f t="shared" si="24"/>
        <v>0</v>
      </c>
      <c r="BA41" s="172"/>
      <c r="BB41" s="172"/>
      <c r="BC41" s="173"/>
      <c r="BD41" s="108"/>
      <c r="BE41" s="108"/>
      <c r="BF41" s="108"/>
      <c r="BG41" s="108"/>
      <c r="BH41" s="108"/>
      <c r="BI41" s="108"/>
      <c r="BJ41" s="108"/>
      <c r="BK41" s="108"/>
      <c r="BL41" s="108"/>
      <c r="BM41" s="181"/>
      <c r="BN41" s="182"/>
      <c r="BO41" s="179"/>
      <c r="BP41" s="180" t="str">
        <f>IFERROR(VLOOKUP(D41,Sheet3!D:O,12,FALSE),"0")</f>
        <v>0</v>
      </c>
      <c r="BQ41" s="180">
        <f t="shared" si="25"/>
        <v>0</v>
      </c>
    </row>
    <row r="42" s="20" customFormat="1" ht="24" customHeight="1" spans="2:69">
      <c r="B42" s="130"/>
      <c r="C42" s="90"/>
      <c r="D42" s="126" t="s">
        <v>298</v>
      </c>
      <c r="E42" s="123"/>
      <c r="F42" s="131"/>
      <c r="G42" s="124"/>
      <c r="H42" s="124"/>
      <c r="I42" s="124"/>
      <c r="J42" s="124"/>
      <c r="K42" s="124"/>
      <c r="L42" s="124"/>
      <c r="M42" s="124"/>
      <c r="N42" s="124"/>
      <c r="O42" s="135"/>
      <c r="P42" s="136"/>
      <c r="Q42" s="136"/>
      <c r="R42" s="135"/>
      <c r="S42" s="136"/>
      <c r="T42" s="147"/>
      <c r="U42" s="145"/>
      <c r="V42" s="9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58"/>
      <c r="AI42" s="85"/>
      <c r="AJ42" s="79"/>
      <c r="AK42" s="79"/>
      <c r="AL42" s="159"/>
      <c r="AM42" s="159"/>
      <c r="AN42" s="159"/>
      <c r="AO42" s="159"/>
      <c r="AP42" s="159"/>
      <c r="AQ42" s="159"/>
      <c r="AR42" s="159"/>
      <c r="AS42" s="159"/>
      <c r="AT42" s="159"/>
      <c r="AU42" s="159"/>
      <c r="AV42" s="159"/>
      <c r="AW42" s="174"/>
      <c r="AX42" s="169">
        <f t="shared" si="22"/>
        <v>0</v>
      </c>
      <c r="AY42" s="170">
        <f t="shared" si="23"/>
        <v>0</v>
      </c>
      <c r="AZ42" s="171">
        <f t="shared" si="24"/>
        <v>0</v>
      </c>
      <c r="BA42" s="172"/>
      <c r="BB42" s="172"/>
      <c r="BC42" s="173"/>
      <c r="BD42" s="108"/>
      <c r="BE42" s="108"/>
      <c r="BF42" s="108"/>
      <c r="BG42" s="108"/>
      <c r="BH42" s="108"/>
      <c r="BI42" s="108"/>
      <c r="BJ42" s="108"/>
      <c r="BK42" s="108"/>
      <c r="BL42" s="108"/>
      <c r="BM42" s="181"/>
      <c r="BN42" s="182"/>
      <c r="BO42" s="179"/>
      <c r="BP42" s="180" t="str">
        <f>IFERROR(VLOOKUP(D42,Sheet3!D:O,12,FALSE),"0")</f>
        <v>0</v>
      </c>
      <c r="BQ42" s="180">
        <f t="shared" si="25"/>
        <v>0</v>
      </c>
    </row>
    <row r="43" s="20" customFormat="1" ht="24" customHeight="1" spans="2:69">
      <c r="B43" s="130"/>
      <c r="C43" s="90"/>
      <c r="D43" s="126" t="s">
        <v>299</v>
      </c>
      <c r="E43" s="123"/>
      <c r="F43" s="131"/>
      <c r="G43" s="124"/>
      <c r="H43" s="124"/>
      <c r="I43" s="124"/>
      <c r="J43" s="124"/>
      <c r="K43" s="124"/>
      <c r="L43" s="124"/>
      <c r="M43" s="124"/>
      <c r="N43" s="124"/>
      <c r="O43" s="135"/>
      <c r="P43" s="136"/>
      <c r="Q43" s="136"/>
      <c r="R43" s="135"/>
      <c r="S43" s="136"/>
      <c r="T43" s="147"/>
      <c r="U43" s="145"/>
      <c r="V43" s="9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58"/>
      <c r="AI43" s="85"/>
      <c r="AJ43" s="79"/>
      <c r="AK43" s="79"/>
      <c r="AL43" s="159"/>
      <c r="AM43" s="159"/>
      <c r="AN43" s="159"/>
      <c r="AO43" s="159"/>
      <c r="AP43" s="159"/>
      <c r="AQ43" s="159"/>
      <c r="AR43" s="159"/>
      <c r="AS43" s="159"/>
      <c r="AT43" s="159"/>
      <c r="AU43" s="159"/>
      <c r="AV43" s="159"/>
      <c r="AW43" s="174"/>
      <c r="AX43" s="169">
        <f t="shared" si="22"/>
        <v>0</v>
      </c>
      <c r="AY43" s="170">
        <f t="shared" si="23"/>
        <v>0</v>
      </c>
      <c r="AZ43" s="171">
        <f t="shared" si="24"/>
        <v>0</v>
      </c>
      <c r="BA43" s="172"/>
      <c r="BB43" s="172"/>
      <c r="BC43" s="173"/>
      <c r="BD43" s="108"/>
      <c r="BE43" s="108"/>
      <c r="BF43" s="108"/>
      <c r="BG43" s="108"/>
      <c r="BH43" s="108"/>
      <c r="BI43" s="108"/>
      <c r="BJ43" s="108"/>
      <c r="BK43" s="108"/>
      <c r="BL43" s="108"/>
      <c r="BM43" s="181"/>
      <c r="BN43" s="182"/>
      <c r="BO43" s="179"/>
      <c r="BP43" s="180" t="str">
        <f>IFERROR(VLOOKUP(D43,Sheet3!D:O,12,FALSE),"0")</f>
        <v>0</v>
      </c>
      <c r="BQ43" s="180">
        <f t="shared" si="25"/>
        <v>0</v>
      </c>
    </row>
    <row r="44" s="20" customFormat="1" ht="24" customHeight="1" spans="2:69">
      <c r="B44" s="130"/>
      <c r="C44" s="90"/>
      <c r="D44" s="126" t="s">
        <v>300</v>
      </c>
      <c r="E44" s="123"/>
      <c r="F44" s="131"/>
      <c r="G44" s="124"/>
      <c r="H44" s="124"/>
      <c r="I44" s="124"/>
      <c r="J44" s="124"/>
      <c r="K44" s="124"/>
      <c r="L44" s="124"/>
      <c r="M44" s="124"/>
      <c r="N44" s="124"/>
      <c r="O44" s="135"/>
      <c r="P44" s="136"/>
      <c r="Q44" s="136"/>
      <c r="R44" s="135"/>
      <c r="S44" s="136"/>
      <c r="T44" s="147"/>
      <c r="U44" s="145"/>
      <c r="V44" s="9"/>
      <c r="W44" s="124"/>
      <c r="X44" s="124"/>
      <c r="Y44" s="124">
        <v>68907.04</v>
      </c>
      <c r="Z44" s="124">
        <v>45297.08</v>
      </c>
      <c r="AA44" s="124"/>
      <c r="AB44" s="124"/>
      <c r="AC44" s="124"/>
      <c r="AD44" s="124"/>
      <c r="AE44" s="124"/>
      <c r="AF44" s="124"/>
      <c r="AG44" s="124"/>
      <c r="AH44" s="158"/>
      <c r="AI44" s="85"/>
      <c r="AJ44" s="79"/>
      <c r="AK44" s="79"/>
      <c r="AL44" s="159"/>
      <c r="AM44" s="159"/>
      <c r="AN44" s="159"/>
      <c r="AO44" s="159"/>
      <c r="AP44" s="159"/>
      <c r="AQ44" s="159"/>
      <c r="AR44" s="159"/>
      <c r="AS44" s="159"/>
      <c r="AT44" s="159"/>
      <c r="AU44" s="159"/>
      <c r="AV44" s="159"/>
      <c r="AW44" s="174"/>
      <c r="AX44" s="169">
        <f t="shared" si="22"/>
        <v>114204.12</v>
      </c>
      <c r="AY44" s="170">
        <f t="shared" si="23"/>
        <v>0</v>
      </c>
      <c r="AZ44" s="171">
        <f t="shared" si="24"/>
        <v>114204.12</v>
      </c>
      <c r="BA44" s="172"/>
      <c r="BB44" s="172"/>
      <c r="BC44" s="173"/>
      <c r="BD44" s="108"/>
      <c r="BE44" s="108"/>
      <c r="BF44" s="108"/>
      <c r="BG44" s="108"/>
      <c r="BH44" s="108"/>
      <c r="BI44" s="108"/>
      <c r="BJ44" s="108"/>
      <c r="BK44" s="108"/>
      <c r="BL44" s="108"/>
      <c r="BM44" s="181"/>
      <c r="BN44" s="182"/>
      <c r="BO44" s="179"/>
      <c r="BP44" s="180">
        <f>IFERROR(VLOOKUP(D44,Sheet3!D:O,12,FALSE),"0")</f>
        <v>114204.12</v>
      </c>
      <c r="BQ44" s="180">
        <f t="shared" si="25"/>
        <v>0</v>
      </c>
    </row>
    <row r="45" s="20" customFormat="1" ht="24" customHeight="1" spans="2:69">
      <c r="B45" s="130"/>
      <c r="C45" s="90"/>
      <c r="D45" s="126" t="s">
        <v>301</v>
      </c>
      <c r="E45" s="123"/>
      <c r="F45" s="131"/>
      <c r="G45" s="124"/>
      <c r="H45" s="124"/>
      <c r="I45" s="124"/>
      <c r="J45" s="124"/>
      <c r="K45" s="124"/>
      <c r="L45" s="124"/>
      <c r="M45" s="124"/>
      <c r="N45" s="124"/>
      <c r="O45" s="135"/>
      <c r="P45" s="136"/>
      <c r="Q45" s="136"/>
      <c r="R45" s="135"/>
      <c r="S45" s="136"/>
      <c r="T45" s="147"/>
      <c r="U45" s="145"/>
      <c r="V45" s="9"/>
      <c r="W45" s="124"/>
      <c r="X45" s="124"/>
      <c r="Y45" s="124">
        <f>62773.76</f>
        <v>62773.76</v>
      </c>
      <c r="Z45" s="124">
        <f>33664.96+78846.88</f>
        <v>112511.84</v>
      </c>
      <c r="AA45" s="124"/>
      <c r="AB45" s="124"/>
      <c r="AC45" s="124"/>
      <c r="AD45" s="124"/>
      <c r="AE45" s="124"/>
      <c r="AF45" s="124"/>
      <c r="AG45" s="124"/>
      <c r="AH45" s="158"/>
      <c r="AI45" s="85"/>
      <c r="AJ45" s="79"/>
      <c r="AK45" s="7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74"/>
      <c r="AX45" s="169">
        <f t="shared" si="22"/>
        <v>175285.6</v>
      </c>
      <c r="AY45" s="170">
        <f t="shared" si="23"/>
        <v>0</v>
      </c>
      <c r="AZ45" s="171">
        <f t="shared" si="24"/>
        <v>175285.6</v>
      </c>
      <c r="BA45" s="172"/>
      <c r="BB45" s="172"/>
      <c r="BC45" s="173"/>
      <c r="BD45" s="108"/>
      <c r="BE45" s="108"/>
      <c r="BF45" s="108"/>
      <c r="BG45" s="108"/>
      <c r="BH45" s="108"/>
      <c r="BI45" s="108"/>
      <c r="BJ45" s="108"/>
      <c r="BK45" s="108"/>
      <c r="BL45" s="108"/>
      <c r="BM45" s="181"/>
      <c r="BN45" s="182"/>
      <c r="BO45" s="179"/>
      <c r="BP45" s="180">
        <f>IFERROR(VLOOKUP(D45,Sheet3!D:O,12,FALSE),"0")</f>
        <v>175285.6</v>
      </c>
      <c r="BQ45" s="180">
        <f t="shared" si="25"/>
        <v>0</v>
      </c>
    </row>
    <row r="46" s="20" customFormat="1" ht="24" customHeight="1" spans="2:69">
      <c r="B46" s="130"/>
      <c r="C46" s="90"/>
      <c r="D46" s="126" t="s">
        <v>302</v>
      </c>
      <c r="E46" s="123"/>
      <c r="F46" s="131"/>
      <c r="G46" s="124"/>
      <c r="H46" s="124"/>
      <c r="I46" s="124"/>
      <c r="J46" s="124"/>
      <c r="K46" s="124"/>
      <c r="L46" s="124"/>
      <c r="M46" s="124"/>
      <c r="N46" s="124"/>
      <c r="O46" s="135"/>
      <c r="P46" s="136"/>
      <c r="Q46" s="136"/>
      <c r="R46" s="135"/>
      <c r="S46" s="136"/>
      <c r="T46" s="147"/>
      <c r="U46" s="145"/>
      <c r="V46" s="9"/>
      <c r="W46" s="124"/>
      <c r="X46" s="124"/>
      <c r="Y46" s="124"/>
      <c r="Z46" s="124"/>
      <c r="AA46" s="124"/>
      <c r="AB46" s="124"/>
      <c r="AC46" s="124"/>
      <c r="AD46" s="124"/>
      <c r="AE46" s="124"/>
      <c r="AF46" s="124"/>
      <c r="AG46" s="124"/>
      <c r="AH46" s="158"/>
      <c r="AI46" s="85"/>
      <c r="AJ46" s="79"/>
      <c r="AK46" s="79"/>
      <c r="AL46" s="159"/>
      <c r="AM46" s="159"/>
      <c r="AN46" s="159"/>
      <c r="AO46" s="159"/>
      <c r="AP46" s="159"/>
      <c r="AQ46" s="159"/>
      <c r="AR46" s="159"/>
      <c r="AS46" s="159"/>
      <c r="AT46" s="159"/>
      <c r="AU46" s="159"/>
      <c r="AV46" s="159"/>
      <c r="AW46" s="174"/>
      <c r="AX46" s="169">
        <f t="shared" si="22"/>
        <v>0</v>
      </c>
      <c r="AY46" s="170">
        <f t="shared" si="23"/>
        <v>0</v>
      </c>
      <c r="AZ46" s="171">
        <f t="shared" si="24"/>
        <v>0</v>
      </c>
      <c r="BA46" s="172"/>
      <c r="BB46" s="172"/>
      <c r="BC46" s="173"/>
      <c r="BD46" s="108"/>
      <c r="BE46" s="108"/>
      <c r="BF46" s="108"/>
      <c r="BG46" s="108"/>
      <c r="BH46" s="108"/>
      <c r="BI46" s="108"/>
      <c r="BJ46" s="108"/>
      <c r="BK46" s="108"/>
      <c r="BL46" s="108"/>
      <c r="BM46" s="181"/>
      <c r="BN46" s="182"/>
      <c r="BO46" s="179"/>
      <c r="BP46" s="180" t="str">
        <f>IFERROR(VLOOKUP(D46,Sheet3!D:O,12,FALSE),"0")</f>
        <v>0</v>
      </c>
      <c r="BQ46" s="180">
        <f t="shared" si="25"/>
        <v>0</v>
      </c>
    </row>
    <row r="47" s="20" customFormat="1" ht="24" customHeight="1" spans="2:69">
      <c r="B47" s="130"/>
      <c r="C47" s="90"/>
      <c r="D47" s="126" t="s">
        <v>303</v>
      </c>
      <c r="E47" s="123"/>
      <c r="F47" s="131"/>
      <c r="G47" s="124"/>
      <c r="H47" s="124"/>
      <c r="I47" s="124"/>
      <c r="J47" s="124"/>
      <c r="K47" s="124"/>
      <c r="L47" s="124"/>
      <c r="M47" s="124"/>
      <c r="N47" s="124"/>
      <c r="O47" s="135"/>
      <c r="P47" s="136"/>
      <c r="Q47" s="136"/>
      <c r="R47" s="135"/>
      <c r="S47" s="136"/>
      <c r="T47" s="147"/>
      <c r="U47" s="145"/>
      <c r="V47" s="9"/>
      <c r="W47" s="124"/>
      <c r="X47" s="124">
        <v>375.16</v>
      </c>
      <c r="Y47" s="124">
        <v>1283.68</v>
      </c>
      <c r="Z47" s="124"/>
      <c r="AA47" s="124"/>
      <c r="AB47" s="124"/>
      <c r="AC47" s="124"/>
      <c r="AD47" s="124"/>
      <c r="AE47" s="124"/>
      <c r="AF47" s="124"/>
      <c r="AG47" s="124"/>
      <c r="AH47" s="158"/>
      <c r="AI47" s="85"/>
      <c r="AJ47" s="79"/>
      <c r="AK47" s="79"/>
      <c r="AL47" s="159"/>
      <c r="AM47" s="159"/>
      <c r="AN47" s="159"/>
      <c r="AO47" s="159"/>
      <c r="AP47" s="159"/>
      <c r="AQ47" s="159"/>
      <c r="AR47" s="159"/>
      <c r="AS47" s="159"/>
      <c r="AT47" s="159"/>
      <c r="AU47" s="159"/>
      <c r="AV47" s="159"/>
      <c r="AW47" s="174"/>
      <c r="AX47" s="169">
        <f t="shared" si="22"/>
        <v>1658.84</v>
      </c>
      <c r="AY47" s="170">
        <f t="shared" si="23"/>
        <v>0</v>
      </c>
      <c r="AZ47" s="171">
        <f t="shared" si="24"/>
        <v>1658.84</v>
      </c>
      <c r="BA47" s="172"/>
      <c r="BB47" s="172"/>
      <c r="BC47" s="173"/>
      <c r="BD47" s="108"/>
      <c r="BE47" s="108"/>
      <c r="BF47" s="108"/>
      <c r="BG47" s="108"/>
      <c r="BH47" s="108"/>
      <c r="BI47" s="108"/>
      <c r="BJ47" s="108"/>
      <c r="BK47" s="108"/>
      <c r="BL47" s="108"/>
      <c r="BM47" s="181"/>
      <c r="BN47" s="182"/>
      <c r="BO47" s="179"/>
      <c r="BP47" s="180">
        <f>IFERROR(VLOOKUP(D47,Sheet3!D:O,12,FALSE),"0")</f>
        <v>1658.84</v>
      </c>
      <c r="BQ47" s="180">
        <f t="shared" si="25"/>
        <v>0</v>
      </c>
    </row>
    <row r="48" s="20" customFormat="1" ht="24" customHeight="1" spans="2:69">
      <c r="B48" s="130"/>
      <c r="C48" s="90"/>
      <c r="D48" s="126" t="s">
        <v>304</v>
      </c>
      <c r="E48" s="123"/>
      <c r="F48" s="131"/>
      <c r="G48" s="124"/>
      <c r="H48" s="124"/>
      <c r="I48" s="124"/>
      <c r="J48" s="124"/>
      <c r="K48" s="124"/>
      <c r="L48" s="124"/>
      <c r="M48" s="124"/>
      <c r="N48" s="124"/>
      <c r="O48" s="135"/>
      <c r="P48" s="136"/>
      <c r="Q48" s="136"/>
      <c r="R48" s="135"/>
      <c r="S48" s="136"/>
      <c r="T48" s="147"/>
      <c r="U48" s="145"/>
      <c r="V48" s="9"/>
      <c r="W48" s="124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58"/>
      <c r="AI48" s="85"/>
      <c r="AJ48" s="79"/>
      <c r="AK48" s="7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74"/>
      <c r="AX48" s="169">
        <f t="shared" si="22"/>
        <v>0</v>
      </c>
      <c r="AY48" s="170">
        <f t="shared" si="23"/>
        <v>0</v>
      </c>
      <c r="AZ48" s="171">
        <f t="shared" si="24"/>
        <v>0</v>
      </c>
      <c r="BA48" s="172"/>
      <c r="BB48" s="172"/>
      <c r="BC48" s="173"/>
      <c r="BD48" s="108"/>
      <c r="BE48" s="108"/>
      <c r="BF48" s="108"/>
      <c r="BG48" s="108"/>
      <c r="BH48" s="108"/>
      <c r="BI48" s="108"/>
      <c r="BJ48" s="108"/>
      <c r="BK48" s="108"/>
      <c r="BL48" s="108"/>
      <c r="BM48" s="181"/>
      <c r="BN48" s="182"/>
      <c r="BO48" s="179"/>
      <c r="BP48" s="180" t="str">
        <f>IFERROR(VLOOKUP(D48,Sheet3!D:O,12,FALSE),"0")</f>
        <v>0</v>
      </c>
      <c r="BQ48" s="180">
        <f t="shared" si="25"/>
        <v>0</v>
      </c>
    </row>
    <row r="49" s="20" customFormat="1" ht="24" customHeight="1" spans="2:69">
      <c r="B49" s="130"/>
      <c r="C49" s="90"/>
      <c r="D49" s="126" t="s">
        <v>305</v>
      </c>
      <c r="E49" s="123"/>
      <c r="F49" s="131"/>
      <c r="G49" s="124"/>
      <c r="H49" s="124"/>
      <c r="I49" s="124"/>
      <c r="J49" s="124"/>
      <c r="K49" s="124"/>
      <c r="L49" s="124"/>
      <c r="M49" s="124"/>
      <c r="N49" s="124"/>
      <c r="O49" s="135"/>
      <c r="P49" s="136"/>
      <c r="Q49" s="136"/>
      <c r="R49" s="135"/>
      <c r="S49" s="136"/>
      <c r="T49" s="147"/>
      <c r="U49" s="145"/>
      <c r="V49" s="9"/>
      <c r="W49" s="124"/>
      <c r="X49" s="124"/>
      <c r="Y49" s="124">
        <v>322369.79</v>
      </c>
      <c r="Z49" s="124"/>
      <c r="AA49" s="124"/>
      <c r="AB49" s="124"/>
      <c r="AC49" s="124"/>
      <c r="AD49" s="124"/>
      <c r="AE49" s="124"/>
      <c r="AF49" s="124"/>
      <c r="AG49" s="124"/>
      <c r="AH49" s="158"/>
      <c r="AI49" s="85"/>
      <c r="AJ49" s="79"/>
      <c r="AK49" s="79"/>
      <c r="AL49" s="159"/>
      <c r="AM49" s="159"/>
      <c r="AN49" s="159"/>
      <c r="AO49" s="159"/>
      <c r="AP49" s="159"/>
      <c r="AQ49" s="159"/>
      <c r="AR49" s="159"/>
      <c r="AS49" s="159"/>
      <c r="AT49" s="159"/>
      <c r="AU49" s="159"/>
      <c r="AV49" s="159"/>
      <c r="AW49" s="174"/>
      <c r="AX49" s="169">
        <f t="shared" si="22"/>
        <v>322369.79</v>
      </c>
      <c r="AY49" s="170">
        <f t="shared" si="23"/>
        <v>0</v>
      </c>
      <c r="AZ49" s="171">
        <f t="shared" si="24"/>
        <v>322369.79</v>
      </c>
      <c r="BA49" s="172"/>
      <c r="BB49" s="172"/>
      <c r="BC49" s="173"/>
      <c r="BD49" s="108"/>
      <c r="BE49" s="108"/>
      <c r="BF49" s="108"/>
      <c r="BG49" s="108"/>
      <c r="BH49" s="108"/>
      <c r="BI49" s="108"/>
      <c r="BJ49" s="108"/>
      <c r="BK49" s="108"/>
      <c r="BL49" s="108"/>
      <c r="BM49" s="181"/>
      <c r="BN49" s="182"/>
      <c r="BO49" s="179"/>
      <c r="BP49" s="180">
        <f>IFERROR(VLOOKUP(D49,Sheet3!D:O,12,FALSE),"0")</f>
        <v>322369.79</v>
      </c>
      <c r="BQ49" s="180">
        <f t="shared" si="25"/>
        <v>0</v>
      </c>
    </row>
    <row r="50" s="20" customFormat="1" ht="24" customHeight="1" spans="2:69">
      <c r="B50" s="130"/>
      <c r="C50" s="90"/>
      <c r="D50" s="126" t="s">
        <v>306</v>
      </c>
      <c r="E50" s="123"/>
      <c r="F50" s="131"/>
      <c r="G50" s="124"/>
      <c r="H50" s="124"/>
      <c r="I50" s="124"/>
      <c r="J50" s="124"/>
      <c r="K50" s="124"/>
      <c r="L50" s="124"/>
      <c r="M50" s="124"/>
      <c r="N50" s="124"/>
      <c r="O50" s="135"/>
      <c r="P50" s="136"/>
      <c r="Q50" s="136"/>
      <c r="R50" s="135"/>
      <c r="S50" s="136"/>
      <c r="T50" s="147"/>
      <c r="U50" s="145"/>
      <c r="V50" s="9"/>
      <c r="W50" s="124"/>
      <c r="X50" s="124">
        <v>20566</v>
      </c>
      <c r="Y50" s="124"/>
      <c r="Z50" s="124"/>
      <c r="AA50" s="124"/>
      <c r="AB50" s="124"/>
      <c r="AC50" s="124"/>
      <c r="AD50" s="124"/>
      <c r="AE50" s="124"/>
      <c r="AF50" s="124"/>
      <c r="AG50" s="124"/>
      <c r="AH50" s="158"/>
      <c r="AI50" s="85"/>
      <c r="AJ50" s="79"/>
      <c r="AK50" s="79"/>
      <c r="AL50" s="159"/>
      <c r="AM50" s="159"/>
      <c r="AN50" s="159"/>
      <c r="AO50" s="159"/>
      <c r="AP50" s="159"/>
      <c r="AQ50" s="159"/>
      <c r="AR50" s="159"/>
      <c r="AS50" s="159"/>
      <c r="AT50" s="159"/>
      <c r="AU50" s="159"/>
      <c r="AV50" s="159"/>
      <c r="AW50" s="174"/>
      <c r="AX50" s="169">
        <f t="shared" si="22"/>
        <v>20566</v>
      </c>
      <c r="AY50" s="170">
        <f t="shared" si="23"/>
        <v>0</v>
      </c>
      <c r="AZ50" s="171">
        <f t="shared" si="24"/>
        <v>20566</v>
      </c>
      <c r="BA50" s="172"/>
      <c r="BB50" s="172"/>
      <c r="BC50" s="173"/>
      <c r="BD50" s="108"/>
      <c r="BE50" s="108"/>
      <c r="BF50" s="108"/>
      <c r="BG50" s="108"/>
      <c r="BH50" s="108"/>
      <c r="BI50" s="108"/>
      <c r="BJ50" s="108"/>
      <c r="BK50" s="108"/>
      <c r="BL50" s="108"/>
      <c r="BM50" s="181"/>
      <c r="BN50" s="182"/>
      <c r="BO50" s="179"/>
      <c r="BP50" s="180">
        <f>IFERROR(VLOOKUP(D50,Sheet3!D:O,12,FALSE),"0")</f>
        <v>20566</v>
      </c>
      <c r="BQ50" s="180">
        <f t="shared" si="25"/>
        <v>0</v>
      </c>
    </row>
    <row r="51" s="20" customFormat="1" ht="24" customHeight="1" spans="2:69">
      <c r="B51" s="42"/>
      <c r="C51" s="122"/>
      <c r="D51" s="43" t="s">
        <v>307</v>
      </c>
      <c r="E51" s="123">
        <v>0</v>
      </c>
      <c r="F51" s="9"/>
      <c r="G51" s="124"/>
      <c r="H51" s="124"/>
      <c r="I51" s="124"/>
      <c r="J51" s="124"/>
      <c r="K51" s="124"/>
      <c r="L51" s="124"/>
      <c r="M51" s="124"/>
      <c r="N51" s="124"/>
      <c r="O51" s="135"/>
      <c r="P51" s="136"/>
      <c r="Q51" s="136"/>
      <c r="R51" s="135"/>
      <c r="S51" s="136"/>
      <c r="T51" s="136"/>
      <c r="U51" s="145">
        <f t="shared" ref="U51:U56" si="26">SUM(R51:T51)+E51</f>
        <v>0</v>
      </c>
      <c r="V51" s="9"/>
      <c r="W51" s="124"/>
      <c r="X51" s="124">
        <f>46371.58+6956.45+2186.12</f>
        <v>55514.15</v>
      </c>
      <c r="Y51" s="124"/>
      <c r="Z51" s="124"/>
      <c r="AA51" s="124"/>
      <c r="AB51" s="124"/>
      <c r="AC51" s="124"/>
      <c r="AD51" s="124"/>
      <c r="AE51" s="124"/>
      <c r="AF51" s="124"/>
      <c r="AG51" s="124"/>
      <c r="AH51" s="156"/>
      <c r="AI51" s="162"/>
      <c r="AJ51" s="79"/>
      <c r="AK51" s="79" t="s">
        <v>84</v>
      </c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168"/>
      <c r="AX51" s="169">
        <f t="shared" si="22"/>
        <v>55514.15</v>
      </c>
      <c r="AY51" s="170">
        <f t="shared" si="23"/>
        <v>0</v>
      </c>
      <c r="AZ51" s="171">
        <f t="shared" si="24"/>
        <v>55514.15</v>
      </c>
      <c r="BA51" s="172" t="str">
        <f t="shared" ref="BA51:BA56" si="27">IF(AZ51-SUM(V51:AG51)+T51&gt;0,AZ51-SUM(V51:AG51)+T51,"")</f>
        <v/>
      </c>
      <c r="BB51" s="172" t="str">
        <f t="shared" ref="BB51:BB56" si="28">IF(AZ51-SUM(V51:AG51)&gt;0,AZ51-SUM(V51:AG51),"")</f>
        <v/>
      </c>
      <c r="BC51" s="173" t="str">
        <f t="shared" si="19"/>
        <v/>
      </c>
      <c r="BD51" s="108" t="str">
        <f t="shared" ref="BD51:BD56" si="29">IF(AZ51-SUM(X51:AG51)&gt;0,AZ51-SUM(X51:AG51),"")</f>
        <v/>
      </c>
      <c r="BE51" s="108">
        <f t="shared" si="20"/>
        <v>55514.15</v>
      </c>
      <c r="BF51" s="108">
        <f t="shared" ref="BF51:BF56" si="30">IF(AZ51-SUM(Z51:AH51)&gt;0,AZ51-SUM(Z51:AH51),"")</f>
        <v>55514.15</v>
      </c>
      <c r="BG51" s="108"/>
      <c r="BH51" s="108"/>
      <c r="BI51" s="108"/>
      <c r="BJ51" s="108"/>
      <c r="BK51" s="108"/>
      <c r="BL51" s="108"/>
      <c r="BM51" s="177" t="s">
        <v>85</v>
      </c>
      <c r="BN51" s="178"/>
      <c r="BO51" s="179"/>
      <c r="BP51" s="180">
        <f>IFERROR(VLOOKUP(D51,Sheet3!D:O,12,FALSE),"0")</f>
        <v>55514.15</v>
      </c>
      <c r="BQ51" s="180">
        <f t="shared" si="25"/>
        <v>0</v>
      </c>
    </row>
    <row r="52" s="20" customFormat="1" ht="24" customHeight="1" spans="1:69">
      <c r="A52" s="132"/>
      <c r="B52" s="42"/>
      <c r="C52" s="122"/>
      <c r="D52" s="43" t="s">
        <v>87</v>
      </c>
      <c r="E52" s="123">
        <v>0</v>
      </c>
      <c r="F52" s="9"/>
      <c r="G52" s="124"/>
      <c r="H52" s="124"/>
      <c r="I52" s="124"/>
      <c r="J52" s="124"/>
      <c r="K52" s="124"/>
      <c r="L52" s="124"/>
      <c r="M52" s="124"/>
      <c r="N52" s="124"/>
      <c r="O52" s="135"/>
      <c r="P52" s="136"/>
      <c r="Q52" s="136"/>
      <c r="R52" s="135"/>
      <c r="S52" s="136"/>
      <c r="T52" s="136"/>
      <c r="U52" s="145">
        <f t="shared" si="26"/>
        <v>0</v>
      </c>
      <c r="V52" s="9"/>
      <c r="W52" s="124"/>
      <c r="X52" s="124"/>
      <c r="Y52" s="124"/>
      <c r="Z52" s="124"/>
      <c r="AA52" s="124"/>
      <c r="AB52" s="150"/>
      <c r="AC52" s="150"/>
      <c r="AD52" s="124"/>
      <c r="AE52" s="124"/>
      <c r="AF52" s="124"/>
      <c r="AG52" s="124"/>
      <c r="AH52" s="156"/>
      <c r="AI52" s="79"/>
      <c r="AJ52" s="79"/>
      <c r="AK52" s="79" t="s">
        <v>84</v>
      </c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168"/>
      <c r="AX52" s="169">
        <f t="shared" si="22"/>
        <v>0</v>
      </c>
      <c r="AY52" s="170">
        <f t="shared" si="23"/>
        <v>0</v>
      </c>
      <c r="AZ52" s="171">
        <f t="shared" si="24"/>
        <v>0</v>
      </c>
      <c r="BA52" s="172" t="str">
        <f t="shared" si="27"/>
        <v/>
      </c>
      <c r="BB52" s="172" t="str">
        <f t="shared" si="28"/>
        <v/>
      </c>
      <c r="BC52" s="173" t="str">
        <f t="shared" si="19"/>
        <v/>
      </c>
      <c r="BD52" s="108" t="str">
        <f t="shared" si="29"/>
        <v/>
      </c>
      <c r="BE52" s="108" t="str">
        <f t="shared" si="20"/>
        <v/>
      </c>
      <c r="BF52" s="108" t="str">
        <f t="shared" si="30"/>
        <v/>
      </c>
      <c r="BG52" s="108"/>
      <c r="BH52" s="108"/>
      <c r="BI52" s="108"/>
      <c r="BJ52" s="108"/>
      <c r="BK52" s="108"/>
      <c r="BL52" s="108"/>
      <c r="BM52" s="177" t="s">
        <v>85</v>
      </c>
      <c r="BN52" s="178"/>
      <c r="BO52" s="179"/>
      <c r="BP52" s="180">
        <f>IFERROR(VLOOKUP(D52,Sheet3!D:O,12,FALSE),"0")</f>
        <v>0</v>
      </c>
      <c r="BQ52" s="180">
        <f t="shared" si="25"/>
        <v>0</v>
      </c>
    </row>
    <row r="53" s="20" customFormat="1" ht="24" customHeight="1" spans="2:69">
      <c r="B53" s="42"/>
      <c r="C53" s="122"/>
      <c r="D53" s="43" t="s">
        <v>89</v>
      </c>
      <c r="E53" s="123">
        <v>0</v>
      </c>
      <c r="F53" s="9"/>
      <c r="G53" s="124"/>
      <c r="H53" s="124"/>
      <c r="I53" s="124"/>
      <c r="J53" s="124"/>
      <c r="K53" s="124"/>
      <c r="L53" s="124"/>
      <c r="M53" s="124"/>
      <c r="N53" s="124"/>
      <c r="O53" s="135"/>
      <c r="P53" s="136"/>
      <c r="Q53" s="136"/>
      <c r="R53" s="135"/>
      <c r="S53" s="136"/>
      <c r="T53" s="136"/>
      <c r="U53" s="145">
        <f t="shared" si="26"/>
        <v>0</v>
      </c>
      <c r="V53" s="9"/>
      <c r="W53" s="124"/>
      <c r="X53" s="124"/>
      <c r="Y53" s="124"/>
      <c r="Z53" s="124"/>
      <c r="AA53" s="124"/>
      <c r="AB53" s="124"/>
      <c r="AC53" s="124"/>
      <c r="AD53" s="124"/>
      <c r="AE53" s="124"/>
      <c r="AF53" s="124"/>
      <c r="AG53" s="124"/>
      <c r="AH53" s="156"/>
      <c r="AI53" s="79"/>
      <c r="AJ53" s="79"/>
      <c r="AK53" s="79" t="s">
        <v>84</v>
      </c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168"/>
      <c r="AX53" s="169">
        <f t="shared" si="22"/>
        <v>0</v>
      </c>
      <c r="AY53" s="170">
        <f t="shared" si="23"/>
        <v>0</v>
      </c>
      <c r="AZ53" s="171">
        <f t="shared" si="24"/>
        <v>0</v>
      </c>
      <c r="BA53" s="172" t="str">
        <f t="shared" si="27"/>
        <v/>
      </c>
      <c r="BB53" s="172" t="str">
        <f t="shared" si="28"/>
        <v/>
      </c>
      <c r="BC53" s="173" t="str">
        <f t="shared" si="19"/>
        <v/>
      </c>
      <c r="BD53" s="108" t="str">
        <f t="shared" si="29"/>
        <v/>
      </c>
      <c r="BE53" s="108" t="str">
        <f t="shared" si="20"/>
        <v/>
      </c>
      <c r="BF53" s="108" t="str">
        <f t="shared" si="30"/>
        <v/>
      </c>
      <c r="BG53" s="108"/>
      <c r="BH53" s="108"/>
      <c r="BI53" s="108"/>
      <c r="BJ53" s="108"/>
      <c r="BK53" s="108"/>
      <c r="BL53" s="108"/>
      <c r="BM53" s="177" t="s">
        <v>85</v>
      </c>
      <c r="BN53" s="178"/>
      <c r="BO53" s="179"/>
      <c r="BP53" s="180">
        <f>IFERROR(VLOOKUP(D53,Sheet3!D:O,12,FALSE),"0")</f>
        <v>0</v>
      </c>
      <c r="BQ53" s="180">
        <f t="shared" si="25"/>
        <v>0</v>
      </c>
    </row>
    <row r="54" s="20" customFormat="1" ht="24" customHeight="1" spans="2:69">
      <c r="B54" s="42"/>
      <c r="C54" s="122"/>
      <c r="D54" s="43" t="s">
        <v>95</v>
      </c>
      <c r="E54" s="123">
        <v>0</v>
      </c>
      <c r="F54" s="9"/>
      <c r="G54" s="124"/>
      <c r="H54" s="124"/>
      <c r="I54" s="124"/>
      <c r="J54" s="124"/>
      <c r="K54" s="124"/>
      <c r="L54" s="124"/>
      <c r="M54" s="124"/>
      <c r="N54" s="124"/>
      <c r="O54" s="135"/>
      <c r="P54" s="136"/>
      <c r="Q54" s="136"/>
      <c r="R54" s="135"/>
      <c r="S54" s="136"/>
      <c r="T54" s="136"/>
      <c r="U54" s="145">
        <f t="shared" si="26"/>
        <v>0</v>
      </c>
      <c r="V54" s="9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56"/>
      <c r="AI54" s="79"/>
      <c r="AJ54" s="79"/>
      <c r="AK54" s="79" t="s">
        <v>84</v>
      </c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168"/>
      <c r="AX54" s="169">
        <f t="shared" si="22"/>
        <v>0</v>
      </c>
      <c r="AY54" s="170">
        <f t="shared" si="23"/>
        <v>0</v>
      </c>
      <c r="AZ54" s="171">
        <f t="shared" si="24"/>
        <v>0</v>
      </c>
      <c r="BA54" s="172" t="str">
        <f t="shared" si="27"/>
        <v/>
      </c>
      <c r="BB54" s="172" t="str">
        <f t="shared" si="28"/>
        <v/>
      </c>
      <c r="BC54" s="173" t="str">
        <f t="shared" si="19"/>
        <v/>
      </c>
      <c r="BD54" s="108" t="str">
        <f t="shared" si="29"/>
        <v/>
      </c>
      <c r="BE54" s="108" t="str">
        <f t="shared" si="20"/>
        <v/>
      </c>
      <c r="BF54" s="108" t="str">
        <f t="shared" si="30"/>
        <v/>
      </c>
      <c r="BG54" s="108"/>
      <c r="BH54" s="108"/>
      <c r="BI54" s="108"/>
      <c r="BJ54" s="108"/>
      <c r="BK54" s="108"/>
      <c r="BL54" s="108"/>
      <c r="BM54" s="177" t="s">
        <v>96</v>
      </c>
      <c r="BN54" s="178"/>
      <c r="BO54" s="179"/>
      <c r="BP54" s="180">
        <f>IFERROR(VLOOKUP(D54,Sheet3!D:O,12,FALSE),"0")</f>
        <v>0</v>
      </c>
      <c r="BQ54" s="180">
        <f t="shared" si="25"/>
        <v>0</v>
      </c>
    </row>
    <row r="55" s="20" customFormat="1" ht="24" customHeight="1" spans="2:69">
      <c r="B55" s="42"/>
      <c r="C55" s="122"/>
      <c r="D55" s="43" t="s">
        <v>98</v>
      </c>
      <c r="E55" s="123">
        <v>0</v>
      </c>
      <c r="F55" s="9"/>
      <c r="G55" s="124"/>
      <c r="H55" s="124"/>
      <c r="I55" s="124"/>
      <c r="J55" s="124"/>
      <c r="K55" s="124"/>
      <c r="L55" s="124"/>
      <c r="M55" s="124"/>
      <c r="N55" s="124"/>
      <c r="O55" s="135"/>
      <c r="P55" s="136"/>
      <c r="Q55" s="136"/>
      <c r="R55" s="135"/>
      <c r="S55" s="136"/>
      <c r="T55" s="136">
        <v>2260</v>
      </c>
      <c r="U55" s="145">
        <f t="shared" si="26"/>
        <v>2260</v>
      </c>
      <c r="V55" s="9"/>
      <c r="W55" s="124"/>
      <c r="X55" s="124"/>
      <c r="Y55" s="124">
        <v>2260</v>
      </c>
      <c r="Z55" s="124"/>
      <c r="AA55" s="124"/>
      <c r="AB55" s="124"/>
      <c r="AC55" s="124"/>
      <c r="AD55" s="124"/>
      <c r="AE55" s="124"/>
      <c r="AF55" s="124"/>
      <c r="AG55" s="124"/>
      <c r="AH55" s="156"/>
      <c r="AI55" s="79"/>
      <c r="AJ55" s="79"/>
      <c r="AK55" s="79" t="s">
        <v>84</v>
      </c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168"/>
      <c r="AX55" s="169">
        <f t="shared" si="22"/>
        <v>4520</v>
      </c>
      <c r="AY55" s="170">
        <f t="shared" si="23"/>
        <v>0</v>
      </c>
      <c r="AZ55" s="171">
        <f t="shared" si="24"/>
        <v>4520</v>
      </c>
      <c r="BA55" s="172">
        <f t="shared" si="27"/>
        <v>4520</v>
      </c>
      <c r="BB55" s="172">
        <f t="shared" si="28"/>
        <v>2260</v>
      </c>
      <c r="BC55" s="173">
        <f t="shared" si="19"/>
        <v>2260</v>
      </c>
      <c r="BD55" s="108">
        <f t="shared" si="29"/>
        <v>2260</v>
      </c>
      <c r="BE55" s="108">
        <f t="shared" si="20"/>
        <v>2260</v>
      </c>
      <c r="BF55" s="108">
        <f t="shared" si="30"/>
        <v>4520</v>
      </c>
      <c r="BG55" s="108"/>
      <c r="BH55" s="108"/>
      <c r="BI55" s="108"/>
      <c r="BJ55" s="108"/>
      <c r="BK55" s="108"/>
      <c r="BL55" s="108"/>
      <c r="BM55" s="177" t="s">
        <v>85</v>
      </c>
      <c r="BN55" s="178"/>
      <c r="BO55" s="179"/>
      <c r="BP55" s="180">
        <f>IFERROR(VLOOKUP(D55,Sheet3!D:O,12,FALSE),"0")</f>
        <v>4520</v>
      </c>
      <c r="BQ55" s="180">
        <f t="shared" si="25"/>
        <v>0</v>
      </c>
    </row>
    <row r="56" s="20" customFormat="1" ht="24" customHeight="1" spans="2:69">
      <c r="B56" s="42" t="s">
        <v>81</v>
      </c>
      <c r="C56" s="122"/>
      <c r="D56" s="43" t="s">
        <v>308</v>
      </c>
      <c r="E56" s="123">
        <v>0</v>
      </c>
      <c r="F56" s="9"/>
      <c r="G56" s="124"/>
      <c r="H56" s="124"/>
      <c r="I56" s="124"/>
      <c r="J56" s="124"/>
      <c r="K56" s="124"/>
      <c r="L56" s="124"/>
      <c r="M56" s="124"/>
      <c r="N56" s="124"/>
      <c r="O56" s="135"/>
      <c r="P56" s="136"/>
      <c r="Q56" s="136"/>
      <c r="R56" s="135"/>
      <c r="S56" s="136"/>
      <c r="T56" s="136"/>
      <c r="U56" s="145">
        <f t="shared" si="26"/>
        <v>0</v>
      </c>
      <c r="V56" s="9"/>
      <c r="W56" s="124"/>
      <c r="X56" s="124">
        <v>198434</v>
      </c>
      <c r="Y56" s="124">
        <f>1695+280300.95</f>
        <v>281995.95</v>
      </c>
      <c r="Z56" s="124">
        <v>376162.84</v>
      </c>
      <c r="AA56" s="124"/>
      <c r="AB56" s="124"/>
      <c r="AC56" s="124"/>
      <c r="AD56" s="124"/>
      <c r="AE56" s="124"/>
      <c r="AF56" s="124"/>
      <c r="AG56" s="124"/>
      <c r="AH56" s="156"/>
      <c r="AI56" s="79"/>
      <c r="AJ56" s="79"/>
      <c r="AK56" s="79" t="s">
        <v>84</v>
      </c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168"/>
      <c r="AX56" s="169">
        <f t="shared" si="22"/>
        <v>856592.79</v>
      </c>
      <c r="AY56" s="170">
        <f t="shared" si="23"/>
        <v>0</v>
      </c>
      <c r="AZ56" s="171">
        <f t="shared" si="24"/>
        <v>856592.79</v>
      </c>
      <c r="BA56" s="172" t="str">
        <f t="shared" si="27"/>
        <v/>
      </c>
      <c r="BB56" s="172" t="str">
        <f t="shared" si="28"/>
        <v/>
      </c>
      <c r="BC56" s="173" t="str">
        <f t="shared" si="19"/>
        <v/>
      </c>
      <c r="BD56" s="108" t="str">
        <f t="shared" si="29"/>
        <v/>
      </c>
      <c r="BE56" s="108">
        <f t="shared" si="20"/>
        <v>198434</v>
      </c>
      <c r="BF56" s="108">
        <f t="shared" si="30"/>
        <v>480429.95</v>
      </c>
      <c r="BG56" s="108"/>
      <c r="BH56" s="108"/>
      <c r="BI56" s="108"/>
      <c r="BJ56" s="108"/>
      <c r="BK56" s="108"/>
      <c r="BL56" s="108"/>
      <c r="BM56" s="177" t="s">
        <v>101</v>
      </c>
      <c r="BN56" s="178"/>
      <c r="BO56" s="179"/>
      <c r="BP56" s="180">
        <f>IFERROR(VLOOKUP(D56,Sheet3!D:O,12,FALSE),"0")</f>
        <v>856592.79</v>
      </c>
      <c r="BQ56" s="180">
        <f t="shared" si="21"/>
        <v>0</v>
      </c>
    </row>
    <row r="57" s="20" customFormat="1" ht="24" customHeight="1" spans="2:69">
      <c r="B57" s="42" t="s">
        <v>81</v>
      </c>
      <c r="C57" s="122" t="s">
        <v>116</v>
      </c>
      <c r="D57" s="43" t="s">
        <v>205</v>
      </c>
      <c r="E57" s="123">
        <v>0</v>
      </c>
      <c r="F57" s="9"/>
      <c r="G57" s="124"/>
      <c r="H57" s="124"/>
      <c r="I57" s="124"/>
      <c r="J57" s="124"/>
      <c r="K57" s="124"/>
      <c r="L57" s="124"/>
      <c r="M57" s="124"/>
      <c r="N57" s="124"/>
      <c r="O57" s="135"/>
      <c r="P57" s="136"/>
      <c r="Q57" s="136"/>
      <c r="R57" s="135"/>
      <c r="S57" s="136"/>
      <c r="T57" s="136"/>
      <c r="U57" s="145">
        <f t="shared" ref="U57:U72" si="31">SUM(R57:T57)+E57</f>
        <v>0</v>
      </c>
      <c r="V57" s="9"/>
      <c r="W57" s="124"/>
      <c r="X57" s="124"/>
      <c r="Y57" s="124"/>
      <c r="Z57" s="124"/>
      <c r="AA57" s="124"/>
      <c r="AB57" s="124"/>
      <c r="AC57" s="124"/>
      <c r="AD57" s="124"/>
      <c r="AE57" s="124"/>
      <c r="AF57" s="124"/>
      <c r="AG57" s="124"/>
      <c r="AH57" s="156"/>
      <c r="AI57" s="79"/>
      <c r="AJ57" s="79"/>
      <c r="AK57" s="79" t="s">
        <v>84</v>
      </c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168"/>
      <c r="AX57" s="169">
        <f t="shared" si="22"/>
        <v>0</v>
      </c>
      <c r="AY57" s="170">
        <f t="shared" si="23"/>
        <v>0</v>
      </c>
      <c r="AZ57" s="171">
        <f t="shared" si="24"/>
        <v>0</v>
      </c>
      <c r="BA57" s="172" t="str">
        <f>IF(AZ57-SUM(V57:AG57)+T57+S57&gt;0,AZ57-SUM(V57:AG57)+T57+S57,"")</f>
        <v/>
      </c>
      <c r="BB57" s="172" t="str">
        <f>IF(AZ57-SUM(V57:AG57)+T57&gt;0,AZ57-SUM(V57:AG57)+T57,"")</f>
        <v/>
      </c>
      <c r="BC57" s="173" t="str">
        <f>IF(AZ57-SUM(V57:AG57)&gt;0,AZ57-SUM(V57:AG57),"")</f>
        <v/>
      </c>
      <c r="BD57" s="108" t="str">
        <f>IF(AZ57-SUM(W57:AG57)&gt;0,AZ57-SUM(W57:AG57),"")</f>
        <v/>
      </c>
      <c r="BE57" s="108" t="str">
        <f>IF(AZ57-SUM(X57:AG57)&gt;0,AZ57-SUM(X57:AG57),"")</f>
        <v/>
      </c>
      <c r="BF57" s="108" t="str">
        <f>IF($AZ57-SUM(Z57:$AG57)&gt;0,$AZ57-SUM(Z57:$AG57),"")</f>
        <v/>
      </c>
      <c r="BG57" s="108" t="str">
        <f>IF($AZ57-SUM(AA57:$AG57)&gt;0,$AZ57-SUM(AA57:$AG57),"")</f>
        <v/>
      </c>
      <c r="BH57" s="108" t="str">
        <f>IF($AZ57-SUM(AB57:$AG57)&gt;0,$AZ57-SUM(AB57:$AG57),"")</f>
        <v/>
      </c>
      <c r="BI57" s="108" t="str">
        <f>IF($AZ57-SUM(AC57:$AG57)&gt;0,$AZ57-SUM(AC57:$AG57),"")</f>
        <v/>
      </c>
      <c r="BJ57" s="108" t="str">
        <f>IF($AZ57-SUM(AD57:$AG57)&gt;0,$AZ57-SUM(AD57:$AG57),"")</f>
        <v/>
      </c>
      <c r="BK57" s="108"/>
      <c r="BL57" s="108"/>
      <c r="BM57" s="177" t="s">
        <v>264</v>
      </c>
      <c r="BN57" s="178"/>
      <c r="BO57" s="179"/>
      <c r="BP57" s="180">
        <f>IFERROR(VLOOKUP(D57,Sheet3!D:O,12,FALSE),"0")</f>
        <v>0</v>
      </c>
      <c r="BQ57" s="180">
        <f t="shared" ref="BQ57:BQ73" si="32">AZ57-BP57</f>
        <v>0</v>
      </c>
    </row>
    <row r="58" s="20" customFormat="1" ht="24" customHeight="1" spans="2:69">
      <c r="B58" s="42" t="s">
        <v>81</v>
      </c>
      <c r="C58" s="122" t="s">
        <v>118</v>
      </c>
      <c r="D58" s="43" t="s">
        <v>119</v>
      </c>
      <c r="E58" s="123">
        <v>0</v>
      </c>
      <c r="F58" s="9"/>
      <c r="G58" s="124"/>
      <c r="H58" s="124"/>
      <c r="I58" s="124"/>
      <c r="J58" s="124"/>
      <c r="K58" s="124"/>
      <c r="L58" s="124"/>
      <c r="M58" s="124"/>
      <c r="N58" s="124"/>
      <c r="O58" s="135"/>
      <c r="P58" s="136"/>
      <c r="Q58" s="136"/>
      <c r="R58" s="135"/>
      <c r="S58" s="136"/>
      <c r="T58" s="136"/>
      <c r="U58" s="145">
        <f t="shared" si="31"/>
        <v>0</v>
      </c>
      <c r="V58" s="9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56"/>
      <c r="AI58" s="79"/>
      <c r="AJ58" s="79"/>
      <c r="AK58" s="79" t="s">
        <v>84</v>
      </c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168"/>
      <c r="AX58" s="169">
        <f t="shared" si="22"/>
        <v>0</v>
      </c>
      <c r="AY58" s="170">
        <f t="shared" si="23"/>
        <v>0</v>
      </c>
      <c r="AZ58" s="171">
        <f t="shared" si="24"/>
        <v>0</v>
      </c>
      <c r="BA58" s="172" t="str">
        <f t="shared" ref="BA58:BA73" si="33">IF(AZ58-SUM(V58:AG58)+T58&gt;0,AZ58-SUM(V58:AG58)+T58,"")</f>
        <v/>
      </c>
      <c r="BB58" s="172" t="str">
        <f t="shared" ref="BB58:BB73" si="34">IF(AZ58-SUM(V58:AG58)&gt;0,AZ58-SUM(V58:AG58),"")</f>
        <v/>
      </c>
      <c r="BC58" s="173" t="str">
        <f t="shared" ref="BC58:BC73" si="35">IF(AZ58-SUM(W58:AG58)&gt;0,AZ58-SUM(W58:AG58),"")</f>
        <v/>
      </c>
      <c r="BD58" s="108" t="str">
        <f t="shared" ref="BD58:BD71" si="36">IF(AZ58-SUM(X58:AG58)&gt;0,AZ58-SUM(X58:AG58),"")</f>
        <v/>
      </c>
      <c r="BE58" s="108" t="str">
        <f t="shared" ref="BE58:BE73" si="37">IF(AZ58-SUM(Y58:AG58)&gt;0,AZ58-SUM(Y58:AG58),"")</f>
        <v/>
      </c>
      <c r="BF58" s="108" t="str">
        <f t="shared" ref="BF58:BF71" si="38">IF(AZ58-SUM(Z58:AH58)&gt;0,AZ58-SUM(Z58:AH58),"")</f>
        <v/>
      </c>
      <c r="BG58" s="108"/>
      <c r="BH58" s="108"/>
      <c r="BI58" s="108"/>
      <c r="BJ58" s="108"/>
      <c r="BK58" s="108"/>
      <c r="BL58" s="108"/>
      <c r="BM58" s="177" t="s">
        <v>85</v>
      </c>
      <c r="BN58" s="178"/>
      <c r="BO58" s="179"/>
      <c r="BP58" s="180">
        <f>IFERROR(VLOOKUP(D58,Sheet3!D:O,12,FALSE),"0")</f>
        <v>0</v>
      </c>
      <c r="BQ58" s="180">
        <f t="shared" si="32"/>
        <v>0</v>
      </c>
    </row>
    <row r="59" s="20" customFormat="1" ht="24" customHeight="1" spans="2:69">
      <c r="B59" s="48" t="s">
        <v>81</v>
      </c>
      <c r="C59" s="122" t="s">
        <v>120</v>
      </c>
      <c r="D59" s="43" t="s">
        <v>121</v>
      </c>
      <c r="E59" s="123">
        <v>0</v>
      </c>
      <c r="F59" s="133"/>
      <c r="G59" s="134"/>
      <c r="H59" s="134"/>
      <c r="I59" s="134"/>
      <c r="J59" s="134"/>
      <c r="K59" s="134"/>
      <c r="L59" s="134"/>
      <c r="M59" s="134"/>
      <c r="N59" s="134"/>
      <c r="O59" s="135"/>
      <c r="P59" s="136"/>
      <c r="Q59" s="136"/>
      <c r="R59" s="135"/>
      <c r="S59" s="136"/>
      <c r="T59" s="136"/>
      <c r="U59" s="145">
        <f t="shared" si="31"/>
        <v>0</v>
      </c>
      <c r="V59" s="9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56"/>
      <c r="AI59" s="79"/>
      <c r="AJ59" s="79"/>
      <c r="AK59" s="79" t="s">
        <v>84</v>
      </c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168"/>
      <c r="AX59" s="169">
        <f t="shared" si="22"/>
        <v>0</v>
      </c>
      <c r="AY59" s="170">
        <f t="shared" si="23"/>
        <v>0</v>
      </c>
      <c r="AZ59" s="171">
        <f t="shared" si="24"/>
        <v>0</v>
      </c>
      <c r="BA59" s="172" t="str">
        <f t="shared" si="33"/>
        <v/>
      </c>
      <c r="BB59" s="172" t="str">
        <f t="shared" si="34"/>
        <v/>
      </c>
      <c r="BC59" s="173" t="str">
        <f t="shared" si="35"/>
        <v/>
      </c>
      <c r="BD59" s="108" t="str">
        <f t="shared" si="36"/>
        <v/>
      </c>
      <c r="BE59" s="108" t="str">
        <f t="shared" si="37"/>
        <v/>
      </c>
      <c r="BF59" s="108" t="str">
        <f t="shared" si="38"/>
        <v/>
      </c>
      <c r="BG59" s="108"/>
      <c r="BH59" s="108"/>
      <c r="BI59" s="108"/>
      <c r="BJ59" s="108"/>
      <c r="BK59" s="108"/>
      <c r="BL59" s="108"/>
      <c r="BM59" s="177" t="s">
        <v>85</v>
      </c>
      <c r="BN59" s="178"/>
      <c r="BO59" s="179"/>
      <c r="BP59" s="180">
        <f>IFERROR(VLOOKUP(D59,Sheet3!D:O,12,FALSE),"0")</f>
        <v>0</v>
      </c>
      <c r="BQ59" s="180">
        <f t="shared" si="32"/>
        <v>0</v>
      </c>
    </row>
    <row r="60" s="20" customFormat="1" ht="24" customHeight="1" spans="2:69">
      <c r="B60" s="48" t="s">
        <v>81</v>
      </c>
      <c r="C60" s="122" t="s">
        <v>126</v>
      </c>
      <c r="D60" s="43" t="s">
        <v>127</v>
      </c>
      <c r="E60" s="123">
        <v>0</v>
      </c>
      <c r="F60" s="133"/>
      <c r="G60" s="134"/>
      <c r="H60" s="134"/>
      <c r="I60" s="134"/>
      <c r="J60" s="134"/>
      <c r="K60" s="134"/>
      <c r="L60" s="134"/>
      <c r="M60" s="134"/>
      <c r="N60" s="134"/>
      <c r="O60" s="135"/>
      <c r="P60" s="136"/>
      <c r="Q60" s="136"/>
      <c r="R60" s="135"/>
      <c r="S60" s="136"/>
      <c r="T60" s="136"/>
      <c r="U60" s="145">
        <f t="shared" si="31"/>
        <v>0</v>
      </c>
      <c r="V60" s="9"/>
      <c r="W60" s="124"/>
      <c r="X60" s="124"/>
      <c r="Y60" s="124"/>
      <c r="Z60" s="124"/>
      <c r="AA60" s="124"/>
      <c r="AB60" s="124"/>
      <c r="AC60" s="124"/>
      <c r="AD60" s="124"/>
      <c r="AE60" s="124"/>
      <c r="AF60" s="124"/>
      <c r="AG60" s="124"/>
      <c r="AH60" s="156"/>
      <c r="AI60" s="79"/>
      <c r="AJ60" s="79"/>
      <c r="AK60" s="79" t="s">
        <v>84</v>
      </c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168"/>
      <c r="AX60" s="169">
        <f t="shared" si="22"/>
        <v>0</v>
      </c>
      <c r="AY60" s="170">
        <f t="shared" si="23"/>
        <v>0</v>
      </c>
      <c r="AZ60" s="171">
        <f t="shared" si="24"/>
        <v>0</v>
      </c>
      <c r="BA60" s="172" t="str">
        <f t="shared" si="33"/>
        <v/>
      </c>
      <c r="BB60" s="172" t="str">
        <f t="shared" si="34"/>
        <v/>
      </c>
      <c r="BC60" s="173" t="str">
        <f t="shared" si="35"/>
        <v/>
      </c>
      <c r="BD60" s="108" t="str">
        <f t="shared" si="36"/>
        <v/>
      </c>
      <c r="BE60" s="108" t="str">
        <f t="shared" si="37"/>
        <v/>
      </c>
      <c r="BF60" s="108" t="str">
        <f t="shared" si="38"/>
        <v/>
      </c>
      <c r="BG60" s="108"/>
      <c r="BH60" s="108"/>
      <c r="BI60" s="108"/>
      <c r="BJ60" s="108"/>
      <c r="BK60" s="108"/>
      <c r="BL60" s="108"/>
      <c r="BM60" s="177" t="s">
        <v>96</v>
      </c>
      <c r="BN60" s="178"/>
      <c r="BO60" s="179"/>
      <c r="BP60" s="180">
        <f>IFERROR(VLOOKUP(D60,Sheet3!D:O,12,FALSE),"0")</f>
        <v>0</v>
      </c>
      <c r="BQ60" s="180">
        <f t="shared" si="32"/>
        <v>0</v>
      </c>
    </row>
    <row r="61" s="20" customFormat="1" ht="24" customHeight="1" spans="2:69">
      <c r="B61" s="48" t="s">
        <v>134</v>
      </c>
      <c r="C61" s="122">
        <v>1951024</v>
      </c>
      <c r="D61" s="43" t="s">
        <v>206</v>
      </c>
      <c r="E61" s="123">
        <v>0</v>
      </c>
      <c r="F61" s="133"/>
      <c r="G61" s="134"/>
      <c r="H61" s="134"/>
      <c r="I61" s="134"/>
      <c r="J61" s="134"/>
      <c r="K61" s="134"/>
      <c r="L61" s="134"/>
      <c r="M61" s="134"/>
      <c r="N61" s="134"/>
      <c r="O61" s="135"/>
      <c r="P61" s="136"/>
      <c r="Q61" s="136"/>
      <c r="R61" s="135"/>
      <c r="S61" s="136"/>
      <c r="T61" s="136"/>
      <c r="U61" s="145">
        <f t="shared" si="31"/>
        <v>0</v>
      </c>
      <c r="V61" s="9"/>
      <c r="W61" s="124"/>
      <c r="X61" s="124"/>
      <c r="Y61" s="124"/>
      <c r="Z61" s="124"/>
      <c r="AA61" s="124"/>
      <c r="AB61" s="124"/>
      <c r="AC61" s="124"/>
      <c r="AD61" s="124"/>
      <c r="AE61" s="124"/>
      <c r="AF61" s="124"/>
      <c r="AG61" s="124"/>
      <c r="AH61" s="156"/>
      <c r="AI61" s="79"/>
      <c r="AJ61" s="79"/>
      <c r="AK61" s="79" t="s">
        <v>84</v>
      </c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168"/>
      <c r="AX61" s="169">
        <f t="shared" si="22"/>
        <v>0</v>
      </c>
      <c r="AY61" s="170">
        <f t="shared" si="23"/>
        <v>0</v>
      </c>
      <c r="AZ61" s="171">
        <f t="shared" si="24"/>
        <v>0</v>
      </c>
      <c r="BA61" s="172" t="str">
        <f t="shared" si="33"/>
        <v/>
      </c>
      <c r="BB61" s="172" t="str">
        <f t="shared" si="34"/>
        <v/>
      </c>
      <c r="BC61" s="173" t="str">
        <f t="shared" si="35"/>
        <v/>
      </c>
      <c r="BD61" s="108" t="str">
        <f t="shared" si="36"/>
        <v/>
      </c>
      <c r="BE61" s="108" t="str">
        <f t="shared" si="37"/>
        <v/>
      </c>
      <c r="BF61" s="108" t="str">
        <f t="shared" si="38"/>
        <v/>
      </c>
      <c r="BG61" s="108"/>
      <c r="BH61" s="108"/>
      <c r="BI61" s="108"/>
      <c r="BJ61" s="108"/>
      <c r="BK61" s="108"/>
      <c r="BL61" s="108"/>
      <c r="BM61" s="177" t="s">
        <v>111</v>
      </c>
      <c r="BN61" s="178"/>
      <c r="BO61" s="179"/>
      <c r="BP61" s="180">
        <f>IFERROR(VLOOKUP(D61,Sheet3!D:O,12,FALSE),"0")</f>
        <v>0</v>
      </c>
      <c r="BQ61" s="180">
        <f t="shared" si="32"/>
        <v>0</v>
      </c>
    </row>
    <row r="62" s="20" customFormat="1" ht="24" customHeight="1" spans="2:69">
      <c r="B62" s="48" t="s">
        <v>81</v>
      </c>
      <c r="C62" s="125" t="s">
        <v>138</v>
      </c>
      <c r="D62" s="126" t="s">
        <v>139</v>
      </c>
      <c r="E62" s="123">
        <v>0</v>
      </c>
      <c r="F62" s="133"/>
      <c r="G62" s="134"/>
      <c r="H62" s="134"/>
      <c r="I62" s="134"/>
      <c r="J62" s="134"/>
      <c r="K62" s="134"/>
      <c r="L62" s="134"/>
      <c r="M62" s="139"/>
      <c r="N62" s="134"/>
      <c r="O62" s="135"/>
      <c r="P62" s="136"/>
      <c r="Q62" s="147"/>
      <c r="R62" s="135"/>
      <c r="S62" s="136"/>
      <c r="T62" s="147"/>
      <c r="U62" s="145">
        <f t="shared" si="31"/>
        <v>0</v>
      </c>
      <c r="V62" s="9"/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58"/>
      <c r="AI62" s="85"/>
      <c r="AJ62" s="85"/>
      <c r="AK62" s="79" t="s">
        <v>84</v>
      </c>
      <c r="AL62" s="159"/>
      <c r="AM62" s="159"/>
      <c r="AN62" s="7"/>
      <c r="AO62" s="7"/>
      <c r="AP62" s="7"/>
      <c r="AQ62" s="7"/>
      <c r="AR62" s="7"/>
      <c r="AS62" s="7"/>
      <c r="AT62" s="7"/>
      <c r="AU62" s="7"/>
      <c r="AV62" s="7"/>
      <c r="AW62" s="168"/>
      <c r="AX62" s="169">
        <f t="shared" si="22"/>
        <v>0</v>
      </c>
      <c r="AY62" s="170">
        <f t="shared" si="23"/>
        <v>0</v>
      </c>
      <c r="AZ62" s="171">
        <f t="shared" si="24"/>
        <v>0</v>
      </c>
      <c r="BA62" s="172" t="str">
        <f t="shared" si="33"/>
        <v/>
      </c>
      <c r="BB62" s="172" t="str">
        <f t="shared" si="34"/>
        <v/>
      </c>
      <c r="BC62" s="173" t="str">
        <f t="shared" si="35"/>
        <v/>
      </c>
      <c r="BD62" s="108" t="str">
        <f t="shared" si="36"/>
        <v/>
      </c>
      <c r="BE62" s="108" t="str">
        <f t="shared" si="37"/>
        <v/>
      </c>
      <c r="BF62" s="108" t="str">
        <f t="shared" si="38"/>
        <v/>
      </c>
      <c r="BG62" s="108"/>
      <c r="BH62" s="108"/>
      <c r="BI62" s="108"/>
      <c r="BJ62" s="108"/>
      <c r="BK62" s="108"/>
      <c r="BL62" s="108"/>
      <c r="BM62" s="181" t="s">
        <v>101</v>
      </c>
      <c r="BN62" s="182"/>
      <c r="BO62" s="179"/>
      <c r="BP62" s="180">
        <f>IFERROR(VLOOKUP(D62,Sheet3!D:O,12,FALSE),"0")</f>
        <v>0</v>
      </c>
      <c r="BQ62" s="180">
        <f t="shared" si="32"/>
        <v>0</v>
      </c>
    </row>
    <row r="63" s="20" customFormat="1" ht="24" customHeight="1" spans="2:69">
      <c r="B63" s="48" t="s">
        <v>81</v>
      </c>
      <c r="C63" s="125" t="s">
        <v>140</v>
      </c>
      <c r="D63" s="126" t="s">
        <v>141</v>
      </c>
      <c r="E63" s="123">
        <v>0</v>
      </c>
      <c r="F63" s="133"/>
      <c r="G63" s="134"/>
      <c r="H63" s="134"/>
      <c r="I63" s="134"/>
      <c r="J63" s="134"/>
      <c r="K63" s="134"/>
      <c r="L63" s="134"/>
      <c r="M63" s="139"/>
      <c r="N63" s="134"/>
      <c r="O63" s="135"/>
      <c r="P63" s="136"/>
      <c r="Q63" s="147"/>
      <c r="R63" s="135"/>
      <c r="S63" s="136"/>
      <c r="T63" s="147"/>
      <c r="U63" s="145">
        <f t="shared" si="31"/>
        <v>0</v>
      </c>
      <c r="V63" s="9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58"/>
      <c r="AI63" s="85"/>
      <c r="AJ63" s="85"/>
      <c r="AK63" s="79" t="s">
        <v>84</v>
      </c>
      <c r="AL63" s="159"/>
      <c r="AM63" s="159"/>
      <c r="AN63" s="7"/>
      <c r="AO63" s="7"/>
      <c r="AP63" s="7"/>
      <c r="AQ63" s="7"/>
      <c r="AR63" s="7"/>
      <c r="AS63" s="7"/>
      <c r="AT63" s="7"/>
      <c r="AU63" s="7"/>
      <c r="AV63" s="7"/>
      <c r="AW63" s="168"/>
      <c r="AX63" s="169">
        <f t="shared" si="22"/>
        <v>0</v>
      </c>
      <c r="AY63" s="170">
        <f t="shared" si="23"/>
        <v>0</v>
      </c>
      <c r="AZ63" s="171">
        <f t="shared" si="24"/>
        <v>0</v>
      </c>
      <c r="BA63" s="172" t="str">
        <f t="shared" si="33"/>
        <v/>
      </c>
      <c r="BB63" s="172" t="str">
        <f t="shared" si="34"/>
        <v/>
      </c>
      <c r="BC63" s="173" t="str">
        <f t="shared" si="35"/>
        <v/>
      </c>
      <c r="BD63" s="108" t="str">
        <f t="shared" si="36"/>
        <v/>
      </c>
      <c r="BE63" s="108" t="str">
        <f t="shared" si="37"/>
        <v/>
      </c>
      <c r="BF63" s="108" t="str">
        <f t="shared" si="38"/>
        <v/>
      </c>
      <c r="BG63" s="108"/>
      <c r="BH63" s="108"/>
      <c r="BI63" s="108"/>
      <c r="BJ63" s="108"/>
      <c r="BK63" s="108"/>
      <c r="BL63" s="108"/>
      <c r="BM63" s="181" t="s">
        <v>101</v>
      </c>
      <c r="BN63" s="182"/>
      <c r="BO63" s="179"/>
      <c r="BP63" s="180">
        <f>IFERROR(VLOOKUP(D63,Sheet3!D:O,12,FALSE),"0")</f>
        <v>0</v>
      </c>
      <c r="BQ63" s="180">
        <f t="shared" si="32"/>
        <v>0</v>
      </c>
    </row>
    <row r="64" s="20" customFormat="1" ht="24" customHeight="1" spans="2:69">
      <c r="B64" s="48" t="s">
        <v>81</v>
      </c>
      <c r="C64" s="90" t="s">
        <v>177</v>
      </c>
      <c r="D64" s="126" t="s">
        <v>178</v>
      </c>
      <c r="E64" s="123">
        <v>0</v>
      </c>
      <c r="F64" s="133"/>
      <c r="G64" s="134"/>
      <c r="H64" s="134"/>
      <c r="I64" s="134"/>
      <c r="J64" s="134"/>
      <c r="K64" s="134"/>
      <c r="L64" s="134"/>
      <c r="M64" s="139"/>
      <c r="N64" s="134"/>
      <c r="O64" s="135"/>
      <c r="P64" s="136"/>
      <c r="Q64" s="147"/>
      <c r="R64" s="135"/>
      <c r="S64" s="136"/>
      <c r="T64" s="136"/>
      <c r="U64" s="145">
        <f t="shared" si="31"/>
        <v>0</v>
      </c>
      <c r="V64" s="9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58"/>
      <c r="AI64" s="85"/>
      <c r="AJ64" s="85"/>
      <c r="AK64" s="79" t="s">
        <v>84</v>
      </c>
      <c r="AL64" s="159"/>
      <c r="AM64" s="159"/>
      <c r="AN64" s="159"/>
      <c r="AO64" s="159"/>
      <c r="AP64" s="159"/>
      <c r="AQ64" s="159"/>
      <c r="AR64" s="159"/>
      <c r="AS64" s="159"/>
      <c r="AT64" s="159"/>
      <c r="AU64" s="159"/>
      <c r="AV64" s="159"/>
      <c r="AW64" s="174"/>
      <c r="AX64" s="169">
        <f t="shared" si="22"/>
        <v>0</v>
      </c>
      <c r="AY64" s="170">
        <f t="shared" si="23"/>
        <v>0</v>
      </c>
      <c r="AZ64" s="171">
        <f t="shared" si="24"/>
        <v>0</v>
      </c>
      <c r="BA64" s="172" t="str">
        <f t="shared" si="33"/>
        <v/>
      </c>
      <c r="BB64" s="172" t="str">
        <f t="shared" si="34"/>
        <v/>
      </c>
      <c r="BC64" s="173" t="str">
        <f t="shared" si="35"/>
        <v/>
      </c>
      <c r="BD64" s="108" t="str">
        <f t="shared" si="36"/>
        <v/>
      </c>
      <c r="BE64" s="108" t="str">
        <f t="shared" si="37"/>
        <v/>
      </c>
      <c r="BF64" s="108" t="str">
        <f t="shared" si="38"/>
        <v/>
      </c>
      <c r="BG64" s="108"/>
      <c r="BH64" s="108"/>
      <c r="BI64" s="108"/>
      <c r="BJ64" s="108"/>
      <c r="BK64" s="108"/>
      <c r="BL64" s="108"/>
      <c r="BM64" s="181"/>
      <c r="BN64" s="182"/>
      <c r="BO64" s="179"/>
      <c r="BP64" s="180">
        <f>IFERROR(VLOOKUP(D64,Sheet3!D:O,12,FALSE),"0")</f>
        <v>0</v>
      </c>
      <c r="BQ64" s="180">
        <f t="shared" si="32"/>
        <v>0</v>
      </c>
    </row>
    <row r="65" s="20" customFormat="1" ht="24" customHeight="1" spans="2:69">
      <c r="B65" s="48" t="s">
        <v>81</v>
      </c>
      <c r="C65" s="90" t="s">
        <v>179</v>
      </c>
      <c r="D65" s="126" t="s">
        <v>180</v>
      </c>
      <c r="E65" s="123">
        <v>0</v>
      </c>
      <c r="F65" s="133"/>
      <c r="G65" s="134"/>
      <c r="H65" s="134"/>
      <c r="I65" s="134"/>
      <c r="J65" s="134"/>
      <c r="K65" s="134"/>
      <c r="L65" s="134"/>
      <c r="M65" s="139"/>
      <c r="N65" s="134"/>
      <c r="O65" s="135"/>
      <c r="P65" s="136"/>
      <c r="Q65" s="147"/>
      <c r="R65" s="135"/>
      <c r="S65" s="136"/>
      <c r="T65" s="136"/>
      <c r="U65" s="145">
        <f t="shared" si="31"/>
        <v>0</v>
      </c>
      <c r="V65" s="9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58"/>
      <c r="AI65" s="85"/>
      <c r="AJ65" s="85"/>
      <c r="AK65" s="79" t="s">
        <v>84</v>
      </c>
      <c r="AL65" s="159"/>
      <c r="AM65" s="159"/>
      <c r="AN65" s="159"/>
      <c r="AO65" s="159"/>
      <c r="AP65" s="159"/>
      <c r="AQ65" s="159"/>
      <c r="AR65" s="159"/>
      <c r="AS65" s="159"/>
      <c r="AT65" s="159"/>
      <c r="AU65" s="159"/>
      <c r="AV65" s="159"/>
      <c r="AW65" s="174"/>
      <c r="AX65" s="169">
        <f t="shared" si="22"/>
        <v>0</v>
      </c>
      <c r="AY65" s="170">
        <f t="shared" si="23"/>
        <v>0</v>
      </c>
      <c r="AZ65" s="171">
        <f t="shared" si="24"/>
        <v>0</v>
      </c>
      <c r="BA65" s="172" t="str">
        <f t="shared" si="33"/>
        <v/>
      </c>
      <c r="BB65" s="172" t="str">
        <f t="shared" si="34"/>
        <v/>
      </c>
      <c r="BC65" s="173" t="str">
        <f t="shared" si="35"/>
        <v/>
      </c>
      <c r="BD65" s="108" t="str">
        <f t="shared" si="36"/>
        <v/>
      </c>
      <c r="BE65" s="108" t="str">
        <f t="shared" si="37"/>
        <v/>
      </c>
      <c r="BF65" s="108" t="str">
        <f t="shared" si="38"/>
        <v/>
      </c>
      <c r="BG65" s="108"/>
      <c r="BH65" s="108"/>
      <c r="BI65" s="108"/>
      <c r="BJ65" s="108"/>
      <c r="BK65" s="108"/>
      <c r="BL65" s="108"/>
      <c r="BM65" s="181" t="s">
        <v>85</v>
      </c>
      <c r="BN65" s="182"/>
      <c r="BO65" s="179"/>
      <c r="BP65" s="180">
        <f>IFERROR(VLOOKUP(D65,Sheet3!D:O,12,FALSE),"0")</f>
        <v>0</v>
      </c>
      <c r="BQ65" s="180">
        <f t="shared" si="32"/>
        <v>0</v>
      </c>
    </row>
    <row r="66" s="20" customFormat="1" ht="24" customHeight="1" spans="2:69">
      <c r="B66" s="48" t="s">
        <v>81</v>
      </c>
      <c r="C66" s="90" t="s">
        <v>207</v>
      </c>
      <c r="D66" s="126" t="s">
        <v>208</v>
      </c>
      <c r="E66" s="123">
        <v>0</v>
      </c>
      <c r="F66" s="9"/>
      <c r="G66" s="124"/>
      <c r="H66" s="124"/>
      <c r="I66" s="124"/>
      <c r="J66" s="124"/>
      <c r="K66" s="124"/>
      <c r="L66" s="124"/>
      <c r="M66" s="124"/>
      <c r="N66" s="124"/>
      <c r="O66" s="135"/>
      <c r="P66" s="136"/>
      <c r="Q66" s="147"/>
      <c r="R66" s="135"/>
      <c r="S66" s="136"/>
      <c r="T66" s="136"/>
      <c r="U66" s="145">
        <f t="shared" si="31"/>
        <v>0</v>
      </c>
      <c r="V66" s="9"/>
      <c r="W66" s="124"/>
      <c r="X66" s="124"/>
      <c r="Y66" s="124"/>
      <c r="Z66" s="124"/>
      <c r="AA66" s="124"/>
      <c r="AB66" s="124"/>
      <c r="AC66" s="124"/>
      <c r="AD66" s="124"/>
      <c r="AE66" s="124"/>
      <c r="AF66" s="124"/>
      <c r="AG66" s="124"/>
      <c r="AH66" s="158"/>
      <c r="AI66" s="85"/>
      <c r="AJ66" s="85"/>
      <c r="AK66" s="79"/>
      <c r="AL66" s="159"/>
      <c r="AM66" s="159"/>
      <c r="AN66" s="159"/>
      <c r="AO66" s="159"/>
      <c r="AP66" s="159"/>
      <c r="AQ66" s="159"/>
      <c r="AR66" s="159"/>
      <c r="AS66" s="159"/>
      <c r="AT66" s="159"/>
      <c r="AU66" s="159"/>
      <c r="AV66" s="159"/>
      <c r="AW66" s="174"/>
      <c r="AX66" s="169">
        <f t="shared" si="22"/>
        <v>0</v>
      </c>
      <c r="AY66" s="170">
        <f t="shared" si="23"/>
        <v>0</v>
      </c>
      <c r="AZ66" s="171">
        <f t="shared" si="24"/>
        <v>0</v>
      </c>
      <c r="BA66" s="172" t="str">
        <f t="shared" si="33"/>
        <v/>
      </c>
      <c r="BB66" s="172" t="str">
        <f t="shared" si="34"/>
        <v/>
      </c>
      <c r="BC66" s="173" t="str">
        <f t="shared" si="35"/>
        <v/>
      </c>
      <c r="BD66" s="108" t="str">
        <f t="shared" si="36"/>
        <v/>
      </c>
      <c r="BE66" s="108" t="str">
        <f t="shared" si="37"/>
        <v/>
      </c>
      <c r="BF66" s="108" t="str">
        <f t="shared" si="38"/>
        <v/>
      </c>
      <c r="BG66" s="108"/>
      <c r="BH66" s="108"/>
      <c r="BI66" s="108"/>
      <c r="BJ66" s="108"/>
      <c r="BK66" s="108"/>
      <c r="BL66" s="108"/>
      <c r="BM66" s="181"/>
      <c r="BN66" s="182"/>
      <c r="BO66" s="179"/>
      <c r="BP66" s="180">
        <f>IFERROR(VLOOKUP(D66,Sheet3!D:O,12,FALSE),"0")</f>
        <v>0</v>
      </c>
      <c r="BQ66" s="180">
        <f t="shared" si="32"/>
        <v>0</v>
      </c>
    </row>
    <row r="67" s="20" customFormat="1" ht="24" customHeight="1" spans="2:69">
      <c r="B67" s="48" t="s">
        <v>81</v>
      </c>
      <c r="C67" s="90" t="s">
        <v>209</v>
      </c>
      <c r="D67" s="126" t="s">
        <v>210</v>
      </c>
      <c r="E67" s="123">
        <v>0</v>
      </c>
      <c r="F67" s="9"/>
      <c r="G67" s="124"/>
      <c r="H67" s="124"/>
      <c r="I67" s="124"/>
      <c r="J67" s="124"/>
      <c r="K67" s="124"/>
      <c r="L67" s="124"/>
      <c r="M67" s="124"/>
      <c r="N67" s="124"/>
      <c r="O67" s="135"/>
      <c r="P67" s="136"/>
      <c r="Q67" s="147"/>
      <c r="R67" s="135"/>
      <c r="S67" s="136"/>
      <c r="T67" s="136"/>
      <c r="U67" s="145">
        <f t="shared" si="31"/>
        <v>0</v>
      </c>
      <c r="V67" s="9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58"/>
      <c r="AI67" s="85"/>
      <c r="AJ67" s="85"/>
      <c r="AK67" s="79"/>
      <c r="AL67" s="159"/>
      <c r="AM67" s="159"/>
      <c r="AN67" s="159"/>
      <c r="AO67" s="159"/>
      <c r="AP67" s="159"/>
      <c r="AQ67" s="159"/>
      <c r="AR67" s="159"/>
      <c r="AS67" s="159"/>
      <c r="AT67" s="159"/>
      <c r="AU67" s="159"/>
      <c r="AV67" s="159"/>
      <c r="AW67" s="174"/>
      <c r="AX67" s="169">
        <f t="shared" si="22"/>
        <v>0</v>
      </c>
      <c r="AY67" s="170">
        <f t="shared" si="23"/>
        <v>0</v>
      </c>
      <c r="AZ67" s="171">
        <f t="shared" si="24"/>
        <v>0</v>
      </c>
      <c r="BA67" s="172" t="str">
        <f t="shared" si="33"/>
        <v/>
      </c>
      <c r="BB67" s="172" t="str">
        <f t="shared" si="34"/>
        <v/>
      </c>
      <c r="BC67" s="173" t="str">
        <f t="shared" si="35"/>
        <v/>
      </c>
      <c r="BD67" s="108" t="str">
        <f t="shared" si="36"/>
        <v/>
      </c>
      <c r="BE67" s="108" t="str">
        <f t="shared" si="37"/>
        <v/>
      </c>
      <c r="BF67" s="108" t="str">
        <f t="shared" si="38"/>
        <v/>
      </c>
      <c r="BG67" s="108"/>
      <c r="BH67" s="108"/>
      <c r="BI67" s="108"/>
      <c r="BJ67" s="108"/>
      <c r="BK67" s="108"/>
      <c r="BL67" s="108"/>
      <c r="BM67" s="181" t="s">
        <v>222</v>
      </c>
      <c r="BN67" s="182"/>
      <c r="BO67" s="179"/>
      <c r="BP67" s="180">
        <f>IFERROR(VLOOKUP(D67,Sheet3!D:O,12,FALSE),"0")</f>
        <v>0</v>
      </c>
      <c r="BQ67" s="180">
        <f t="shared" si="32"/>
        <v>0</v>
      </c>
    </row>
    <row r="68" s="20" customFormat="1" ht="24" customHeight="1" spans="2:69">
      <c r="B68" s="48" t="s">
        <v>81</v>
      </c>
      <c r="C68" s="90" t="s">
        <v>211</v>
      </c>
      <c r="D68" s="126" t="e">
        <f t="array" ref="D68">[2]!'!数据!R319C4'</f>
        <v>#REF!</v>
      </c>
      <c r="E68" s="123">
        <v>0</v>
      </c>
      <c r="F68" s="9"/>
      <c r="G68" s="124"/>
      <c r="H68" s="124"/>
      <c r="I68" s="124"/>
      <c r="J68" s="124"/>
      <c r="K68" s="124"/>
      <c r="L68" s="124"/>
      <c r="M68" s="124"/>
      <c r="N68" s="124"/>
      <c r="O68" s="135"/>
      <c r="P68" s="136"/>
      <c r="Q68" s="147"/>
      <c r="R68" s="135"/>
      <c r="S68" s="136"/>
      <c r="T68" s="136"/>
      <c r="U68" s="145">
        <f t="shared" si="31"/>
        <v>0</v>
      </c>
      <c r="V68" s="9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4"/>
      <c r="AH68" s="158"/>
      <c r="AI68" s="85"/>
      <c r="AJ68" s="85"/>
      <c r="AK68" s="79"/>
      <c r="AL68" s="159"/>
      <c r="AM68" s="159"/>
      <c r="AN68" s="159"/>
      <c r="AO68" s="159"/>
      <c r="AP68" s="159"/>
      <c r="AQ68" s="159"/>
      <c r="AR68" s="159"/>
      <c r="AS68" s="159"/>
      <c r="AT68" s="159"/>
      <c r="AU68" s="159"/>
      <c r="AV68" s="159"/>
      <c r="AW68" s="174"/>
      <c r="AX68" s="169">
        <f t="shared" si="22"/>
        <v>0</v>
      </c>
      <c r="AY68" s="170">
        <f t="shared" si="23"/>
        <v>0</v>
      </c>
      <c r="AZ68" s="171">
        <f t="shared" si="24"/>
        <v>0</v>
      </c>
      <c r="BA68" s="172" t="str">
        <f t="shared" si="33"/>
        <v/>
      </c>
      <c r="BB68" s="172" t="str">
        <f t="shared" si="34"/>
        <v/>
      </c>
      <c r="BC68" s="173" t="str">
        <f t="shared" si="35"/>
        <v/>
      </c>
      <c r="BD68" s="108" t="str">
        <f t="shared" si="36"/>
        <v/>
      </c>
      <c r="BE68" s="108" t="str">
        <f t="shared" si="37"/>
        <v/>
      </c>
      <c r="BF68" s="108" t="str">
        <f t="shared" si="38"/>
        <v/>
      </c>
      <c r="BG68" s="108"/>
      <c r="BH68" s="108"/>
      <c r="BI68" s="108"/>
      <c r="BJ68" s="108"/>
      <c r="BK68" s="108"/>
      <c r="BL68" s="108"/>
      <c r="BM68" s="181" t="s">
        <v>222</v>
      </c>
      <c r="BN68" s="182"/>
      <c r="BO68" s="179"/>
      <c r="BP68" s="180" t="str">
        <f>IFERROR(VLOOKUP(D68,Sheet3!D:O,12,FALSE),"0")</f>
        <v>0</v>
      </c>
      <c r="BQ68" s="180">
        <f t="shared" si="32"/>
        <v>0</v>
      </c>
    </row>
    <row r="69" s="20" customFormat="1" ht="24" customHeight="1" spans="2:69">
      <c r="B69" s="48" t="s">
        <v>81</v>
      </c>
      <c r="C69" s="90" t="s">
        <v>237</v>
      </c>
      <c r="D69" s="126" t="s">
        <v>214</v>
      </c>
      <c r="E69" s="123">
        <v>0</v>
      </c>
      <c r="F69" s="9"/>
      <c r="G69" s="124"/>
      <c r="H69" s="124"/>
      <c r="I69" s="124"/>
      <c r="J69" s="124"/>
      <c r="K69" s="124"/>
      <c r="L69" s="124"/>
      <c r="M69" s="124"/>
      <c r="N69" s="124"/>
      <c r="O69" s="135"/>
      <c r="P69" s="136"/>
      <c r="Q69" s="147"/>
      <c r="R69" s="135"/>
      <c r="S69" s="136"/>
      <c r="T69" s="136"/>
      <c r="U69" s="145">
        <f t="shared" si="31"/>
        <v>0</v>
      </c>
      <c r="V69" s="9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58"/>
      <c r="AI69" s="85"/>
      <c r="AJ69" s="85"/>
      <c r="AK69" s="79"/>
      <c r="AL69" s="159"/>
      <c r="AM69" s="159"/>
      <c r="AN69" s="159"/>
      <c r="AO69" s="159"/>
      <c r="AP69" s="159"/>
      <c r="AQ69" s="159"/>
      <c r="AR69" s="159"/>
      <c r="AS69" s="159"/>
      <c r="AT69" s="159"/>
      <c r="AU69" s="159"/>
      <c r="AV69" s="159"/>
      <c r="AW69" s="174"/>
      <c r="AX69" s="169">
        <f t="shared" si="22"/>
        <v>0</v>
      </c>
      <c r="AY69" s="170">
        <f t="shared" si="23"/>
        <v>0</v>
      </c>
      <c r="AZ69" s="171">
        <f t="shared" si="24"/>
        <v>0</v>
      </c>
      <c r="BA69" s="172" t="str">
        <f t="shared" si="33"/>
        <v/>
      </c>
      <c r="BB69" s="172" t="str">
        <f t="shared" si="34"/>
        <v/>
      </c>
      <c r="BC69" s="173" t="str">
        <f t="shared" si="35"/>
        <v/>
      </c>
      <c r="BD69" s="108" t="str">
        <f t="shared" si="36"/>
        <v/>
      </c>
      <c r="BE69" s="108" t="str">
        <f t="shared" si="37"/>
        <v/>
      </c>
      <c r="BF69" s="108" t="str">
        <f t="shared" si="38"/>
        <v/>
      </c>
      <c r="BG69" s="108"/>
      <c r="BH69" s="108"/>
      <c r="BI69" s="108"/>
      <c r="BJ69" s="108"/>
      <c r="BK69" s="108"/>
      <c r="BL69" s="108"/>
      <c r="BM69" s="181" t="s">
        <v>222</v>
      </c>
      <c r="BN69" s="182"/>
      <c r="BO69" s="179"/>
      <c r="BP69" s="180">
        <f>IFERROR(VLOOKUP(D69,Sheet3!D:O,12,FALSE),"0")</f>
        <v>0</v>
      </c>
      <c r="BQ69" s="180">
        <f t="shared" si="32"/>
        <v>0</v>
      </c>
    </row>
    <row r="70" s="20" customFormat="1" ht="24" customHeight="1" spans="2:69">
      <c r="B70" s="48" t="s">
        <v>81</v>
      </c>
      <c r="C70" s="90" t="s">
        <v>238</v>
      </c>
      <c r="D70" s="127" t="s">
        <v>219</v>
      </c>
      <c r="E70" s="128">
        <v>0</v>
      </c>
      <c r="F70" s="9"/>
      <c r="G70" s="124"/>
      <c r="H70" s="124"/>
      <c r="I70" s="124"/>
      <c r="J70" s="124"/>
      <c r="K70" s="124"/>
      <c r="L70" s="124"/>
      <c r="M70" s="124"/>
      <c r="N70" s="124"/>
      <c r="O70" s="137"/>
      <c r="P70" s="138"/>
      <c r="Q70" s="148"/>
      <c r="R70" s="137"/>
      <c r="S70" s="138"/>
      <c r="T70" s="138"/>
      <c r="U70" s="145">
        <f t="shared" si="31"/>
        <v>0</v>
      </c>
      <c r="V70" s="133"/>
      <c r="W70" s="134"/>
      <c r="X70" s="134"/>
      <c r="Y70" s="134"/>
      <c r="Z70" s="134"/>
      <c r="AA70" s="134"/>
      <c r="AB70" s="134"/>
      <c r="AC70" s="134"/>
      <c r="AD70" s="134"/>
      <c r="AE70" s="134"/>
      <c r="AF70" s="134"/>
      <c r="AG70" s="134"/>
      <c r="AH70" s="158"/>
      <c r="AI70" s="85"/>
      <c r="AJ70" s="85"/>
      <c r="AK70" s="85"/>
      <c r="AL70" s="159"/>
      <c r="AM70" s="159"/>
      <c r="AN70" s="159"/>
      <c r="AO70" s="159"/>
      <c r="AP70" s="159"/>
      <c r="AQ70" s="159"/>
      <c r="AR70" s="159"/>
      <c r="AS70" s="159"/>
      <c r="AT70" s="159"/>
      <c r="AU70" s="159"/>
      <c r="AV70" s="159"/>
      <c r="AW70" s="174"/>
      <c r="AX70" s="169">
        <f t="shared" si="22"/>
        <v>0</v>
      </c>
      <c r="AY70" s="170">
        <f t="shared" si="23"/>
        <v>0</v>
      </c>
      <c r="AZ70" s="171">
        <f t="shared" si="24"/>
        <v>0</v>
      </c>
      <c r="BA70" s="172" t="str">
        <f t="shared" si="33"/>
        <v/>
      </c>
      <c r="BB70" s="172" t="str">
        <f t="shared" si="34"/>
        <v/>
      </c>
      <c r="BC70" s="173" t="str">
        <f t="shared" si="35"/>
        <v/>
      </c>
      <c r="BD70" s="108" t="str">
        <f t="shared" si="36"/>
        <v/>
      </c>
      <c r="BE70" s="108" t="str">
        <f t="shared" si="37"/>
        <v/>
      </c>
      <c r="BF70" s="108" t="str">
        <f t="shared" si="38"/>
        <v/>
      </c>
      <c r="BG70" s="107"/>
      <c r="BH70" s="107"/>
      <c r="BI70" s="107"/>
      <c r="BJ70" s="107"/>
      <c r="BK70" s="107"/>
      <c r="BL70" s="107"/>
      <c r="BM70" s="184" t="s">
        <v>101</v>
      </c>
      <c r="BN70" s="182"/>
      <c r="BO70" s="179"/>
      <c r="BP70" s="180">
        <f>IFERROR(VLOOKUP(D70,Sheet3!D:O,12,FALSE),"0")</f>
        <v>0</v>
      </c>
      <c r="BQ70" s="180">
        <f t="shared" si="32"/>
        <v>0</v>
      </c>
    </row>
    <row r="71" s="20" customFormat="1" ht="24" customHeight="1" spans="2:69">
      <c r="B71" s="48" t="s">
        <v>81</v>
      </c>
      <c r="C71" s="90" t="s">
        <v>239</v>
      </c>
      <c r="D71" s="127" t="s">
        <v>240</v>
      </c>
      <c r="E71" s="128">
        <v>0</v>
      </c>
      <c r="F71" s="185"/>
      <c r="G71" s="186"/>
      <c r="H71" s="186"/>
      <c r="I71" s="186"/>
      <c r="J71" s="186"/>
      <c r="K71" s="186"/>
      <c r="L71" s="186"/>
      <c r="M71" s="186"/>
      <c r="N71" s="186"/>
      <c r="O71" s="137"/>
      <c r="P71" s="138"/>
      <c r="Q71" s="148"/>
      <c r="R71" s="137"/>
      <c r="S71" s="138"/>
      <c r="T71" s="148"/>
      <c r="U71" s="145">
        <f t="shared" si="31"/>
        <v>0</v>
      </c>
      <c r="V71" s="133"/>
      <c r="W71" s="134"/>
      <c r="X71" s="134"/>
      <c r="Y71" s="134"/>
      <c r="Z71" s="134"/>
      <c r="AA71" s="134"/>
      <c r="AB71" s="134"/>
      <c r="AC71" s="139"/>
      <c r="AD71" s="134"/>
      <c r="AE71" s="134"/>
      <c r="AF71" s="134"/>
      <c r="AG71" s="134"/>
      <c r="AH71" s="158"/>
      <c r="AI71" s="85"/>
      <c r="AJ71" s="85"/>
      <c r="AK71" s="85"/>
      <c r="AL71" s="159"/>
      <c r="AM71" s="159"/>
      <c r="AN71" s="159"/>
      <c r="AO71" s="159"/>
      <c r="AP71" s="159"/>
      <c r="AQ71" s="159"/>
      <c r="AR71" s="159"/>
      <c r="AS71" s="159"/>
      <c r="AT71" s="159"/>
      <c r="AU71" s="159"/>
      <c r="AV71" s="159"/>
      <c r="AW71" s="174"/>
      <c r="AX71" s="169">
        <f t="shared" si="22"/>
        <v>0</v>
      </c>
      <c r="AY71" s="170">
        <f t="shared" si="23"/>
        <v>0</v>
      </c>
      <c r="AZ71" s="171">
        <f t="shared" si="24"/>
        <v>0</v>
      </c>
      <c r="BA71" s="172" t="str">
        <f t="shared" si="33"/>
        <v/>
      </c>
      <c r="BB71" s="172" t="str">
        <f t="shared" si="34"/>
        <v/>
      </c>
      <c r="BC71" s="173" t="str">
        <f t="shared" si="35"/>
        <v/>
      </c>
      <c r="BD71" s="108" t="str">
        <f t="shared" si="36"/>
        <v/>
      </c>
      <c r="BE71" s="108" t="str">
        <f t="shared" si="37"/>
        <v/>
      </c>
      <c r="BF71" s="108" t="str">
        <f t="shared" si="38"/>
        <v/>
      </c>
      <c r="BG71" s="107"/>
      <c r="BH71" s="107"/>
      <c r="BI71" s="107"/>
      <c r="BJ71" s="107"/>
      <c r="BK71" s="107"/>
      <c r="BL71" s="107"/>
      <c r="BM71" s="184" t="s">
        <v>96</v>
      </c>
      <c r="BN71" s="182"/>
      <c r="BO71" s="179"/>
      <c r="BP71" s="180" t="str">
        <f>IFERROR(VLOOKUP(D71,Sheet3!D:O,12,FALSE),"0")</f>
        <v>0</v>
      </c>
      <c r="BQ71" s="180">
        <f t="shared" si="32"/>
        <v>0</v>
      </c>
    </row>
    <row r="72" s="20" customFormat="1" ht="24" customHeight="1" spans="2:69">
      <c r="B72" s="48" t="s">
        <v>81</v>
      </c>
      <c r="C72" s="90" t="s">
        <v>226</v>
      </c>
      <c r="D72" s="127" t="s">
        <v>227</v>
      </c>
      <c r="E72" s="128">
        <v>0</v>
      </c>
      <c r="F72" s="99"/>
      <c r="G72" s="99"/>
      <c r="H72" s="99"/>
      <c r="I72" s="99"/>
      <c r="J72" s="99"/>
      <c r="K72" s="99"/>
      <c r="L72" s="99"/>
      <c r="M72" s="99"/>
      <c r="N72" s="99"/>
      <c r="O72" s="137"/>
      <c r="P72" s="138"/>
      <c r="Q72" s="148"/>
      <c r="R72" s="137"/>
      <c r="S72" s="138"/>
      <c r="T72" s="148"/>
      <c r="U72" s="145">
        <f t="shared" si="31"/>
        <v>0</v>
      </c>
      <c r="V72" s="133"/>
      <c r="W72" s="134"/>
      <c r="X72" s="134"/>
      <c r="Y72" s="134"/>
      <c r="Z72" s="134"/>
      <c r="AA72" s="134"/>
      <c r="AB72" s="134"/>
      <c r="AC72" s="139"/>
      <c r="AD72" s="134"/>
      <c r="AE72" s="134"/>
      <c r="AF72" s="134"/>
      <c r="AG72" s="134"/>
      <c r="AH72" s="158"/>
      <c r="AI72" s="85"/>
      <c r="AJ72" s="85"/>
      <c r="AK72" s="85"/>
      <c r="AL72" s="159"/>
      <c r="AM72" s="159"/>
      <c r="AN72" s="159"/>
      <c r="AO72" s="159"/>
      <c r="AP72" s="159"/>
      <c r="AQ72" s="159"/>
      <c r="AR72" s="159"/>
      <c r="AS72" s="159"/>
      <c r="AT72" s="159"/>
      <c r="AU72" s="159"/>
      <c r="AV72" s="159"/>
      <c r="AW72" s="174"/>
      <c r="AX72" s="169">
        <f t="shared" si="22"/>
        <v>0</v>
      </c>
      <c r="AY72" s="170">
        <f t="shared" si="23"/>
        <v>0</v>
      </c>
      <c r="AZ72" s="171">
        <f t="shared" si="24"/>
        <v>0</v>
      </c>
      <c r="BA72" s="172" t="str">
        <f t="shared" si="33"/>
        <v/>
      </c>
      <c r="BB72" s="172" t="str">
        <f t="shared" si="34"/>
        <v/>
      </c>
      <c r="BC72" s="173" t="str">
        <f t="shared" si="35"/>
        <v/>
      </c>
      <c r="BD72" s="194"/>
      <c r="BE72" s="108" t="str">
        <f t="shared" si="37"/>
        <v/>
      </c>
      <c r="BF72" s="108" t="str">
        <f>IF(AZ72-SUM(AH72)&gt;0,AZ72-SUM(AH72),"")</f>
        <v/>
      </c>
      <c r="BG72" s="107"/>
      <c r="BH72" s="107"/>
      <c r="BI72" s="107"/>
      <c r="BJ72" s="107"/>
      <c r="BK72" s="107"/>
      <c r="BL72" s="107"/>
      <c r="BM72" s="184" t="s">
        <v>101</v>
      </c>
      <c r="BN72" s="182"/>
      <c r="BO72" s="179"/>
      <c r="BP72" s="180">
        <f>IFERROR(VLOOKUP(D72,Sheet3!D:O,12,FALSE),"0")</f>
        <v>0</v>
      </c>
      <c r="BQ72" s="180">
        <f t="shared" si="32"/>
        <v>0</v>
      </c>
    </row>
    <row r="73" s="20" customFormat="1" ht="24" customHeight="1" spans="2:69">
      <c r="B73" s="48" t="s">
        <v>81</v>
      </c>
      <c r="C73" s="91"/>
      <c r="D73" s="50" t="s">
        <v>273</v>
      </c>
      <c r="E73" s="123">
        <v>0</v>
      </c>
      <c r="F73" s="99"/>
      <c r="G73" s="99"/>
      <c r="H73" s="99"/>
      <c r="I73" s="99"/>
      <c r="J73" s="99"/>
      <c r="K73" s="99"/>
      <c r="L73" s="99"/>
      <c r="M73" s="99"/>
      <c r="N73" s="99"/>
      <c r="O73" s="135"/>
      <c r="P73" s="136"/>
      <c r="Q73" s="136"/>
      <c r="R73" s="135"/>
      <c r="S73" s="136"/>
      <c r="T73" s="136"/>
      <c r="U73" s="145"/>
      <c r="V73" s="9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58"/>
      <c r="AI73" s="85"/>
      <c r="AJ73" s="79"/>
      <c r="AK73" s="79"/>
      <c r="AL73" s="159"/>
      <c r="AM73" s="159"/>
      <c r="AN73" s="159"/>
      <c r="AO73" s="159"/>
      <c r="AP73" s="159"/>
      <c r="AQ73" s="159"/>
      <c r="AR73" s="159"/>
      <c r="AS73" s="159"/>
      <c r="AT73" s="159"/>
      <c r="AU73" s="159"/>
      <c r="AV73" s="159"/>
      <c r="AW73" s="174"/>
      <c r="AX73" s="169">
        <f t="shared" si="22"/>
        <v>0</v>
      </c>
      <c r="AY73" s="170">
        <f t="shared" si="23"/>
        <v>0</v>
      </c>
      <c r="AZ73" s="171">
        <f t="shared" si="24"/>
        <v>0</v>
      </c>
      <c r="BA73" s="172" t="str">
        <f t="shared" si="33"/>
        <v/>
      </c>
      <c r="BB73" s="172" t="str">
        <f t="shared" si="34"/>
        <v/>
      </c>
      <c r="BC73" s="173" t="str">
        <f t="shared" si="35"/>
        <v/>
      </c>
      <c r="BD73" s="108">
        <f>AZ73-Y73-X73</f>
        <v>0</v>
      </c>
      <c r="BE73" s="108" t="str">
        <f t="shared" si="37"/>
        <v/>
      </c>
      <c r="BF73" s="108" t="str">
        <f>IF(AZ73-SUM(Z73:AH73)&gt;0,AZ73-SUM(Z73:AH73),"")</f>
        <v/>
      </c>
      <c r="BG73" s="108"/>
      <c r="BH73" s="108"/>
      <c r="BI73" s="108" t="str">
        <f>IF($AZ73-SUM(AB73:$AG73)&gt;0,$AZ73-SUM(AB73:$AG73),"")</f>
        <v/>
      </c>
      <c r="BJ73" s="108" t="str">
        <f>IF($AZ73-SUM(AC73:$AG73)&gt;0,$AZ73-SUM(AC73:$AG73),"")</f>
        <v/>
      </c>
      <c r="BK73" s="108"/>
      <c r="BL73" s="108"/>
      <c r="BM73" s="177"/>
      <c r="BN73" s="182"/>
      <c r="BO73" s="179"/>
      <c r="BP73" s="180">
        <f>IFERROR(VLOOKUP(D73,Sheet3!D:O,12,FALSE),"0")</f>
        <v>0</v>
      </c>
      <c r="BQ73" s="180">
        <f t="shared" si="32"/>
        <v>0</v>
      </c>
    </row>
    <row r="74" s="21" customFormat="1" ht="24" customHeight="1" spans="2:67">
      <c r="B74" s="92"/>
      <c r="C74" s="93"/>
      <c r="D74" s="94" t="s">
        <v>142</v>
      </c>
      <c r="E74" s="187">
        <f>SUM(E5:E33)</f>
        <v>4070339.72</v>
      </c>
      <c r="F74" s="111"/>
      <c r="G74" s="111"/>
      <c r="H74" s="111"/>
      <c r="I74" s="111"/>
      <c r="J74" s="111"/>
      <c r="K74" s="111"/>
      <c r="L74" s="111"/>
      <c r="M74" s="111"/>
      <c r="N74" s="111"/>
      <c r="O74" s="188"/>
      <c r="P74" s="189">
        <f>SUM(P5:P33)</f>
        <v>1376997.18</v>
      </c>
      <c r="Q74" s="189">
        <f>SUM(Q5:Q33)</f>
        <v>1318183.99</v>
      </c>
      <c r="R74" s="189">
        <f>SUM(R5:R33)</f>
        <v>1531.82</v>
      </c>
      <c r="S74" s="189">
        <f>SUM(S5:S33)</f>
        <v>46198.82</v>
      </c>
      <c r="T74" s="189">
        <f>SUM(T5:T33)</f>
        <v>428450.25</v>
      </c>
      <c r="U74" s="190">
        <f>SUM(U5:U57)</f>
        <v>4548780.61</v>
      </c>
      <c r="V74" s="185">
        <f t="shared" ref="V74:AW74" si="39">SUM(V5:V33)</f>
        <v>669125.46</v>
      </c>
      <c r="W74" s="186">
        <f t="shared" si="39"/>
        <v>880581.93</v>
      </c>
      <c r="X74" s="186">
        <f t="shared" si="39"/>
        <v>1173745.9</v>
      </c>
      <c r="Y74" s="186">
        <f t="shared" si="39"/>
        <v>2100284.54</v>
      </c>
      <c r="Z74" s="186">
        <f t="shared" si="39"/>
        <v>269619.71</v>
      </c>
      <c r="AA74" s="186">
        <f t="shared" si="39"/>
        <v>0</v>
      </c>
      <c r="AB74" s="186">
        <f t="shared" si="39"/>
        <v>0</v>
      </c>
      <c r="AC74" s="186">
        <f t="shared" si="39"/>
        <v>0</v>
      </c>
      <c r="AD74" s="186">
        <f t="shared" si="39"/>
        <v>0</v>
      </c>
      <c r="AE74" s="186">
        <f t="shared" si="39"/>
        <v>0</v>
      </c>
      <c r="AF74" s="186">
        <f t="shared" si="39"/>
        <v>0</v>
      </c>
      <c r="AG74" s="186">
        <f t="shared" si="39"/>
        <v>0</v>
      </c>
      <c r="AH74" s="191">
        <f t="shared" si="39"/>
        <v>0</v>
      </c>
      <c r="AI74" s="192">
        <f t="shared" si="39"/>
        <v>0</v>
      </c>
      <c r="AJ74" s="192">
        <f t="shared" si="39"/>
        <v>0</v>
      </c>
      <c r="AK74" s="192">
        <f t="shared" si="39"/>
        <v>0</v>
      </c>
      <c r="AL74" s="192">
        <f t="shared" si="39"/>
        <v>190873.59</v>
      </c>
      <c r="AM74" s="192">
        <f t="shared" si="39"/>
        <v>1054636.93</v>
      </c>
      <c r="AN74" s="192">
        <f t="shared" si="39"/>
        <v>1472023.24</v>
      </c>
      <c r="AO74" s="192">
        <f t="shared" si="39"/>
        <v>777288.94</v>
      </c>
      <c r="AP74" s="192">
        <f t="shared" si="39"/>
        <v>1696243.78</v>
      </c>
      <c r="AQ74" s="192">
        <f t="shared" si="39"/>
        <v>42006.12</v>
      </c>
      <c r="AR74" s="192">
        <f t="shared" si="39"/>
        <v>0</v>
      </c>
      <c r="AS74" s="192">
        <f t="shared" si="39"/>
        <v>0</v>
      </c>
      <c r="AT74" s="192">
        <f t="shared" si="39"/>
        <v>0</v>
      </c>
      <c r="AU74" s="192">
        <f t="shared" si="39"/>
        <v>0</v>
      </c>
      <c r="AV74" s="192">
        <f t="shared" si="39"/>
        <v>0</v>
      </c>
      <c r="AW74" s="195">
        <f t="shared" si="39"/>
        <v>0</v>
      </c>
      <c r="AX74" s="196">
        <f>SUM(AX5:AX73)</f>
        <v>11541260.44</v>
      </c>
      <c r="AY74" s="197">
        <f t="shared" ref="AY74:BL74" si="40">SUM(AY5:AY33)</f>
        <v>5233072.6</v>
      </c>
      <c r="AZ74" s="198">
        <f t="shared" si="40"/>
        <v>4406805.55</v>
      </c>
      <c r="BA74" s="104">
        <f t="shared" si="40"/>
        <v>2665787.94</v>
      </c>
      <c r="BB74" s="104">
        <f t="shared" si="40"/>
        <v>3124252.74</v>
      </c>
      <c r="BC74" s="104">
        <f t="shared" si="40"/>
        <v>639547.99</v>
      </c>
      <c r="BD74" s="104">
        <f t="shared" si="40"/>
        <v>470373.66</v>
      </c>
      <c r="BE74" s="104">
        <f t="shared" si="40"/>
        <v>1390235.83</v>
      </c>
      <c r="BF74" s="104">
        <f t="shared" si="40"/>
        <v>3199962.92</v>
      </c>
      <c r="BG74" s="104">
        <f t="shared" si="40"/>
        <v>3337154.83</v>
      </c>
      <c r="BH74" s="104">
        <f t="shared" si="40"/>
        <v>3337154.83</v>
      </c>
      <c r="BI74" s="104">
        <f t="shared" si="40"/>
        <v>3477368.3</v>
      </c>
      <c r="BJ74" s="104">
        <f t="shared" si="40"/>
        <v>3477368.3</v>
      </c>
      <c r="BK74" s="104">
        <f t="shared" si="40"/>
        <v>3477368.3</v>
      </c>
      <c r="BL74" s="104">
        <f t="shared" si="40"/>
        <v>3477368.3</v>
      </c>
      <c r="BM74" s="199"/>
      <c r="BN74" s="200"/>
      <c r="BO74" s="201">
        <f>SUM(BO5:BO33)</f>
        <v>0</v>
      </c>
    </row>
    <row r="75" customHeight="1" spans="5:65">
      <c r="E75" s="99"/>
      <c r="O75" s="99"/>
      <c r="P75" s="99"/>
      <c r="Q75" s="99"/>
      <c r="R75" s="99">
        <f t="shared" ref="R75:AX75" si="41">SUM(R5:R23)</f>
        <v>0</v>
      </c>
      <c r="S75" s="99">
        <f t="shared" si="41"/>
        <v>2000</v>
      </c>
      <c r="T75" s="99">
        <f t="shared" si="41"/>
        <v>21555.34</v>
      </c>
      <c r="U75" s="99">
        <f t="shared" si="41"/>
        <v>3139072.52</v>
      </c>
      <c r="V75" s="99">
        <f t="shared" si="41"/>
        <v>180768.14</v>
      </c>
      <c r="W75" s="99">
        <f t="shared" si="41"/>
        <v>338845.64</v>
      </c>
      <c r="X75" s="99">
        <f t="shared" si="41"/>
        <v>406680.04</v>
      </c>
      <c r="Y75" s="99">
        <f t="shared" si="41"/>
        <v>959989.49</v>
      </c>
      <c r="Z75" s="99">
        <f t="shared" si="41"/>
        <v>804982.41</v>
      </c>
      <c r="AA75" s="99">
        <f t="shared" si="41"/>
        <v>0</v>
      </c>
      <c r="AB75" s="99">
        <f t="shared" si="41"/>
        <v>0</v>
      </c>
      <c r="AC75" s="99">
        <f t="shared" si="41"/>
        <v>0</v>
      </c>
      <c r="AD75" s="99">
        <f t="shared" si="41"/>
        <v>0</v>
      </c>
      <c r="AE75" s="99">
        <f t="shared" si="41"/>
        <v>0</v>
      </c>
      <c r="AF75" s="99">
        <f t="shared" si="41"/>
        <v>0</v>
      </c>
      <c r="AG75" s="99">
        <f t="shared" si="41"/>
        <v>0</v>
      </c>
      <c r="AH75" s="99">
        <f t="shared" si="41"/>
        <v>0</v>
      </c>
      <c r="AI75" s="99">
        <f t="shared" si="41"/>
        <v>0</v>
      </c>
      <c r="AJ75" s="99">
        <f t="shared" si="41"/>
        <v>0</v>
      </c>
      <c r="AK75" s="99">
        <f t="shared" si="41"/>
        <v>0</v>
      </c>
      <c r="AL75" s="99">
        <f t="shared" si="41"/>
        <v>565575.54</v>
      </c>
      <c r="AM75" s="99">
        <f t="shared" si="41"/>
        <v>563846.11</v>
      </c>
      <c r="AN75" s="99">
        <f t="shared" si="41"/>
        <v>814823.24</v>
      </c>
      <c r="AO75" s="99">
        <f t="shared" si="41"/>
        <v>502503.5</v>
      </c>
      <c r="AP75" s="99">
        <f t="shared" si="41"/>
        <v>607693.64</v>
      </c>
      <c r="AQ75" s="99">
        <f t="shared" si="41"/>
        <v>30000</v>
      </c>
      <c r="AR75" s="99">
        <f t="shared" si="41"/>
        <v>0</v>
      </c>
      <c r="AS75" s="99">
        <f t="shared" si="41"/>
        <v>0</v>
      </c>
      <c r="AT75" s="99">
        <f t="shared" si="41"/>
        <v>0</v>
      </c>
      <c r="AU75" s="99">
        <f t="shared" si="41"/>
        <v>0</v>
      </c>
      <c r="AV75" s="99">
        <f t="shared" si="41"/>
        <v>0</v>
      </c>
      <c r="AW75" s="99">
        <f t="shared" si="41"/>
        <v>0</v>
      </c>
      <c r="AX75" s="99">
        <f t="shared" si="41"/>
        <v>5830338.24</v>
      </c>
      <c r="AY75" s="99">
        <f>SUM(AY5:AY25)</f>
        <v>4264819.47</v>
      </c>
      <c r="AZ75" s="99">
        <f t="shared" ref="AZ75:BM75" si="42">SUM(AZ5:AZ26)</f>
        <v>3328875.82</v>
      </c>
      <c r="BA75" s="99">
        <f t="shared" si="42"/>
        <v>2211045.09</v>
      </c>
      <c r="BB75" s="99">
        <f t="shared" si="42"/>
        <v>2854983.29</v>
      </c>
      <c r="BC75" s="99">
        <f t="shared" si="42"/>
        <v>639547.99</v>
      </c>
      <c r="BD75" s="99">
        <f t="shared" si="42"/>
        <v>1030088.24</v>
      </c>
      <c r="BE75" s="99">
        <f t="shared" si="42"/>
        <v>1262366.06</v>
      </c>
      <c r="BF75" s="99">
        <f t="shared" si="42"/>
        <v>2356624.03</v>
      </c>
      <c r="BG75" s="99">
        <f t="shared" si="42"/>
        <v>3244766.85</v>
      </c>
      <c r="BH75" s="99">
        <f t="shared" si="42"/>
        <v>3244766.85</v>
      </c>
      <c r="BI75" s="99">
        <f t="shared" si="42"/>
        <v>3328875.82</v>
      </c>
      <c r="BJ75" s="99">
        <f t="shared" si="42"/>
        <v>3328875.82</v>
      </c>
      <c r="BK75" s="99">
        <f t="shared" si="42"/>
        <v>3328875.82</v>
      </c>
      <c r="BL75" s="99">
        <f t="shared" si="42"/>
        <v>3328875.82</v>
      </c>
      <c r="BM75" s="99">
        <f t="shared" si="42"/>
        <v>0</v>
      </c>
    </row>
    <row r="76" customHeight="1" spans="5:33">
      <c r="E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</row>
    <row r="77" ht="15.6" spans="4:65">
      <c r="D77" s="100" t="s">
        <v>143</v>
      </c>
      <c r="AL77" s="193">
        <f t="shared" ref="AL77:AQ77" si="43">AL74-AL15-AL17</f>
        <v>49291.4600000001</v>
      </c>
      <c r="AM77" s="193">
        <f t="shared" si="43"/>
        <v>1041088.75</v>
      </c>
      <c r="AN77" s="193">
        <f t="shared" si="43"/>
        <v>1418367.13</v>
      </c>
      <c r="AO77" s="193">
        <f t="shared" si="43"/>
        <v>687496.02</v>
      </c>
      <c r="AP77" s="193">
        <f t="shared" si="43"/>
        <v>1608176.64</v>
      </c>
      <c r="AQ77" s="193">
        <f t="shared" si="43"/>
        <v>42006.12</v>
      </c>
      <c r="AR77" s="22"/>
      <c r="AS77" s="22"/>
      <c r="AT77" s="22"/>
      <c r="AU77" s="22"/>
      <c r="AV77" s="22"/>
      <c r="AW77" s="22"/>
      <c r="AX77" s="100"/>
      <c r="AY77" s="100"/>
      <c r="AZ77" s="100"/>
      <c r="BA77" s="100"/>
      <c r="BB77" s="100"/>
      <c r="BC77" s="100"/>
      <c r="BD77" s="100"/>
      <c r="BE77" s="100"/>
      <c r="BF77" s="100"/>
      <c r="BG77" s="100"/>
      <c r="BH77" s="100"/>
      <c r="BI77" s="100"/>
      <c r="BJ77" s="100"/>
      <c r="BK77" s="100"/>
      <c r="BL77" s="100"/>
      <c r="BM77" s="100"/>
    </row>
    <row r="78" spans="38:64">
      <c r="AL78" s="112">
        <f t="shared" ref="AL78:AQ78" si="44">AL77/10000</f>
        <v>4.92914600000001</v>
      </c>
      <c r="AM78" s="112">
        <f t="shared" si="44"/>
        <v>104.108875</v>
      </c>
      <c r="AN78" s="112">
        <f t="shared" si="44"/>
        <v>141.836713</v>
      </c>
      <c r="AO78" s="112">
        <f t="shared" si="44"/>
        <v>68.749602</v>
      </c>
      <c r="AP78" s="112">
        <f t="shared" si="44"/>
        <v>160.817664</v>
      </c>
      <c r="AQ78" s="112">
        <f t="shared" si="44"/>
        <v>4.200612</v>
      </c>
      <c r="BE78" s="106"/>
      <c r="BF78" s="106"/>
      <c r="BG78" s="106"/>
      <c r="BH78" s="106"/>
      <c r="BI78" s="106"/>
      <c r="BJ78" s="106"/>
      <c r="BK78" s="106"/>
      <c r="BL78" s="106"/>
    </row>
    <row r="85" spans="6:14">
      <c r="F85" s="22"/>
      <c r="G85" s="22"/>
      <c r="H85" s="22"/>
      <c r="I85" s="22"/>
      <c r="J85" s="22"/>
      <c r="K85" s="22"/>
      <c r="L85" s="22"/>
      <c r="M85" s="22"/>
      <c r="N85" s="22"/>
    </row>
    <row r="88" spans="2:65">
      <c r="B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</row>
    <row r="91" spans="2:65">
      <c r="B91" s="22"/>
      <c r="D91" s="22"/>
      <c r="E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</row>
  </sheetData>
  <mergeCells count="72">
    <mergeCell ref="B1:AW1"/>
    <mergeCell ref="E2:Q2"/>
    <mergeCell ref="R2:U2"/>
    <mergeCell ref="V2:AG2"/>
    <mergeCell ref="AI2:AK2"/>
    <mergeCell ref="AX2:BM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2:AH4"/>
    <mergeCell ref="AI3:AI4"/>
    <mergeCell ref="AJ3:AJ4"/>
    <mergeCell ref="AK3:AK4"/>
    <mergeCell ref="AL2:AL4"/>
    <mergeCell ref="AM2:AM4"/>
    <mergeCell ref="AN2:AN4"/>
    <mergeCell ref="AO2:AO4"/>
    <mergeCell ref="AP2:AP4"/>
    <mergeCell ref="AQ2:AQ4"/>
    <mergeCell ref="AR2:AR4"/>
    <mergeCell ref="AS2:AS4"/>
    <mergeCell ref="AT2:AT4"/>
    <mergeCell ref="AU2:AU4"/>
    <mergeCell ref="AV2:AV4"/>
    <mergeCell ref="AW2:AW4"/>
    <mergeCell ref="AX3:AX4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BH3:BH4"/>
    <mergeCell ref="BI3:BI4"/>
    <mergeCell ref="BJ3:BJ4"/>
    <mergeCell ref="BK3:BK4"/>
    <mergeCell ref="BL3:BL4"/>
    <mergeCell ref="BM3:BM4"/>
    <mergeCell ref="BN2:BN4"/>
    <mergeCell ref="BO2:BO4"/>
  </mergeCells>
  <conditionalFormatting sqref="D23">
    <cfRule type="duplicateValues" dxfId="0" priority="19"/>
  </conditionalFormatting>
  <conditionalFormatting sqref="D24">
    <cfRule type="duplicateValues" dxfId="0" priority="20"/>
  </conditionalFormatting>
  <conditionalFormatting sqref="D25">
    <cfRule type="duplicateValues" dxfId="0" priority="18"/>
  </conditionalFormatting>
  <conditionalFormatting sqref="D26">
    <cfRule type="duplicateValues" dxfId="0" priority="5"/>
  </conditionalFormatting>
  <conditionalFormatting sqref="D28">
    <cfRule type="duplicateValues" dxfId="0" priority="3"/>
  </conditionalFormatting>
  <conditionalFormatting sqref="D32">
    <cfRule type="duplicateValues" dxfId="0" priority="2"/>
  </conditionalFormatting>
  <conditionalFormatting sqref="D60">
    <cfRule type="duplicateValues" dxfId="0" priority="13"/>
  </conditionalFormatting>
  <conditionalFormatting sqref="D61">
    <cfRule type="duplicateValues" dxfId="0" priority="12"/>
  </conditionalFormatting>
  <conditionalFormatting sqref="D69">
    <cfRule type="duplicateValues" dxfId="0" priority="9"/>
  </conditionalFormatting>
  <conditionalFormatting sqref="D70">
    <cfRule type="duplicateValues" dxfId="0" priority="7"/>
  </conditionalFormatting>
  <conditionalFormatting sqref="D73">
    <cfRule type="duplicateValues" dxfId="0" priority="6"/>
  </conditionalFormatting>
  <conditionalFormatting sqref="D5:D73">
    <cfRule type="duplicateValues" dxfId="0" priority="24"/>
  </conditionalFormatting>
  <conditionalFormatting sqref="D51:D53">
    <cfRule type="duplicateValues" dxfId="0" priority="16"/>
  </conditionalFormatting>
  <conditionalFormatting sqref="D54:D56">
    <cfRule type="duplicateValues" dxfId="0" priority="15"/>
  </conditionalFormatting>
  <conditionalFormatting sqref="D57:D59">
    <cfRule type="duplicateValues" dxfId="0" priority="14"/>
  </conditionalFormatting>
  <conditionalFormatting sqref="D62:D65">
    <cfRule type="duplicateValues" dxfId="0" priority="11"/>
  </conditionalFormatting>
  <conditionalFormatting sqref="D66:D68">
    <cfRule type="duplicateValues" dxfId="0" priority="10"/>
  </conditionalFormatting>
  <conditionalFormatting sqref="D71:D72">
    <cfRule type="duplicateValues" dxfId="0" priority="8"/>
  </conditionalFormatting>
  <conditionalFormatting sqref="D1:D27 D29:D31 D33:D1048576">
    <cfRule type="duplicateValues" dxfId="0" priority="4"/>
  </conditionalFormatting>
  <conditionalFormatting sqref="D74:D1048576 D1:D22 D33:D50">
    <cfRule type="duplicateValues" dxfId="0" priority="22"/>
  </conditionalFormatting>
  <conditionalFormatting sqref="AY76:BL1048576 AY1:BL1">
    <cfRule type="duplicateValues" dxfId="0" priority="21"/>
  </conditionalFormatting>
  <conditionalFormatting sqref="D27 D29:D31">
    <cfRule type="duplicateValues" dxfId="0" priority="17"/>
  </conditionalFormatting>
  <pageMargins left="0.7" right="0.7" top="0.75" bottom="0.75" header="0.3" footer="0.3"/>
  <pageSetup paperSize="9" orientation="portrait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B1:AO91"/>
  <sheetViews>
    <sheetView tabSelected="1" zoomScale="85" zoomScaleNormal="85" workbookViewId="0">
      <pane xSplit="8" ySplit="4" topLeftCell="U5" activePane="bottomRight" state="frozen"/>
      <selection/>
      <selection pane="topRight"/>
      <selection pane="bottomLeft"/>
      <selection pane="bottomRight" activeCell="AA47" sqref="AA47"/>
    </sheetView>
  </sheetViews>
  <sheetFormatPr defaultColWidth="8" defaultRowHeight="15"/>
  <cols>
    <col min="1" max="1" width="1.4537037037037" style="22" customWidth="1"/>
    <col min="2" max="2" width="7.09259259259259" style="23" customWidth="1"/>
    <col min="3" max="3" width="9.09259259259259" style="22" customWidth="1"/>
    <col min="4" max="4" width="27.3611111111111" style="24" customWidth="1"/>
    <col min="5" max="5" width="5.72222222222222" style="25" customWidth="1"/>
    <col min="6" max="6" width="13.2685185185185" style="22" customWidth="1"/>
    <col min="7" max="7" width="13.2685185185185" style="22" hidden="1" customWidth="1"/>
    <col min="8" max="9" width="13.2685185185185" style="22" customWidth="1"/>
    <col min="10" max="12" width="10.3611111111111" style="22" customWidth="1"/>
    <col min="13" max="14" width="10.3611111111111" style="22" hidden="1" customWidth="1"/>
    <col min="15" max="15" width="10.3611111111111" style="22" customWidth="1"/>
    <col min="16" max="18" width="13.9074074074074" style="22" customWidth="1"/>
    <col min="19" max="23" width="14.4537037037037" style="24" customWidth="1"/>
    <col min="24" max="27" width="17.2685185185185" style="24" customWidth="1"/>
    <col min="28" max="33" width="17.2685185185185" style="24" hidden="1" customWidth="1"/>
    <col min="34" max="34" width="13.2685185185185" style="22" customWidth="1"/>
    <col min="35" max="35" width="9.36111111111111" style="22" hidden="1" customWidth="1"/>
    <col min="36" max="36" width="12.3611111111111" style="22" hidden="1" customWidth="1"/>
    <col min="37" max="37" width="19.0925925925926" style="22" hidden="1" customWidth="1"/>
    <col min="38" max="38" width="16.7222222222222" style="22" hidden="1" customWidth="1"/>
    <col min="39" max="39" width="13.0925925925926" style="26" customWidth="1"/>
    <col min="40" max="40" width="13.3611111111111" style="26" customWidth="1"/>
    <col min="41" max="41" width="13" style="26" customWidth="1"/>
    <col min="42" max="16384" width="8" style="22"/>
  </cols>
  <sheetData>
    <row r="1" ht="50" customHeight="1" spans="2:41">
      <c r="B1" s="27" t="s">
        <v>309</v>
      </c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</row>
    <row r="2" ht="18" customHeight="1" spans="2:41">
      <c r="B2" s="29" t="s">
        <v>1</v>
      </c>
      <c r="C2" s="30" t="s">
        <v>2</v>
      </c>
      <c r="D2" s="31" t="s">
        <v>3</v>
      </c>
      <c r="E2" s="32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63" t="s">
        <v>37</v>
      </c>
      <c r="AI2" s="64"/>
      <c r="AJ2" s="65"/>
      <c r="AK2" s="66" t="s">
        <v>310</v>
      </c>
      <c r="AL2" s="67" t="s">
        <v>36</v>
      </c>
      <c r="AM2" s="68" t="s">
        <v>311</v>
      </c>
      <c r="AN2" s="68" t="s">
        <v>312</v>
      </c>
      <c r="AO2" s="68" t="s">
        <v>313</v>
      </c>
    </row>
    <row r="3" ht="31.5" customHeight="1" spans="2:41">
      <c r="B3" s="34"/>
      <c r="C3" s="35"/>
      <c r="D3" s="36"/>
      <c r="E3" s="37" t="s">
        <v>203</v>
      </c>
      <c r="F3" s="38" t="s">
        <v>314</v>
      </c>
      <c r="G3" s="38" t="s">
        <v>315</v>
      </c>
      <c r="H3" s="39" t="s">
        <v>316</v>
      </c>
      <c r="I3" s="56" t="s">
        <v>317</v>
      </c>
      <c r="J3" s="56" t="s">
        <v>318</v>
      </c>
      <c r="K3" s="56" t="s">
        <v>319</v>
      </c>
      <c r="L3" s="56" t="s">
        <v>320</v>
      </c>
      <c r="M3" s="56" t="s">
        <v>321</v>
      </c>
      <c r="N3" s="56" t="s">
        <v>322</v>
      </c>
      <c r="O3" s="56" t="s">
        <v>323</v>
      </c>
      <c r="P3" s="56" t="s">
        <v>324</v>
      </c>
      <c r="Q3" s="56" t="s">
        <v>325</v>
      </c>
      <c r="R3" s="56" t="s">
        <v>326</v>
      </c>
      <c r="S3" s="56" t="s">
        <v>327</v>
      </c>
      <c r="T3" s="56" t="s">
        <v>318</v>
      </c>
      <c r="U3" s="56" t="s">
        <v>328</v>
      </c>
      <c r="V3" s="60" t="s">
        <v>329</v>
      </c>
      <c r="W3" s="60" t="s">
        <v>330</v>
      </c>
      <c r="X3" s="56" t="s">
        <v>331</v>
      </c>
      <c r="Y3" s="56" t="s">
        <v>332</v>
      </c>
      <c r="Z3" s="56" t="s">
        <v>333</v>
      </c>
      <c r="AA3" s="56" t="s">
        <v>334</v>
      </c>
      <c r="AB3" s="56" t="s">
        <v>335</v>
      </c>
      <c r="AC3" s="56" t="s">
        <v>336</v>
      </c>
      <c r="AD3" s="56" t="s">
        <v>337</v>
      </c>
      <c r="AE3" s="56" t="s">
        <v>338</v>
      </c>
      <c r="AF3" s="56" t="s">
        <v>339</v>
      </c>
      <c r="AG3" s="69" t="s">
        <v>340</v>
      </c>
      <c r="AH3" s="70" t="s">
        <v>341</v>
      </c>
      <c r="AI3" s="71" t="s">
        <v>342</v>
      </c>
      <c r="AJ3" s="72" t="s">
        <v>343</v>
      </c>
      <c r="AK3" s="73"/>
      <c r="AL3" s="74"/>
      <c r="AM3" s="75"/>
      <c r="AN3" s="75"/>
      <c r="AO3" s="75"/>
    </row>
    <row r="4" ht="18" customHeight="1" spans="2:41">
      <c r="B4" s="34"/>
      <c r="C4" s="35"/>
      <c r="D4" s="36"/>
      <c r="E4" s="37"/>
      <c r="F4" s="40"/>
      <c r="G4" s="40"/>
      <c r="H4" s="41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60"/>
      <c r="W4" s="60"/>
      <c r="X4" s="56"/>
      <c r="Y4" s="56"/>
      <c r="Z4" s="56"/>
      <c r="AA4" s="56"/>
      <c r="AB4" s="56"/>
      <c r="AC4" s="56"/>
      <c r="AD4" s="56"/>
      <c r="AE4" s="56"/>
      <c r="AF4" s="56"/>
      <c r="AG4" s="69"/>
      <c r="AH4" s="70"/>
      <c r="AI4" s="76"/>
      <c r="AJ4" s="77"/>
      <c r="AK4" s="73"/>
      <c r="AL4" s="74"/>
      <c r="AM4" s="75"/>
      <c r="AN4" s="75"/>
      <c r="AO4" s="75"/>
    </row>
    <row r="5" s="20" customFormat="1" ht="24" customHeight="1" spans="2:41">
      <c r="B5" s="42" t="s">
        <v>81</v>
      </c>
      <c r="C5" s="43" t="str">
        <f>'2023年'!C5</f>
        <v>1922339</v>
      </c>
      <c r="D5" s="43" t="str">
        <f>'2023年'!D5</f>
        <v>长春市夸克普精汽车电子有限责</v>
      </c>
      <c r="E5" s="44">
        <v>90</v>
      </c>
      <c r="F5" s="45">
        <f>SUM(I5:X5)</f>
        <v>166675</v>
      </c>
      <c r="G5" s="46">
        <f t="shared" ref="G5:G7" si="0">SUM(I5:V5)</f>
        <v>166675</v>
      </c>
      <c r="H5" s="46">
        <f>SUM(J5:AG5)</f>
        <v>188371</v>
      </c>
      <c r="I5" s="57"/>
      <c r="J5" s="58" t="str">
        <f>IF('2023年'!$AZ5&gt;('2023年'!$W5+'2023年'!$V5+SUM('2023年'!F5:$T5)),'2023年'!F5,IF('2023年'!$AZ5-'2023年'!$V5-'2023年'!$W5-SUM('2023年'!G5:$T5)&gt;0,'2023年'!$AZ5-'2023年'!$V5-'2023年'!$W5-SUM('2023年'!G5:$T5),""))</f>
        <v/>
      </c>
      <c r="K5" s="58" t="str">
        <f>IF('2023年'!$AZ5&gt;('2023年'!$W5+'2023年'!$V5+SUM('2023年'!G5:$T5)),'2023年'!G5,IF('2023年'!$AZ5-'2023年'!$V5-'2023年'!$W5-SUM('2023年'!H5:$T5)&gt;0,'2023年'!$AZ5-'2023年'!$V5-'2023年'!$W5-SUM('2023年'!H5:$T5),""))</f>
        <v/>
      </c>
      <c r="L5" s="58" t="str">
        <f>IF('2023年'!$AZ5&gt;('2023年'!$W5+'2023年'!$V5+SUM('2023年'!H5:$T5)),'2023年'!H5,IF('2023年'!$AZ5-'2023年'!$V5-'2023年'!$W5-SUM('2023年'!I5:$T5)&gt;0,'2023年'!$AZ5-'2023年'!$V5-'2023年'!$W5-SUM('2023年'!I5:$T5),""))</f>
        <v/>
      </c>
      <c r="M5" s="58" t="str">
        <f>IF('2023年'!$AZ5&gt;('2023年'!$W5+'2023年'!$V5+SUM('2023年'!I5:$T5)),'2023年'!I5,IF('2023年'!$AZ5-'2023年'!$V5-'2023年'!$W5-SUM('2023年'!J5:$T5)&gt;0,'2023年'!$AZ5-'2023年'!$V5-'2023年'!$W5-SUM('2023年'!J5:$T5),""))</f>
        <v/>
      </c>
      <c r="N5" s="58">
        <f>IF('2023年'!$AZ5&gt;('2023年'!$W5+'2023年'!$V5+SUM('2023年'!J5:$T5)),'2023年'!J5,IF('2023年'!$AZ5-'2023年'!$V5-'2023年'!$W5-SUM('2023年'!K5:$T5)&gt;0,'2023年'!$AZ5-'2023年'!$V5-'2023年'!$W5-SUM('2023年'!K5:$T5),""))</f>
        <v>21696</v>
      </c>
      <c r="O5" s="58">
        <v>0</v>
      </c>
      <c r="P5" s="58">
        <f>IF('2023年'!$AZ5&gt;('2023年'!$W5+'2023年'!$V5+SUM('2023年'!L5:$T5)),'2023年'!L5,IF('2023年'!$AZ5-'2023年'!$V5-'2023年'!$W5-SUM('2023年'!M5:$T5)&gt;0,'2023年'!$AZ5-'2023年'!$V5-'2023年'!$W5-SUM('2023年'!M5:$T5),""))</f>
        <v>0</v>
      </c>
      <c r="Q5" s="58">
        <f>IF('2023年'!$AZ5&gt;(SUM('2023年'!V5:AG5)+SUM('2023年'!M5:$T5)),'2023年'!M5,IF('2023年'!$AZ5-SUM('2023年'!V5:AG5)-SUM('2023年'!N5:$T5)&gt;0,'2023年'!$AZ5-SUM('2023年'!V5:AG5)-SUM('2023年'!N5:$T5),""))</f>
        <v>0</v>
      </c>
      <c r="R5" s="58">
        <v>76840</v>
      </c>
      <c r="S5" s="58">
        <f>IF('2023年'!$AZ5&gt;('2023年'!P5+'2023年'!Q5+'2023年'!S5+'2023年'!T5+SUM('2023年'!V5:AG5))+'2023年'!O5+'2023年'!R5,'2023年'!O5+'2023年'!R5,IF('2023年'!$AZ5-SUM('2023年'!V5:AG5)-'2023年'!T5-'2023年'!S5-'2023年'!P5-'2023年'!Q5&gt;0,'2023年'!$AZ5-SUM('2023年'!V5:AG5)-'2023年'!T5-'2023年'!S5-'2023年'!P5-'2023年'!Q5,""))</f>
        <v>19097</v>
      </c>
      <c r="T5" s="58">
        <f>IF('2023年'!$AZ5&gt;('2023年'!$T5+'2023年'!$Q5+SUM('2023年'!V5:$AG5))+'2023年'!S5+'2023年'!P5,'2023年'!P5+'2023年'!S5,IF('2023年'!$AZ5-SUM('2023年'!V5:$AG5)-'2023年'!T5-'2023年'!Q5&gt;0,'2023年'!$AZ5-SUM('2023年'!V5:X5)-'2023年'!T5-'2023年'!Q5,""))</f>
        <v>0</v>
      </c>
      <c r="U5" s="58">
        <f>IF('2023年'!$AZ5&gt;(SUM('2023年'!V5:AG5)+'2023年'!T5+'2023年'!Q5),'2023年'!Q5+'2023年'!T5,IF('2023年'!$AZ5-SUM('2023年'!V5:AG5)&gt;0,'2023年'!$AZ5-SUM('2023年'!V5:AG5),""))</f>
        <v>0</v>
      </c>
      <c r="V5" s="61">
        <f>IF('2023年'!$AZ5&gt;=SUM('2023年'!V5:$AG5),'2023年'!V5,IF('2023年'!$AZ5-SUM('2023年'!W5:$AG5)&gt;0,'2023年'!$AZ5-SUM('2023年'!W5:$AG5),0))</f>
        <v>49042</v>
      </c>
      <c r="W5" s="61">
        <f>IF('2023年'!$AZ5&gt;=SUM('2023年'!W5:$AG5),'2023年'!W5,IF('2023年'!$AZ5-SUM('2023年'!X5:$AG5)&gt;0,'2023年'!$AZ5-SUM('2023年'!X5:$AG5),0))</f>
        <v>0</v>
      </c>
      <c r="X5" s="61">
        <f>IF('2023年'!$AZ5&gt;=SUM('2023年'!X5:$AG5),'2023年'!X5,IF('2023年'!$AZ5-SUM('2023年'!Y5:$AG5)&gt;0,'2023年'!$AZ5-SUM('2023年'!Y5:$AG5),0))</f>
        <v>0</v>
      </c>
      <c r="Y5" s="62">
        <f>IF('2023年'!$AZ5&gt;=SUM('2023年'!Y5:$AG5),'2023年'!Y5,IF('2023年'!$AZ5-SUM('2023年'!Z5:$AG5)&gt;0,'2023年'!$AZ5-SUM('2023年'!Z5:$AG5),0))</f>
        <v>0</v>
      </c>
      <c r="Z5" s="62">
        <f>IF('2023年'!$AZ5&gt;=SUM('2023年'!Z5:$AG5),'2023年'!Z5,IF('2023年'!$AZ5-SUM('2023年'!AA5:$AG5)&gt;0,'2023年'!$AZ5-SUM('2023年'!AA5:$AG5),0))</f>
        <v>21696</v>
      </c>
      <c r="AA5" s="62">
        <f>IF('2023年'!$AZ5&gt;=SUM('2023年'!AA5:$AG5),'2023年'!AA5,IF('2023年'!$AZ5-SUM('2023年'!AB5:$AG5)&gt;0,'2023年'!$AZ5-SUM('2023年'!AB5:$AG5),0))</f>
        <v>0</v>
      </c>
      <c r="AB5" s="62">
        <f>IF('2023年'!$AZ5&gt;=SUM('2023年'!AB5:$AG5),'2023年'!AB5,IF('2023年'!$AZ5-SUM('2023年'!AC5:$AG5)&gt;0,'2023年'!$AZ5-SUM('2023年'!AC5:$AG5),0))</f>
        <v>0</v>
      </c>
      <c r="AC5" s="62">
        <f>IF('2023年'!$AZ5&gt;=SUM('2023年'!AC5:$AG5),'2023年'!AC5,IF('2023年'!$AZ5-SUM('2023年'!AD5:$AG5)&gt;0,'2023年'!$AZ5-SUM('2023年'!AD5:$AG5),0))</f>
        <v>0</v>
      </c>
      <c r="AD5" s="62">
        <f>IF('2023年'!$AZ5&gt;=SUM('2023年'!AD5:$AG5),'2023年'!AD5,IF('2023年'!$AZ5-SUM('2023年'!AE5:$AG5)&gt;0,'2023年'!$AZ5-SUM('2023年'!AE5:$AG5),0))</f>
        <v>0</v>
      </c>
      <c r="AE5" s="62">
        <f>IF('2023年'!$AZ5&gt;=SUM('2023年'!AE5:$AG5),'2023年'!AE5,IF('2023年'!$AZ5-SUM('2023年'!AF5:$AG5)&gt;0,'2023年'!$AZ5-SUM('2023年'!AF5:$AG5),0))</f>
        <v>0</v>
      </c>
      <c r="AF5" s="62">
        <f>IF('2023年'!$AZ5&gt;=SUM('2023年'!AF5:$AG5),'2023年'!AF5,IF('2023年'!$AZ5-SUM('2023年'!AG5:$AG5)&gt;0,'2023年'!$AZ5-SUM('2023年'!AG5:$AG5),0))</f>
        <v>0</v>
      </c>
      <c r="AG5" s="62">
        <f>IF('2023年'!$AZ5&gt;=SUM('2023年'!AG5:$AG5),'2023年'!AG5,IF('2023年'!$AZ5-SUM('2023年'!$AG5:AH5)&gt;0,'2023年'!$AZ5-SUM('2023年'!$AG5:AH5),0))</f>
        <v>0</v>
      </c>
      <c r="AH5" s="78" t="s">
        <v>77</v>
      </c>
      <c r="AI5" s="79"/>
      <c r="AJ5" s="80"/>
      <c r="AK5" s="81" t="s">
        <v>344</v>
      </c>
      <c r="AL5" s="82"/>
      <c r="AM5" s="83"/>
      <c r="AN5" s="84">
        <v>30000</v>
      </c>
      <c r="AO5" s="84"/>
    </row>
    <row r="6" s="20" customFormat="1" ht="24" customHeight="1" spans="2:41">
      <c r="B6" s="42" t="s">
        <v>81</v>
      </c>
      <c r="C6" s="43" t="str">
        <f>'2023年'!C6</f>
        <v>1931396A</v>
      </c>
      <c r="D6" s="43" t="str">
        <f>'2023年'!D6</f>
        <v>芜湖卓人汽车配件有限公司</v>
      </c>
      <c r="E6" s="44">
        <v>90</v>
      </c>
      <c r="F6" s="45">
        <f>SUM(I6:X6)</f>
        <v>29072.64</v>
      </c>
      <c r="G6" s="46">
        <f t="shared" si="0"/>
        <v>24984.3</v>
      </c>
      <c r="H6" s="46">
        <f t="shared" ref="H6:H10" si="1">SUM(J6:AG6)</f>
        <v>49503.04</v>
      </c>
      <c r="I6" s="57"/>
      <c r="J6" s="58" t="str">
        <f>IF('2023年'!$AZ6&gt;('2023年'!$W6+'2023年'!$V6+SUM('2023年'!F6:$T6)),'2023年'!F6,IF('2023年'!$AZ6-'2023年'!$V6-'2023年'!$W6-SUM('2023年'!G6:$T6)&gt;0,'2023年'!$AZ6-'2023年'!$V6-'2023年'!$W6-SUM('2023年'!G6:$T6),""))</f>
        <v/>
      </c>
      <c r="K6" s="58" t="str">
        <f>IF('2023年'!$AZ6&gt;('2023年'!$W6+'2023年'!$V6+SUM('2023年'!G6:$T6)),'2023年'!G6,IF('2023年'!$AZ6-'2023年'!$V6-'2023年'!$W6-SUM('2023年'!H6:$T6)&gt;0,'2023年'!$AZ6-'2023年'!$V6-'2023年'!$W6-SUM('2023年'!H6:$T6),""))</f>
        <v/>
      </c>
      <c r="L6" s="58" t="str">
        <f>IF('2023年'!$AZ6&gt;('2023年'!$W6+'2023年'!$V6+SUM('2023年'!H6:$T6)),'2023年'!H6,IF('2023年'!$AZ6-'2023年'!$V6-'2023年'!$W6-SUM('2023年'!I6:$T6)&gt;0,'2023年'!$AZ6-'2023年'!$V6-'2023年'!$W6-SUM('2023年'!I6:$T6),""))</f>
        <v/>
      </c>
      <c r="M6" s="58" t="str">
        <f>IF('2023年'!$AZ6&gt;('2023年'!$W6+'2023年'!$V6+SUM('2023年'!I6:$T6)),'2023年'!I6,IF('2023年'!$AZ6-'2023年'!$V6-'2023年'!$W6-SUM('2023年'!J6:$T6)&gt;0,'2023年'!$AZ6-'2023年'!$V6-'2023年'!$W6-SUM('2023年'!J6:$T6),""))</f>
        <v/>
      </c>
      <c r="N6" s="58" t="str">
        <f>IF('2023年'!$AZ6&gt;('2023年'!$W6+'2023年'!$V6+SUM('2023年'!J6:$T6)),'2023年'!J6,IF('2023年'!$AZ6-'2023年'!$V6-'2023年'!$W6-SUM('2023年'!K6:$T6)&gt;0,'2023年'!$AZ6-'2023年'!$V6-'2023年'!$W6-SUM('2023年'!K6:$T6),""))</f>
        <v/>
      </c>
      <c r="O6" s="58"/>
      <c r="P6" s="58">
        <f>IF('2023年'!$AZ6&gt;('2023年'!$W6+'2023年'!$V6+SUM('2023年'!L6:$T6)),'2023年'!L6,IF('2023年'!$AZ6-'2023年'!$V6-'2023年'!$W6-SUM('2023年'!M6:$T6)&gt;0,'2023年'!$AZ6-'2023年'!$V6-'2023年'!$W6-SUM('2023年'!M6:$T6),""))</f>
        <v>0</v>
      </c>
      <c r="Q6" s="58" t="str">
        <f>IF('2023年'!$AZ6&gt;(SUM('2023年'!V6:AG6)+SUM('2023年'!M6:$T6)),'2023年'!M6,IF('2023年'!$AZ6-SUM('2023年'!V6:AG6)-SUM('2023年'!N6:$T6)&gt;0,'2023年'!$AZ6-SUM('2023年'!V6:AG6)-SUM('2023年'!N6:$T6),""))</f>
        <v/>
      </c>
      <c r="R6" s="58">
        <f>IF('2023年'!$AZ6&gt;(SUM('2023年'!V6:AG6)+SUM('2023年'!N6:$T6)),'2023年'!N6,IF('2023年'!$AZ6-SUM('2023年'!V6:AG6)-SUM('2023年'!O6:$T6)&gt;0,'2023年'!$AZ6-SUM('2023年'!V6:AG6)-SUM('2023年'!O6:$T6),""))</f>
        <v>5451.12</v>
      </c>
      <c r="S6" s="58">
        <f>IF('2023年'!$AZ6&gt;('2023年'!P6+'2023年'!Q6+'2023年'!S6+'2023年'!T6+SUM('2023年'!V6:AG6))+'2023年'!O6+'2023年'!R6,'2023年'!O6+'2023年'!R6,IF('2023年'!$AZ6-SUM('2023年'!V6:AG6)-'2023年'!T6-'2023年'!S6-'2023年'!P6-'2023年'!Q6&gt;0,'2023年'!$AZ6-SUM('2023年'!V6:AG6)-'2023年'!T6-'2023年'!S6-'2023年'!P6-'2023年'!Q6,""))</f>
        <v>4542.6</v>
      </c>
      <c r="T6" s="58">
        <f>IF('2023年'!$AZ6&gt;('2023年'!$T6+'2023年'!$Q6+SUM('2023年'!V6:$AG6))+'2023年'!S6+'2023年'!P6,'2023年'!P6+'2023年'!S6,IF('2023年'!$AZ6-SUM('2023年'!V6:$AG6)-'2023年'!T6-'2023年'!Q6&gt;0,'2023年'!$AZ6-SUM('2023年'!V6:X6)-'2023年'!T6-'2023年'!Q6,""))</f>
        <v>4542.6</v>
      </c>
      <c r="U6" s="58">
        <f>IF('2023年'!$AZ6&gt;(SUM('2023年'!V6:AG6)+'2023年'!T6+'2023年'!Q6),'2023年'!Q6+'2023年'!T6,IF('2023年'!$AZ6-SUM('2023年'!V6:AG6)&gt;0,'2023年'!$AZ6-SUM('2023年'!V6:AG6),""))</f>
        <v>10447.98</v>
      </c>
      <c r="V6" s="61">
        <f>IF('2023年'!$AZ6&gt;=SUM('2023年'!V6:$AG6),'2023年'!V6,IF('2023年'!$AZ6-SUM('2023年'!W6:$AG6)&gt;0,'2023年'!$AZ6-SUM('2023年'!W6:$AG6),0))</f>
        <v>0</v>
      </c>
      <c r="W6" s="61">
        <f>IF('2023年'!$AZ6&gt;=SUM('2023年'!W6:$AG6),'2023年'!W6,IF('2023年'!$AZ6-SUM('2023年'!X6:$AG6)&gt;0,'2023年'!$AZ6-SUM('2023年'!X6:$AG6),0))</f>
        <v>2271.3</v>
      </c>
      <c r="X6" s="61">
        <f>IF('2023年'!$AZ6&gt;=SUM('2023年'!X6:$AG6),'2023年'!X6,IF('2023年'!$AZ6-SUM('2023年'!Y6:$AG6)&gt;0,'2023年'!$AZ6-SUM('2023年'!Y6:$AG6),0))</f>
        <v>1817.04</v>
      </c>
      <c r="Y6" s="62">
        <f>IF('2023年'!$AZ6&gt;=SUM('2023年'!Y6:$AG6),'2023年'!Y6,IF('2023年'!$AZ6-SUM('2023年'!Z6:$AG6)&gt;0,'2023年'!$AZ6-SUM('2023年'!Z6:$AG6),0))</f>
        <v>0</v>
      </c>
      <c r="Z6" s="62">
        <f>IF('2023年'!$AZ6&gt;=SUM('2023年'!Z6:$AG6),'2023年'!Z6,IF('2023年'!$AZ6-SUM('2023年'!AA6:$AG6)&gt;0,'2023年'!$AZ6-SUM('2023年'!AA6:$AG6),0))</f>
        <v>20430.4</v>
      </c>
      <c r="AA6" s="62">
        <f>IF('2023年'!$AZ6&gt;=SUM('2023年'!AA6:$AG6),'2023年'!AA6,IF('2023年'!$AZ6-SUM('2023年'!AB6:$AG6)&gt;0,'2023年'!$AZ6-SUM('2023年'!AB6:$AG6),0))</f>
        <v>0</v>
      </c>
      <c r="AB6" s="62">
        <f>IF('2023年'!$AZ6&gt;=SUM('2023年'!AB6:$AG6),'2023年'!AB6,IF('2023年'!$AZ6-SUM('2023年'!AC6:$AG6)&gt;0,'2023年'!$AZ6-SUM('2023年'!AC6:$AG6),0))</f>
        <v>0</v>
      </c>
      <c r="AC6" s="62">
        <f>IF('2023年'!$AZ6&gt;=SUM('2023年'!AC6:$AG6),'2023年'!AC6,IF('2023年'!$AZ6-SUM('2023年'!AD6:$AG6)&gt;0,'2023年'!$AZ6-SUM('2023年'!AD6:$AG6),0))</f>
        <v>0</v>
      </c>
      <c r="AD6" s="62">
        <f>IF('2023年'!$AZ6&gt;=SUM('2023年'!AD6:$AG6),'2023年'!AD6,IF('2023年'!$AZ6-SUM('2023年'!AE6:$AG6)&gt;0,'2023年'!$AZ6-SUM('2023年'!AE6:$AG6),0))</f>
        <v>0</v>
      </c>
      <c r="AE6" s="62">
        <f>IF('2023年'!$AZ6&gt;=SUM('2023年'!AE6:$AG6),'2023年'!AE6,IF('2023年'!$AZ6-SUM('2023年'!AF6:$AG6)&gt;0,'2023年'!$AZ6-SUM('2023年'!AF6:$AG6),0))</f>
        <v>0</v>
      </c>
      <c r="AF6" s="62">
        <f>IF('2023年'!$AZ6&gt;=SUM('2023年'!AF6:$AG6),'2023年'!AF6,IF('2023年'!$AZ6-SUM('2023年'!AG6:$AG6)&gt;0,'2023年'!$AZ6-SUM('2023年'!AG6:$AG6),0))</f>
        <v>0</v>
      </c>
      <c r="AG6" s="62">
        <f>IF('2023年'!$AZ6&gt;=SUM('2023年'!AG6:$AG6),'2023年'!AG6,IF('2023年'!$AZ6-SUM('2023年'!$AG6:AH6)&gt;0,'2023年'!$AZ6-SUM('2023年'!$AG6:AH6),0))</f>
        <v>0</v>
      </c>
      <c r="AH6" s="78" t="s">
        <v>77</v>
      </c>
      <c r="AI6" s="79"/>
      <c r="AJ6" s="80"/>
      <c r="AK6" s="81" t="s">
        <v>345</v>
      </c>
      <c r="AL6" s="82"/>
      <c r="AM6" s="83"/>
      <c r="AN6" s="84">
        <v>10000</v>
      </c>
      <c r="AO6" s="84"/>
    </row>
    <row r="7" s="20" customFormat="1" ht="24" customHeight="1" spans="2:41">
      <c r="B7" s="42" t="s">
        <v>81</v>
      </c>
      <c r="C7" s="43" t="str">
        <f>'2023年'!C7</f>
        <v>1933001</v>
      </c>
      <c r="D7" s="43" t="str">
        <f>'2023年'!D7</f>
        <v>宁波市北仑屹昌机械有限公司</v>
      </c>
      <c r="E7" s="44">
        <v>90</v>
      </c>
      <c r="F7" s="45">
        <f t="shared" ref="F5:F7" si="2">SUM(I7:X7)</f>
        <v>46999.8100000001</v>
      </c>
      <c r="G7" s="46">
        <f t="shared" si="0"/>
        <v>0</v>
      </c>
      <c r="H7" s="46">
        <f t="shared" si="1"/>
        <v>280820.16</v>
      </c>
      <c r="I7" s="57"/>
      <c r="J7" s="58">
        <v>0</v>
      </c>
      <c r="K7" s="58">
        <f>IF('2023年'!$AZ7&gt;('2023年'!$W7+'2023年'!$V7+SUM('2023年'!G7:$T7)),'2023年'!G7,IF('2023年'!$AZ7-'2023年'!$V7-'2023年'!$W7-SUM('2023年'!H7:$T7)&gt;0,'2023年'!$AZ7-'2023年'!$V7-'2023年'!$W7-SUM('2023年'!H7:$T7),""))</f>
        <v>0</v>
      </c>
      <c r="L7" s="58">
        <f>IF('2023年'!$AZ7&gt;('2023年'!$W7+'2023年'!$V7+SUM('2023年'!H7:$T7)),'2023年'!H7,IF('2023年'!$AZ7-'2023年'!$V7-'2023年'!$W7-SUM('2023年'!I7:$T7)&gt;0,'2023年'!$AZ7-'2023年'!$V7-'2023年'!$W7-SUM('2023年'!I7:$T7),""))</f>
        <v>0</v>
      </c>
      <c r="M7" s="58"/>
      <c r="N7" s="58"/>
      <c r="O7" s="58" t="str">
        <f>IF('2023年'!$AZ7&gt;(SUM('2023年'!$V7:AG7)+SUM('2023年'!K7:$T7)),'2023年'!K7,IF('2023年'!$AZ7-SUM('2023年'!$V7:AG7)-SUM('2023年'!L7:$T7)&gt;0,'2023年'!$AZ7-SUM('2023年'!$V7:AG7)-SUM('2023年'!L7:$T7),""))</f>
        <v/>
      </c>
      <c r="P7" s="58" t="str">
        <f>IF('2023年'!$AZ7&gt;(SUM(V7:AG7)+SUM('2023年'!L7:$T7)),'2023年'!L7,IF('2023年'!$AZ7-SUM(V7:AG7)-SUM('2023年'!M7:$T7)&gt;0,'2023年'!$AZ7-SUM(V7:AG7)-SUM('2023年'!M7:$T7),""))</f>
        <v/>
      </c>
      <c r="Q7" s="58" t="str">
        <f>IF('2023年'!$AZ7&gt;(SUM('2023年'!V7:AG7)+SUM('2023年'!M7:$T7)),'2023年'!M7,IF('2023年'!$AZ7-SUM('2023年'!V7:AG7)-SUM('2023年'!N7:$T7)&gt;0,'2023年'!$AZ7-SUM('2023年'!V7:AG7)-SUM('2023年'!N7:$T7),""))</f>
        <v/>
      </c>
      <c r="R7" s="58" t="str">
        <f>IF('2023年'!$AZ7&gt;(SUM('2023年'!V7:AG7)+SUM('2023年'!N7:$T7)),'2023年'!N7,IF('2023年'!$AZ7-SUM('2023年'!V7:AG7)-SUM('2023年'!O7:$T7)&gt;0,'2023年'!$AZ7-SUM('2023年'!V7:AG7)-SUM('2023年'!O7:$T7),""))</f>
        <v/>
      </c>
      <c r="S7" s="58" t="str">
        <f>IF('2023年'!$AZ7&gt;('2023年'!P7+'2023年'!Q7+'2023年'!S7+'2023年'!T7+SUM('2023年'!V7:AG7))+'2023年'!O7+'2023年'!R7,'2023年'!O7+'2023年'!R7,IF('2023年'!$AZ7-SUM('2023年'!V7:AG7)-'2023年'!T7-'2023年'!S7-'2023年'!P7-'2023年'!Q7&gt;0,'2023年'!$AZ7-SUM('2023年'!V7:AG7)-'2023年'!T7-'2023年'!S7-'2023年'!P7-'2023年'!Q7,""))</f>
        <v/>
      </c>
      <c r="T7" s="58" t="str">
        <f>IF('2023年'!$AZ7&gt;('2023年'!$T7+'2023年'!$Q7+SUM('2023年'!V7:$AG7))+'2023年'!S7+'2023年'!P7,'2023年'!P7+'2023年'!S7,IF('2023年'!$AZ7-SUM('2023年'!V7:$AG7)-'2023年'!T7-'2023年'!Q7&gt;0,'2023年'!$AZ7-SUM('2023年'!V7:X7)-'2023年'!T7-'2023年'!Q7,""))</f>
        <v/>
      </c>
      <c r="U7" s="58" t="str">
        <f>IF('2023年'!$AZ7&gt;(SUM('2023年'!V7:AG7)+'2023年'!T7+'2023年'!Q7),'2023年'!Q7+'2023年'!T7,IF('2023年'!$AZ7-SUM('2023年'!V7:AG7)&gt;0,'2023年'!$AZ7-SUM('2023年'!V7:AG7),""))</f>
        <v/>
      </c>
      <c r="V7" s="61">
        <f>IF('2023年'!$AZ7&gt;=SUM('2023年'!V7:$AG7),'2023年'!V7,IF('2023年'!$AZ7-SUM('2023年'!W7:$AG7)&gt;0,'2023年'!$AZ7-SUM('2023年'!W7:$AG7),0))</f>
        <v>0</v>
      </c>
      <c r="W7" s="61">
        <f>IF('2023年'!$AZ7&gt;=SUM('2023年'!W7:$AG7),'2023年'!W7,IF('2023年'!$AZ7-SUM('2023年'!X7:$AG7)&gt;0,'2023年'!$AZ7-SUM('2023年'!X7:$AG7),0))</f>
        <v>46999.8100000001</v>
      </c>
      <c r="X7" s="61">
        <f>IF('2023年'!$AZ7&gt;=SUM('2023年'!X7:$AG7),'2023年'!X7,IF('2023年'!$AZ7-SUM('2023年'!Y7:$AG7)&gt;0,'2023年'!$AZ7-SUM('2023年'!Y7:$AG7),0))</f>
        <v>0</v>
      </c>
      <c r="Y7" s="62">
        <f>IF('2023年'!$AZ7&gt;=SUM('2023年'!Y7:$AG7),'2023年'!Y7,IF('2023年'!$AZ7-SUM('2023年'!Z7:$AG7)&gt;0,'2023年'!$AZ7-SUM('2023年'!Z7:$AG7),0))</f>
        <v>110547.64</v>
      </c>
      <c r="Z7" s="62">
        <f>IF('2023年'!$AZ7&gt;=SUM('2023年'!Z7:$AG7),'2023年'!Z7,IF('2023年'!$AZ7-SUM('2023年'!AA7:$AG7)&gt;0,'2023年'!$AZ7-SUM('2023年'!AA7:$AG7),0))</f>
        <v>123272.71</v>
      </c>
      <c r="AA7" s="62">
        <f>IF('2023年'!$AZ7&gt;=SUM('2023年'!AA7:$AG7),'2023年'!AA7,IF('2023年'!$AZ7-SUM('2023年'!AB7:$AG7)&gt;0,'2023年'!$AZ7-SUM('2023年'!AB7:$AG7),0))</f>
        <v>0</v>
      </c>
      <c r="AB7" s="62">
        <f>IF('2023年'!$AZ7&gt;=SUM('2023年'!AB7:$AG7),'2023年'!AB7,IF('2023年'!$AZ7-SUM('2023年'!AC7:$AG7)&gt;0,'2023年'!$AZ7-SUM('2023年'!AC7:$AG7),0))</f>
        <v>0</v>
      </c>
      <c r="AC7" s="62">
        <f>IF('2023年'!$AZ7&gt;=SUM('2023年'!AC7:$AG7),'2023年'!AC7,IF('2023年'!$AZ7-SUM('2023年'!AD7:$AG7)&gt;0,'2023年'!$AZ7-SUM('2023年'!AD7:$AG7),0))</f>
        <v>0</v>
      </c>
      <c r="AD7" s="62">
        <f>IF('2023年'!$AZ7&gt;=SUM('2023年'!AD7:$AG7),'2023年'!AD7,IF('2023年'!$AZ7-SUM('2023年'!AE7:$AG7)&gt;0,'2023年'!$AZ7-SUM('2023年'!AE7:$AG7),0))</f>
        <v>0</v>
      </c>
      <c r="AE7" s="62">
        <f>IF('2023年'!$AZ7&gt;=SUM('2023年'!AE7:$AG7),'2023年'!AE7,IF('2023年'!$AZ7-SUM('2023年'!AF7:$AG7)&gt;0,'2023年'!$AZ7-SUM('2023年'!AF7:$AG7),0))</f>
        <v>0</v>
      </c>
      <c r="AF7" s="62">
        <f>IF('2023年'!$AZ7&gt;=SUM('2023年'!AF7:$AG7),'2023年'!AF7,IF('2023年'!$AZ7-SUM('2023年'!AG7:$AG7)&gt;0,'2023年'!$AZ7-SUM('2023年'!AG7:$AG7),0))</f>
        <v>0</v>
      </c>
      <c r="AG7" s="62">
        <f>IF('2023年'!$AZ7&gt;=SUM('2023年'!AG7:$AG7),'2023年'!AG7,IF('2023年'!$AZ7-SUM('2023年'!$AG7:AH7)&gt;0,'2023年'!$AZ7-SUM('2023年'!$AG7:AH7),0))</f>
        <v>0</v>
      </c>
      <c r="AH7" s="78" t="s">
        <v>77</v>
      </c>
      <c r="AI7" s="79"/>
      <c r="AJ7" s="80" t="s">
        <v>346</v>
      </c>
      <c r="AK7" s="81" t="s">
        <v>347</v>
      </c>
      <c r="AL7" s="82"/>
      <c r="AM7" s="83"/>
      <c r="AN7" s="84">
        <v>30000</v>
      </c>
      <c r="AO7" s="84"/>
    </row>
    <row r="8" s="20" customFormat="1" ht="24" customHeight="1" spans="2:41">
      <c r="B8" s="42" t="s">
        <v>81</v>
      </c>
      <c r="C8" s="43" t="str">
        <f>'2023年'!C8</f>
        <v>1933361</v>
      </c>
      <c r="D8" s="43" t="str">
        <f>'2023年'!D8</f>
        <v>宁波精成车业有限公司</v>
      </c>
      <c r="E8" s="47">
        <v>60</v>
      </c>
      <c r="F8" s="45">
        <f t="shared" ref="F8:F14" si="3">SUM(I8:Y8)</f>
        <v>274919.45</v>
      </c>
      <c r="G8" s="46">
        <f t="shared" ref="G8:G14" si="4">SUM(I8:W8)</f>
        <v>85.3699999999371</v>
      </c>
      <c r="H8" s="46">
        <f t="shared" si="1"/>
        <v>494786.71</v>
      </c>
      <c r="I8" s="57"/>
      <c r="J8" s="58" t="str">
        <f>IF('2023年'!$AZ8&gt;('2023年'!$W8+'2023年'!$V8+SUM('2023年'!F8:$T8)),'2023年'!F8,IF('2023年'!$AZ8-'2023年'!$V8-'2023年'!$W8-SUM('2023年'!G8:$T8)&gt;0,'2023年'!$AZ8-'2023年'!$V8-'2023年'!$W8-SUM('2023年'!G8:$T8),""))</f>
        <v/>
      </c>
      <c r="K8" s="58" t="str">
        <f>IF('2023年'!$AZ8&gt;('2023年'!$W8+'2023年'!$V8+SUM('2023年'!G8:$T8)),'2023年'!G8,IF('2023年'!$AZ8-'2023年'!$V8-'2023年'!$W8-SUM('2023年'!H8:$T8)&gt;0,'2023年'!$AZ8-'2023年'!$V8-'2023年'!$W8-SUM('2023年'!H8:$T8),""))</f>
        <v/>
      </c>
      <c r="L8" s="58" t="str">
        <f>IF('2023年'!$AZ8&gt;('2023年'!$W8+'2023年'!$V8+SUM('2023年'!H8:$T8)),'2023年'!H8,IF('2023年'!$AZ8-'2023年'!$V8-'2023年'!$W8-SUM('2023年'!I8:$T8)&gt;0,'2023年'!$AZ8-'2023年'!$V8-'2023年'!$W8-SUM('2023年'!I8:$T8),""))</f>
        <v/>
      </c>
      <c r="M8" s="58" t="str">
        <f>IF('2023年'!$AZ8&gt;('2023年'!$W8+'2023年'!$V8+SUM('2023年'!I8:$T8)),'2023年'!I8,IF('2023年'!$AZ8-'2023年'!$V8-'2023年'!$W8-SUM('2023年'!J8:$T8)&gt;0,'2023年'!$AZ8-'2023年'!$V8-'2023年'!$W8-SUM('2023年'!J8:$T8),""))</f>
        <v/>
      </c>
      <c r="N8" s="58" t="str">
        <f>IF('2023年'!$AZ8&gt;('2023年'!$W8+'2023年'!$V8+SUM('2023年'!J8:$T8)),'2023年'!J8,IF('2023年'!$AZ8-'2023年'!$V8-'2023年'!$W8-SUM('2023年'!K8:$T8)&gt;0,'2023年'!$AZ8-'2023年'!$V8-'2023年'!$W8-SUM('2023年'!K8:$T8),""))</f>
        <v/>
      </c>
      <c r="O8" s="58" t="str">
        <f>IF('2023年'!$AZ8&gt;('2023年'!$W8+'2023年'!$V8+SUM('2023年'!K8:$T8)),'2023年'!K8,IF('2023年'!$AZ8-'2023年'!$V8-'2023年'!$W8-SUM('2023年'!L8:$T8)&gt;0,'2023年'!$AZ8-'2023年'!$V8-'2023年'!$W8-SUM('2023年'!L8:$T8),""))</f>
        <v/>
      </c>
      <c r="P8" s="58" t="str">
        <f>IF('2023年'!$AZ8&gt;('2023年'!$W8+'2023年'!$V8+SUM('2023年'!L8:$T8)),'2023年'!L8,IF('2023年'!$AZ8-'2023年'!$V8-'2023年'!$W8-SUM('2023年'!M8:$T8)&gt;0,'2023年'!$AZ8-'2023年'!$V8-'2023年'!$W8-SUM('2023年'!M8:$T8),""))</f>
        <v/>
      </c>
      <c r="Q8" s="58" t="str">
        <f>IF('2023年'!$AZ8&gt;(SUM('2023年'!V8:AG8)+SUM('2023年'!M8:$T8)),'2023年'!M8,IF('2023年'!$AZ8-SUM('2023年'!V8:AG8)-SUM('2023年'!N8:$T8)&gt;0,'2023年'!$AZ8-SUM('2023年'!V8:AG8)-SUM('2023年'!N8:$T8),""))</f>
        <v/>
      </c>
      <c r="R8" s="58" t="str">
        <f>IF('2023年'!$AZ8&gt;(SUM('2023年'!V8:AG8)+SUM('2023年'!N8:$T8)),'2023年'!N8,IF('2023年'!$AZ8-SUM('2023年'!V8:AG8)-SUM('2023年'!O8:$T8)&gt;0,'2023年'!$AZ8-SUM('2023年'!V8:AG8)-SUM('2023年'!O8:$T8),""))</f>
        <v/>
      </c>
      <c r="S8" s="58" t="str">
        <f>IF('2023年'!$AZ8&gt;('2023年'!P8+'2023年'!Q8+'2023年'!S8+'2023年'!T8+SUM('2023年'!V8:AG8))+'2023年'!O8+'2023年'!R8,'2023年'!O8+'2023年'!R8,IF('2023年'!$AZ8-SUM('2023年'!V8:AG8)-'2023年'!T8-'2023年'!S8-'2023年'!P8-'2023年'!Q8&gt;0,'2023年'!$AZ8-SUM('2023年'!V8:AG8)-'2023年'!T8-'2023年'!S8-'2023年'!P8-'2023年'!Q8,""))</f>
        <v/>
      </c>
      <c r="T8" s="58" t="str">
        <f>IF('2023年'!$AZ8&gt;('2023年'!$T8+'2023年'!$Q8+SUM('2023年'!V8:$AG8))+'2023年'!S8+'2023年'!P8,'2023年'!P8+'2023年'!S8,IF('2023年'!$AZ8-SUM('2023年'!V8:$AG8)-'2023年'!T8-'2023年'!Q8&gt;0,'2023年'!$AZ8-SUM('2023年'!V8:X8)-'2023年'!T8-'2023年'!Q8,""))</f>
        <v/>
      </c>
      <c r="U8" s="58">
        <f>IF('2023年'!$AZ8&gt;(SUM('2023年'!V8:AG8)+'2023年'!T8+'2023年'!Q8),'2023年'!Q8+'2023年'!T8,IF('2023年'!$AZ8-SUM('2023年'!V8:AG8)&gt;0,'2023年'!$AZ8-SUM('2023年'!V8:AG8),""))</f>
        <v>85.3699999999371</v>
      </c>
      <c r="V8" s="61">
        <f>IF('2023年'!$AZ8&gt;=SUM('2023年'!V8:$AG8),'2023年'!V8,IF('2023年'!$AZ8-SUM('2023年'!W8:$AG8)&gt;0,'2023年'!$AZ8-SUM('2023年'!W8:$AG8),0))</f>
        <v>0</v>
      </c>
      <c r="W8" s="61">
        <f>IF('2023年'!$AZ8&gt;=SUM('2023年'!W8:$AG8),'2023年'!W8,IF('2023年'!$AZ8-SUM('2023年'!X8:$AG8)&gt;0,'2023年'!$AZ8-SUM('2023年'!X8:$AG8),0))</f>
        <v>0</v>
      </c>
      <c r="X8" s="61">
        <f>IF('2023年'!$AZ8&gt;=SUM('2023年'!X8:$AG8),'2023年'!X8,IF('2023年'!$AZ8-SUM('2023年'!Y8:$AG8)&gt;0,'2023年'!$AZ8-SUM('2023年'!Y8:$AG8),0))</f>
        <v>54966.82</v>
      </c>
      <c r="Y8" s="62">
        <f>IF('2023年'!$AZ8&gt;=SUM('2023年'!Y8:$AG8),'2023年'!Y8,IF('2023年'!$AZ8-SUM('2023年'!Z8:$AG8)&gt;0,'2023年'!$AZ8-SUM('2023年'!Z8:$AG8),0))</f>
        <v>219867.26</v>
      </c>
      <c r="Z8" s="62">
        <f>IF('2023年'!$AZ8&gt;=SUM('2023年'!Z8:$AG8),'2023年'!Z8,IF('2023年'!$AZ8-SUM('2023年'!AA8:$AG8)&gt;0,'2023年'!$AZ8-SUM('2023年'!AA8:$AG8),0))</f>
        <v>219867.26</v>
      </c>
      <c r="AA8" s="62">
        <f>IF('2023年'!$AZ8&gt;=SUM('2023年'!AA8:$AG8),'2023年'!AA8,IF('2023年'!$AZ8-SUM('2023年'!AB8:$AG8)&gt;0,'2023年'!$AZ8-SUM('2023年'!AB8:$AG8),0))</f>
        <v>0</v>
      </c>
      <c r="AB8" s="62">
        <f>IF('2023年'!$AZ8&gt;=SUM('2023年'!AB8:$AG8),'2023年'!AB8,IF('2023年'!$AZ8-SUM('2023年'!AC8:$AG8)&gt;0,'2023年'!$AZ8-SUM('2023年'!AC8:$AG8),0))</f>
        <v>0</v>
      </c>
      <c r="AC8" s="62">
        <f>IF('2023年'!$AZ8&gt;=SUM('2023年'!AC8:$AG8),'2023年'!AC8,IF('2023年'!$AZ8-SUM('2023年'!AD8:$AG8)&gt;0,'2023年'!$AZ8-SUM('2023年'!AD8:$AG8),0))</f>
        <v>0</v>
      </c>
      <c r="AD8" s="62">
        <f>IF('2023年'!$AZ8&gt;=SUM('2023年'!AD8:$AG8),'2023年'!AD8,IF('2023年'!$AZ8-SUM('2023年'!AE8:$AG8)&gt;0,'2023年'!$AZ8-SUM('2023年'!AE8:$AG8),0))</f>
        <v>0</v>
      </c>
      <c r="AE8" s="62">
        <f>IF('2023年'!$AZ8&gt;=SUM('2023年'!AE8:$AG8),'2023年'!AE8,IF('2023年'!$AZ8-SUM('2023年'!AF8:$AG8)&gt;0,'2023年'!$AZ8-SUM('2023年'!AF8:$AG8),0))</f>
        <v>0</v>
      </c>
      <c r="AF8" s="62">
        <f>IF('2023年'!$AZ8&gt;=SUM('2023年'!AF8:$AG8),'2023年'!AF8,IF('2023年'!$AZ8-SUM('2023年'!AG8:$AG8)&gt;0,'2023年'!$AZ8-SUM('2023年'!AG8:$AG8),0))</f>
        <v>0</v>
      </c>
      <c r="AG8" s="62">
        <f>IF('2023年'!$AZ8&gt;=SUM('2023年'!AG8:$AG8),'2023年'!AG8,IF('2023年'!$AZ8-SUM('2023年'!$AG8:AH8)&gt;0,'2023年'!$AZ8-SUM('2023年'!$AG8:AH8),0))</f>
        <v>0</v>
      </c>
      <c r="AH8" s="78" t="s">
        <v>77</v>
      </c>
      <c r="AI8" s="79"/>
      <c r="AJ8" s="80" t="s">
        <v>348</v>
      </c>
      <c r="AK8" s="81" t="s">
        <v>349</v>
      </c>
      <c r="AL8" s="82"/>
      <c r="AM8" s="83"/>
      <c r="AN8" s="84">
        <v>100000</v>
      </c>
      <c r="AO8" s="84"/>
    </row>
    <row r="9" s="20" customFormat="1" ht="24" customHeight="1" spans="2:41">
      <c r="B9" s="42" t="s">
        <v>81</v>
      </c>
      <c r="C9" s="43" t="str">
        <f>'2023年'!C9</f>
        <v>1933511</v>
      </c>
      <c r="D9" s="43" t="str">
        <f>'2023年'!D9</f>
        <v>浙江万福机电科技有限公司</v>
      </c>
      <c r="E9" s="47" t="s">
        <v>111</v>
      </c>
      <c r="F9" s="45">
        <f>SUM(I9:U9)</f>
        <v>62.7000000000698</v>
      </c>
      <c r="G9" s="46">
        <f t="shared" ref="G9" si="5">SUM(I9:T9)</f>
        <v>62.7000000000698</v>
      </c>
      <c r="H9" s="46">
        <f t="shared" si="1"/>
        <v>125.40000000014</v>
      </c>
      <c r="I9" s="57"/>
      <c r="J9" s="58">
        <v>62.7000000000698</v>
      </c>
      <c r="K9" s="58">
        <f>IF('2023年'!$AZ9&gt;('2023年'!$W9+'2023年'!$V9+SUM('2023年'!G9:$T9)),'2023年'!G9,IF('2023年'!$AZ9-'2023年'!$V9-'2023年'!$W9-SUM('2023年'!H9:$T9)&gt;0,'2023年'!$AZ9-'2023年'!$V9-'2023年'!$W9-SUM('2023年'!H9:$T9),""))</f>
        <v>0</v>
      </c>
      <c r="L9" s="58">
        <f>IF('2023年'!$AZ9&gt;('2023年'!$W9+'2023年'!$V9+SUM('2023年'!H9:$T9)),'2023年'!H9,IF('2023年'!$AZ9-'2023年'!$V9-'2023年'!$W9-SUM('2023年'!I9:$T9)&gt;0,'2023年'!$AZ9-'2023年'!$V9-'2023年'!$W9-SUM('2023年'!I9:$T9),""))</f>
        <v>0</v>
      </c>
      <c r="M9" s="58">
        <f>IF('2023年'!$AZ9&gt;('2023年'!$W9+'2023年'!$V9+SUM('2023年'!I9:$T9)),'2023年'!I9,IF('2023年'!$AZ9-'2023年'!$V9-'2023年'!$W9-SUM('2023年'!J9:$T9)&gt;0,'2023年'!$AZ9-'2023年'!$V9-'2023年'!$W9-SUM('2023年'!J9:$T9),""))</f>
        <v>0</v>
      </c>
      <c r="N9" s="58">
        <f>IF('2023年'!$AZ9&gt;('2023年'!$W9+'2023年'!$V9+SUM('2023年'!J9:$T9)),'2023年'!J9,IF('2023年'!$AZ9-'2023年'!$V9-'2023年'!$W9-SUM('2023年'!K9:$T9)&gt;0,'2023年'!$AZ9-'2023年'!$V9-'2023年'!$W9-SUM('2023年'!K9:$T9),""))</f>
        <v>0</v>
      </c>
      <c r="O9" s="58">
        <f>IF('2023年'!$AZ9&gt;('2023年'!$W9+'2023年'!$V9+SUM('2023年'!K9:$T9)),'2023年'!K9,IF('2023年'!$AZ9-'2023年'!$V9-'2023年'!$W9-SUM('2023年'!L9:$T9)&gt;0,'2023年'!$AZ9-'2023年'!$V9-'2023年'!$W9-SUM('2023年'!L9:$T9),""))</f>
        <v>0</v>
      </c>
      <c r="P9" s="58">
        <f>IF('2023年'!$AZ9&gt;('2023年'!$W9+'2023年'!$V9+SUM('2023年'!L9:$T9)),'2023年'!L9,IF('2023年'!$AZ9-'2023年'!$V9-'2023年'!$W9-SUM('2023年'!M9:$T9)&gt;0,'2023年'!$AZ9-'2023年'!$V9-'2023年'!$W9-SUM('2023年'!M9:$T9),""))</f>
        <v>0</v>
      </c>
      <c r="Q9" s="58" t="str">
        <f>IF('2023年'!$AZ9&gt;(SUM('2023年'!V9:AG9)+SUM('2023年'!M9:$T9)),'2023年'!M9,IF('2023年'!$AZ9-SUM('2023年'!V9:AG9)-SUM('2023年'!N9:$T9)&gt;0,'2023年'!$AZ9-SUM('2023年'!V9:AG9)-SUM('2023年'!N9:$T9),""))</f>
        <v/>
      </c>
      <c r="R9" s="58" t="str">
        <f>IF('2023年'!$AZ9&gt;(SUM('2023年'!V9:AG9)+SUM('2023年'!N9:$T9)),'2023年'!N9,IF('2023年'!$AZ9-SUM('2023年'!V9:AG9)-SUM('2023年'!O9:$T9)&gt;0,'2023年'!$AZ9-SUM('2023年'!V9:AG9)-SUM('2023年'!O9:$T9),""))</f>
        <v/>
      </c>
      <c r="S9" s="58" t="str">
        <f>IF('2023年'!$AZ9&gt;('2023年'!P9+'2023年'!Q9+'2023年'!S9+'2023年'!T9+SUM('2023年'!V9:AG9))+'2023年'!O9+'2023年'!R9,'2023年'!O9+'2023年'!R9,IF('2023年'!$AZ9-SUM('2023年'!V9:AG9)-'2023年'!T9-'2023年'!S9-'2023年'!P9-'2023年'!Q9&gt;0,'2023年'!$AZ9-SUM('2023年'!V9:AG9)-'2023年'!T9-'2023年'!S9-'2023年'!P9-'2023年'!Q9,""))</f>
        <v/>
      </c>
      <c r="T9" s="58" t="str">
        <f>IF('2023年'!$AZ9&gt;('2023年'!$T9+'2023年'!$Q9+SUM('2023年'!V9:$AG9))+'2023年'!S9+'2023年'!P9,'2023年'!P9+'2023年'!S9,IF('2023年'!$AZ9-SUM('2023年'!V9:$AG9)-'2023年'!T9-'2023年'!Q9&gt;0,'2023年'!$AZ9-SUM('2023年'!V9:X9)-'2023年'!T9-'2023年'!Q9,""))</f>
        <v/>
      </c>
      <c r="U9" s="58" t="str">
        <f>IF('2023年'!$AZ9&gt;(SUM('2023年'!V9:AG9)+'2023年'!T9+'2023年'!Q9),'2023年'!Q9+'2023年'!T9,IF('2023年'!$AZ9-SUM('2023年'!V9:AG9)&gt;0,'2023年'!$AZ9-SUM('2023年'!V9:AG9),""))</f>
        <v/>
      </c>
      <c r="V9" s="61">
        <f>IF('2023年'!$AZ9&gt;=SUM('2023年'!V9:$AG9),'2023年'!V9,IF('2023年'!$AZ9-SUM('2023年'!W9:$AG9)&gt;0,'2023年'!$AZ9-SUM('2023年'!W9:$AG9),0))</f>
        <v>0</v>
      </c>
      <c r="W9" s="61">
        <f>IF('2023年'!$AZ9&gt;=SUM('2023年'!W9:$AG9),'2023年'!W9,IF('2023年'!$AZ9-SUM('2023年'!X9:$AG9)&gt;0,'2023年'!$AZ9-SUM('2023年'!X9:$AG9),0))</f>
        <v>0</v>
      </c>
      <c r="X9" s="61">
        <f>IF('2023年'!$AZ9&gt;=SUM('2023年'!X9:$AG9),'2023年'!X9,IF('2023年'!$AZ9-SUM('2023年'!Y9:$AG9)&gt;0,'2023年'!$AZ9-SUM('2023年'!Y9:$AG9),0))</f>
        <v>0</v>
      </c>
      <c r="Y9" s="62">
        <f>IF('2023年'!$AZ9&gt;=SUM('2023年'!Y9:$AG9),'2023年'!Y9,IF('2023年'!$AZ9-SUM('2023年'!Z9:$AG9)&gt;0,'2023年'!$AZ9-SUM('2023年'!Z9:$AG9),0))</f>
        <v>62.7000000000698</v>
      </c>
      <c r="Z9" s="62">
        <f>IF('2023年'!$AZ9&gt;=SUM('2023年'!Z9:$AG9),'2023年'!Z9,IF('2023年'!$AZ9-SUM('2023年'!AA9:$AG9)&gt;0,'2023年'!$AZ9-SUM('2023年'!AA9:$AG9),0))</f>
        <v>0</v>
      </c>
      <c r="AA9" s="62">
        <f>IF('2023年'!$AZ9&gt;=SUM('2023年'!AA9:$AG9),'2023年'!AA9,IF('2023年'!$AZ9-SUM('2023年'!AB9:$AG9)&gt;0,'2023年'!$AZ9-SUM('2023年'!AB9:$AG9),0))</f>
        <v>0</v>
      </c>
      <c r="AB9" s="62">
        <f>IF('2023年'!$AZ9&gt;=SUM('2023年'!AB9:$AG9),'2023年'!AB9,IF('2023年'!$AZ9-SUM('2023年'!AC9:$AG9)&gt;0,'2023年'!$AZ9-SUM('2023年'!AC9:$AG9),0))</f>
        <v>0</v>
      </c>
      <c r="AC9" s="62">
        <f>IF('2023年'!$AZ9&gt;=SUM('2023年'!AC9:$AG9),'2023年'!AC9,IF('2023年'!$AZ9-SUM('2023年'!AD9:$AG9)&gt;0,'2023年'!$AZ9-SUM('2023年'!AD9:$AG9),0))</f>
        <v>0</v>
      </c>
      <c r="AD9" s="62">
        <f>IF('2023年'!$AZ9&gt;=SUM('2023年'!AD9:$AG9),'2023年'!AD9,IF('2023年'!$AZ9-SUM('2023年'!AE9:$AG9)&gt;0,'2023年'!$AZ9-SUM('2023年'!AE9:$AG9),0))</f>
        <v>0</v>
      </c>
      <c r="AE9" s="62">
        <f>IF('2023年'!$AZ9&gt;=SUM('2023年'!AE9:$AG9),'2023年'!AE9,IF('2023年'!$AZ9-SUM('2023年'!AF9:$AG9)&gt;0,'2023年'!$AZ9-SUM('2023年'!AF9:$AG9),0))</f>
        <v>0</v>
      </c>
      <c r="AF9" s="62">
        <f>IF('2023年'!$AZ9&gt;=SUM('2023年'!AF9:$AG9),'2023年'!AF9,IF('2023年'!$AZ9-SUM('2023年'!AG9:$AG9)&gt;0,'2023年'!$AZ9-SUM('2023年'!AG9:$AG9),0))</f>
        <v>0</v>
      </c>
      <c r="AG9" s="62">
        <f>IF('2023年'!$AZ9&gt;=SUM('2023年'!AG9:$AG9),'2023年'!AG9,IF('2023年'!$AZ9-SUM('2023年'!$AG9:AH9)&gt;0,'2023年'!$AZ9-SUM('2023年'!$AG9:AH9),0))</f>
        <v>0</v>
      </c>
      <c r="AH9" s="78"/>
      <c r="AI9" s="79"/>
      <c r="AJ9" s="80" t="s">
        <v>346</v>
      </c>
      <c r="AK9" s="81" t="s">
        <v>350</v>
      </c>
      <c r="AL9" s="82"/>
      <c r="AM9" s="83"/>
      <c r="AN9" s="84"/>
      <c r="AO9" s="84"/>
    </row>
    <row r="10" s="20" customFormat="1" ht="24" customHeight="1" spans="2:41">
      <c r="B10" s="42" t="s">
        <v>81</v>
      </c>
      <c r="C10" s="43" t="str">
        <f>'2023年'!C10</f>
        <v>1937045</v>
      </c>
      <c r="D10" s="43" t="str">
        <f>'2023年'!D10</f>
        <v>烟台美龙汽车部件有限公司</v>
      </c>
      <c r="E10" s="44">
        <v>90</v>
      </c>
      <c r="F10" s="45">
        <f>SUM(I10:X10)</f>
        <v>205279.13</v>
      </c>
      <c r="G10" s="46">
        <f>SUM(I10:V10)</f>
        <v>42809.4299999999</v>
      </c>
      <c r="H10" s="46">
        <f t="shared" si="1"/>
        <v>205279.13</v>
      </c>
      <c r="I10" s="57"/>
      <c r="J10" s="58" t="str">
        <f>IF('2023年'!$AZ10&gt;('2023年'!$W10+'2023年'!$V10+SUM('2023年'!F10:$T10)),'2023年'!F10,IF('2023年'!$AZ10-'2023年'!$V10-'2023年'!$W10-SUM('2023年'!G10:$T10)&gt;0,'2023年'!$AZ10-'2023年'!$V10-'2023年'!$W10-SUM('2023年'!G10:$T10),""))</f>
        <v/>
      </c>
      <c r="K10" s="58" t="str">
        <f>IF('2023年'!$AZ10&gt;('2023年'!$W10+'2023年'!$V10+SUM('2023年'!G10:$T10)),'2023年'!G10,IF('2023年'!$AZ10-'2023年'!$V10-'2023年'!$W10-SUM('2023年'!H10:$T10)&gt;0,'2023年'!$AZ10-'2023年'!$V10-'2023年'!$W10-SUM('2023年'!H10:$T10),""))</f>
        <v/>
      </c>
      <c r="L10" s="58" t="str">
        <f>IF('2023年'!$AZ10&gt;('2023年'!$W10+'2023年'!$V10+SUM('2023年'!H10:$T10)),'2023年'!H10,IF('2023年'!$AZ10-'2023年'!$V10-'2023年'!$W10-SUM('2023年'!I10:$T10)&gt;0,'2023年'!$AZ10-'2023年'!$V10-'2023年'!$W10-SUM('2023年'!I10:$T10),""))</f>
        <v/>
      </c>
      <c r="M10" s="58" t="str">
        <f>IF('2023年'!$AZ10&gt;('2023年'!$W10+'2023年'!$V10+SUM('2023年'!I10:$T10)),'2023年'!I10,IF('2023年'!$AZ10-'2023年'!$V10-'2023年'!$W10-SUM('2023年'!J10:$T10)&gt;0,'2023年'!$AZ10-'2023年'!$V10-'2023年'!$W10-SUM('2023年'!J10:$T10),""))</f>
        <v/>
      </c>
      <c r="N10" s="58" t="str">
        <f>IF('2023年'!$AZ10&gt;('2023年'!$W10+'2023年'!$V10+SUM('2023年'!J10:$T10)),'2023年'!J10,IF('2023年'!$AZ10-'2023年'!$V10-'2023年'!$W10-SUM('2023年'!K10:$T10)&gt;0,'2023年'!$AZ10-'2023年'!$V10-'2023年'!$W10-SUM('2023年'!K10:$T10),""))</f>
        <v/>
      </c>
      <c r="O10" s="58" t="str">
        <f>IF('2023年'!$AZ10&gt;('2023年'!$W10+'2023年'!$V10+SUM('2023年'!K10:$T10)),'2023年'!K10,IF('2023年'!$AZ10-'2023年'!$V10-'2023年'!$W10-SUM('2023年'!L10:$T10)&gt;0,'2023年'!$AZ10-'2023年'!$V10-'2023年'!$W10-SUM('2023年'!L10:$T10),""))</f>
        <v/>
      </c>
      <c r="P10" s="58" t="str">
        <f>IF('2023年'!$AZ10&gt;('2023年'!$W10+'2023年'!$V10+SUM('2023年'!L10:$T10)),'2023年'!L10,IF('2023年'!$AZ10-'2023年'!$V10-'2023年'!$W10-SUM('2023年'!M10:$T10)&gt;0,'2023年'!$AZ10-'2023年'!$V10-'2023年'!$W10-SUM('2023年'!M10:$T10),""))</f>
        <v/>
      </c>
      <c r="Q10" s="58">
        <f>IF('2023年'!$AZ10&gt;(SUM('2023年'!V10:AG10)+SUM('2023年'!M10:$T10)),'2023年'!M10,IF('2023年'!$AZ10-SUM('2023年'!V10:AG10)-SUM('2023年'!N10:$T10)&gt;0,'2023年'!$AZ10-SUM('2023年'!V10:AG10)-SUM('2023年'!N10:$T10),""))</f>
        <v>42809.4299999999</v>
      </c>
      <c r="R10" s="58" t="str">
        <f>IF('2023年'!$AZ10&gt;(SUM('2023年'!V10:AG10)+SUM('2023年'!N10:$T10)),'2023年'!N10,IF('2023年'!$AZ10-SUM('2023年'!V10:AG10)-SUM('2023年'!O10:$T10)&gt;0,'2023年'!$AZ10-SUM('2023年'!V10:AG10)-SUM('2023年'!O10:$T10),""))</f>
        <v/>
      </c>
      <c r="S10" s="58">
        <f>IF('2023年'!$AZ10&gt;('2023年'!P10+'2023年'!Q10+'2023年'!S10+'2023年'!T10+SUM('2023年'!V10:AG10))+'2023年'!O10+'2023年'!R10,'2023年'!O10+'2023年'!R10,IF('2023年'!$AZ10-SUM('2023年'!V10:AG10)-'2023年'!T10-'2023年'!S10-'2023年'!P10-'2023年'!Q10&gt;0,'2023年'!$AZ10-SUM('2023年'!V10:AG10)-'2023年'!T10-'2023年'!S10-'2023年'!P10-'2023年'!Q10,""))</f>
        <v>0</v>
      </c>
      <c r="T10" s="58">
        <f>IF('2023年'!$AZ10&gt;('2023年'!$T10+'2023年'!$Q10+SUM('2023年'!V10:$AG10))+'2023年'!S10+'2023年'!P10,'2023年'!P10+'2023年'!S10,IF('2023年'!$AZ10-SUM('2023年'!V10:$AG10)-'2023年'!T10-'2023年'!Q10&gt;0,'2023年'!$AZ10-SUM('2023年'!V10:X10)-'2023年'!T10-'2023年'!Q10,""))</f>
        <v>0</v>
      </c>
      <c r="U10" s="58">
        <f>IF('2023年'!$AZ10&gt;(SUM('2023年'!V10:AG10)+'2023年'!T10+'2023年'!Q10),'2023年'!Q10+'2023年'!T10,IF('2023年'!$AZ10-SUM('2023年'!V10:AG10)&gt;0,'2023年'!$AZ10-SUM('2023年'!V10:AG10),""))</f>
        <v>0</v>
      </c>
      <c r="V10" s="61">
        <f>IF('2023年'!$AZ10&gt;=SUM('2023年'!V10:$AG10),'2023年'!V10,IF('2023年'!$AZ10-SUM('2023年'!W10:$AG10)&gt;0,'2023年'!$AZ10-SUM('2023年'!W10:$AG10),0))</f>
        <v>0</v>
      </c>
      <c r="W10" s="61">
        <f>IF('2023年'!$AZ10&gt;=SUM('2023年'!W10:$AG10),'2023年'!W10,IF('2023年'!$AZ10-SUM('2023年'!X10:$AG10)&gt;0,'2023年'!$AZ10-SUM('2023年'!X10:$AG10),0))</f>
        <v>162469.7</v>
      </c>
      <c r="X10" s="61">
        <f>IF('2023年'!$AZ10&gt;=SUM('2023年'!X10:$AG10),'2023年'!X10,IF('2023年'!$AZ10-SUM('2023年'!Y10:$AG10)&gt;0,'2023年'!$AZ10-SUM('2023年'!Y10:$AG10),0))</f>
        <v>0</v>
      </c>
      <c r="Y10" s="62">
        <f>IF('2023年'!$AZ10&gt;=SUM('2023年'!Y10:$AG10),'2023年'!Y10,IF('2023年'!$AZ10-SUM('2023年'!Z10:$AG10)&gt;0,'2023年'!$AZ10-SUM('2023年'!Z10:$AG10),0))</f>
        <v>0</v>
      </c>
      <c r="Z10" s="62">
        <f>IF('2023年'!$AZ10&gt;=SUM('2023年'!Z10:$AG10),'2023年'!Z10,IF('2023年'!$AZ10-SUM('2023年'!AA10:$AG10)&gt;0,'2023年'!$AZ10-SUM('2023年'!AA10:$AG10),0))</f>
        <v>0</v>
      </c>
      <c r="AA10" s="62">
        <f>IF('2023年'!$AZ10&gt;=SUM('2023年'!AA10:$AG10),'2023年'!AA10,IF('2023年'!$AZ10-SUM('2023年'!AB10:$AG10)&gt;0,'2023年'!$AZ10-SUM('2023年'!AB10:$AG10),0))</f>
        <v>0</v>
      </c>
      <c r="AB10" s="62">
        <f>IF('2023年'!$AZ10&gt;=SUM('2023年'!AB10:$AG10),'2023年'!AB10,IF('2023年'!$AZ10-SUM('2023年'!AC10:$AG10)&gt;0,'2023年'!$AZ10-SUM('2023年'!AC10:$AG10),0))</f>
        <v>0</v>
      </c>
      <c r="AC10" s="62">
        <f>IF('2023年'!$AZ10&gt;=SUM('2023年'!AC10:$AG10),'2023年'!AC10,IF('2023年'!$AZ10-SUM('2023年'!AD10:$AG10)&gt;0,'2023年'!$AZ10-SUM('2023年'!AD10:$AG10),0))</f>
        <v>0</v>
      </c>
      <c r="AD10" s="62">
        <f>IF('2023年'!$AZ10&gt;=SUM('2023年'!AD10:$AG10),'2023年'!AD10,IF('2023年'!$AZ10-SUM('2023年'!AE10:$AG10)&gt;0,'2023年'!$AZ10-SUM('2023年'!AE10:$AG10),0))</f>
        <v>0</v>
      </c>
      <c r="AE10" s="62">
        <f>IF('2023年'!$AZ10&gt;=SUM('2023年'!AE10:$AG10),'2023年'!AE10,IF('2023年'!$AZ10-SUM('2023年'!AF10:$AG10)&gt;0,'2023年'!$AZ10-SUM('2023年'!AF10:$AG10),0))</f>
        <v>0</v>
      </c>
      <c r="AF10" s="62">
        <f>IF('2023年'!$AZ10&gt;=SUM('2023年'!AF10:$AG10),'2023年'!AF10,IF('2023年'!$AZ10-SUM('2023年'!AG10:$AG10)&gt;0,'2023年'!$AZ10-SUM('2023年'!AG10:$AG10),0))</f>
        <v>0</v>
      </c>
      <c r="AG10" s="62">
        <f>IF('2023年'!$AZ10&gt;=SUM('2023年'!AG10:$AG10),'2023年'!AG10,IF('2023年'!$AZ10-SUM('2023年'!$AG10:AH10)&gt;0,'2023年'!$AZ10-SUM('2023年'!$AG10:AH10),0))</f>
        <v>0</v>
      </c>
      <c r="AH10" s="78" t="s">
        <v>77</v>
      </c>
      <c r="AI10" s="79"/>
      <c r="AJ10" s="80"/>
      <c r="AK10" s="81" t="s">
        <v>351</v>
      </c>
      <c r="AL10" s="82"/>
      <c r="AM10" s="83"/>
      <c r="AN10" s="84"/>
      <c r="AO10" s="84">
        <v>50000</v>
      </c>
    </row>
    <row r="11" s="20" customFormat="1" ht="24" customHeight="1" spans="2:41">
      <c r="B11" s="48" t="s">
        <v>81</v>
      </c>
      <c r="C11" s="43" t="str">
        <f>'2023年'!C11</f>
        <v>L4153</v>
      </c>
      <c r="D11" s="43" t="str">
        <f>'2023年'!D11</f>
        <v>上海发之源电器有限公司</v>
      </c>
      <c r="E11" s="47">
        <v>60</v>
      </c>
      <c r="F11" s="45">
        <f t="shared" si="3"/>
        <v>146967.08</v>
      </c>
      <c r="G11" s="46">
        <f t="shared" si="4"/>
        <v>0</v>
      </c>
      <c r="H11" s="46">
        <f t="shared" ref="H11:H24" si="6">SUM(I11:AG11)</f>
        <v>355657.92</v>
      </c>
      <c r="I11" s="57"/>
      <c r="J11" s="58" t="str">
        <f>IF('2023年'!$AZ11&gt;('2023年'!$W11+'2023年'!$V11+SUM('2023年'!F11:$T11)),'2023年'!F11,IF('2023年'!$AZ11-'2023年'!$V11-'2023年'!$W11-SUM('2023年'!G11:$T11)&gt;0,'2023年'!$AZ11-'2023年'!$V11-'2023年'!$W11-SUM('2023年'!G11:$T11),""))</f>
        <v/>
      </c>
      <c r="K11" s="58" t="str">
        <f>IF('2023年'!$AZ11&gt;('2023年'!$W11+'2023年'!$V11+SUM('2023年'!G11:$T11)),'2023年'!G11,IF('2023年'!$AZ11-'2023年'!$V11-'2023年'!$W11-SUM('2023年'!H11:$T11)&gt;0,'2023年'!$AZ11-'2023年'!$V11-'2023年'!$W11-SUM('2023年'!H11:$T11),""))</f>
        <v/>
      </c>
      <c r="L11" s="58" t="str">
        <f>IF('2023年'!$AZ11&gt;('2023年'!$W11+'2023年'!$V11+SUM('2023年'!H11:$T11)),'2023年'!H11,IF('2023年'!$AZ11-'2023年'!$V11-'2023年'!$W11-SUM('2023年'!I11:$T11)&gt;0,'2023年'!$AZ11-'2023年'!$V11-'2023年'!$W11-SUM('2023年'!I11:$T11),""))</f>
        <v/>
      </c>
      <c r="M11" s="58" t="str">
        <f>IF('2023年'!$AZ11&gt;('2023年'!$W11+'2023年'!$V11+SUM('2023年'!I11:$T11)),'2023年'!I11,IF('2023年'!$AZ11-'2023年'!$V11-'2023年'!$W11-SUM('2023年'!J11:$T11)&gt;0,'2023年'!$AZ11-'2023年'!$V11-'2023年'!$W11-SUM('2023年'!J11:$T11),""))</f>
        <v/>
      </c>
      <c r="N11" s="58" t="str">
        <f>IF('2023年'!$AZ11&gt;('2023年'!$W11+'2023年'!$V11+SUM('2023年'!J11:$T11)),'2023年'!J11,IF('2023年'!$AZ11-'2023年'!$V11-'2023年'!$W11-SUM('2023年'!K11:$T11)&gt;0,'2023年'!$AZ11-'2023年'!$V11-'2023年'!$W11-SUM('2023年'!K11:$T11),""))</f>
        <v/>
      </c>
      <c r="O11" s="58" t="str">
        <f>IF('2023年'!$AZ11&gt;('2023年'!$W11+'2023年'!$V11+SUM('2023年'!K11:$T11)),'2023年'!K11,IF('2023年'!$AZ11-'2023年'!$V11-'2023年'!$W11-SUM('2023年'!L11:$T11)&gt;0,'2023年'!$AZ11-'2023年'!$V11-'2023年'!$W11-SUM('2023年'!L11:$T11),""))</f>
        <v/>
      </c>
      <c r="P11" s="58" t="str">
        <f>IF('2023年'!$AZ11&gt;('2023年'!$W11+'2023年'!$V11+SUM('2023年'!L11:$T11)),'2023年'!L11,IF('2023年'!$AZ11-'2023年'!$V11-'2023年'!$W11-SUM('2023年'!M11:$T11)&gt;0,'2023年'!$AZ11-'2023年'!$V11-'2023年'!$W11-SUM('2023年'!M11:$T11),""))</f>
        <v/>
      </c>
      <c r="Q11" s="58" t="str">
        <f>IF('2023年'!$AZ11&gt;(SUM('2023年'!V11:AG11)+SUM('2023年'!M11:$T11)),'2023年'!M11,IF('2023年'!$AZ11-SUM('2023年'!V11:AG11)-SUM('2023年'!N11:$T11)&gt;0,'2023年'!$AZ11-SUM('2023年'!V11:AG11)-SUM('2023年'!N11:$T11),""))</f>
        <v/>
      </c>
      <c r="R11" s="58" t="str">
        <f>IF('2023年'!$AZ11&gt;(SUM('2023年'!V11:AG11)+SUM('2023年'!N11:$T11)),'2023年'!N11,IF('2023年'!$AZ11-SUM('2023年'!V11:AG11)-SUM('2023年'!O11:$T11)&gt;0,'2023年'!$AZ11-SUM('2023年'!V11:AG11)-SUM('2023年'!O11:$T11),""))</f>
        <v/>
      </c>
      <c r="S11" s="58" t="str">
        <f>IF('2023年'!$AZ11&gt;('2023年'!P11+'2023年'!Q11+'2023年'!S11+'2023年'!T11+SUM('2023年'!V11:AG11))+'2023年'!O11+'2023年'!R11,'2023年'!O11+'2023年'!R11,IF('2023年'!$AZ11-SUM('2023年'!V11:AG11)-'2023年'!T11-'2023年'!S11-'2023年'!P11-'2023年'!Q11&gt;0,'2023年'!$AZ11-SUM('2023年'!V11:AG11)-'2023年'!T11-'2023年'!S11-'2023年'!P11-'2023年'!Q11,""))</f>
        <v/>
      </c>
      <c r="T11" s="58" t="str">
        <f>IF('2023年'!$AZ11&gt;('2023年'!$T11+'2023年'!$Q11+SUM('2023年'!V11:$AG11))+'2023年'!S11+'2023年'!P11,'2023年'!P11+'2023年'!S11,IF('2023年'!$AZ11-SUM('2023年'!V11:$AG11)-'2023年'!T11-'2023年'!Q11&gt;0,'2023年'!$AZ11-SUM('2023年'!V11:X11)-'2023年'!T11-'2023年'!Q11,""))</f>
        <v/>
      </c>
      <c r="U11" s="58" t="str">
        <f>IF('2023年'!$AZ11&gt;(SUM('2023年'!V11:AG11)+'2023年'!T11+'2023年'!Q11),'2023年'!Q11+'2023年'!T11,IF('2023年'!$AZ11-SUM('2023年'!V11:AG11)&gt;0,'2023年'!$AZ11-SUM('2023年'!V11:AG11),""))</f>
        <v/>
      </c>
      <c r="V11" s="61">
        <f>IF('2023年'!$AZ11&gt;=SUM('2023年'!V11:$AG11),'2023年'!V11,IF('2023年'!$AZ11-SUM('2023年'!W11:$AG11)&gt;0,'2023年'!$AZ11-SUM('2023年'!W11:$AG11),0))</f>
        <v>0</v>
      </c>
      <c r="W11" s="61">
        <f>IF('2023年'!$AZ11&gt;=SUM('2023年'!W11:$AG11),'2023年'!W11,IF('2023年'!$AZ11-SUM('2023年'!X11:$AG11)&gt;0,'2023年'!$AZ11-SUM('2023年'!X11:$AG11),0))</f>
        <v>0</v>
      </c>
      <c r="X11" s="61">
        <f>IF('2023年'!$AZ11&gt;=SUM('2023年'!X11:$AG11),'2023年'!X11,IF('2023年'!$AZ11-SUM('2023年'!Y11:$AG11)&gt;0,'2023年'!$AZ11-SUM('2023年'!Y11:$AG11),0))</f>
        <v>0</v>
      </c>
      <c r="Y11" s="62">
        <f>IF('2023年'!$AZ11&gt;=SUM('2023年'!Y11:$AG11),'2023年'!Y11,IF('2023年'!$AZ11-SUM('2023年'!Z11:$AG11)&gt;0,'2023年'!$AZ11-SUM('2023年'!Z11:$AG11),0))</f>
        <v>146967.08</v>
      </c>
      <c r="Z11" s="62">
        <f>IF('2023年'!$AZ11&gt;=SUM('2023年'!Z11:$AG11),'2023年'!Z11,IF('2023年'!$AZ11-SUM('2023年'!AA11:$AG11)&gt;0,'2023年'!$AZ11-SUM('2023年'!AA11:$AG11),0))</f>
        <v>208690.84</v>
      </c>
      <c r="AA11" s="62">
        <f>IF('2023年'!$AZ11&gt;=SUM('2023年'!AA11:$AG11),'2023年'!AA11,IF('2023年'!$AZ11-SUM('2023年'!AB11:$AG11)&gt;0,'2023年'!$AZ11-SUM('2023年'!AB11:$AG11),0))</f>
        <v>0</v>
      </c>
      <c r="AB11" s="62">
        <f>IF('2023年'!$AZ11&gt;=SUM('2023年'!AB11:$AG11),'2023年'!AB11,IF('2023年'!$AZ11-SUM('2023年'!AC11:$AG11)&gt;0,'2023年'!$AZ11-SUM('2023年'!AC11:$AG11),0))</f>
        <v>0</v>
      </c>
      <c r="AC11" s="62">
        <f>IF('2023年'!$AZ11&gt;=SUM('2023年'!AC11:$AG11),'2023年'!AC11,IF('2023年'!$AZ11-SUM('2023年'!AD11:$AG11)&gt;0,'2023年'!$AZ11-SUM('2023年'!AD11:$AG11),0))</f>
        <v>0</v>
      </c>
      <c r="AD11" s="62">
        <f>IF('2023年'!$AZ11&gt;=SUM('2023年'!AD11:$AG11),'2023年'!AD11,IF('2023年'!$AZ11-SUM('2023年'!AE11:$AG11)&gt;0,'2023年'!$AZ11-SUM('2023年'!AE11:$AG11),0))</f>
        <v>0</v>
      </c>
      <c r="AE11" s="62">
        <f>IF('2023年'!$AZ11&gt;=SUM('2023年'!AE11:$AG11),'2023年'!AE11,IF('2023年'!$AZ11-SUM('2023年'!AF11:$AG11)&gt;0,'2023年'!$AZ11-SUM('2023年'!AF11:$AG11),0))</f>
        <v>0</v>
      </c>
      <c r="AF11" s="62">
        <f>IF('2023年'!$AZ11&gt;=SUM('2023年'!AF11:$AG11),'2023年'!AF11,IF('2023年'!$AZ11-SUM('2023年'!AG11:$AG11)&gt;0,'2023年'!$AZ11-SUM('2023年'!AG11:$AG11),0))</f>
        <v>0</v>
      </c>
      <c r="AG11" s="62">
        <f>IF('2023年'!$AZ11&gt;=SUM('2023年'!AG11:$AG11),'2023年'!AG11,IF('2023年'!$AZ11-SUM('2023年'!$AG11:AH11)&gt;0,'2023年'!$AZ11-SUM('2023年'!$AG11:AH11),0))</f>
        <v>0</v>
      </c>
      <c r="AH11" s="78" t="s">
        <v>77</v>
      </c>
      <c r="AI11" s="79"/>
      <c r="AJ11" s="80"/>
      <c r="AK11" s="81" t="s">
        <v>352</v>
      </c>
      <c r="AL11" s="82"/>
      <c r="AM11" s="83"/>
      <c r="AN11" s="84"/>
      <c r="AO11" s="84">
        <v>50000</v>
      </c>
    </row>
    <row r="12" s="20" customFormat="1" ht="24" customHeight="1" spans="2:41">
      <c r="B12" s="48" t="s">
        <v>81</v>
      </c>
      <c r="C12" s="43" t="str">
        <f>'2023年'!C12</f>
        <v>L4154</v>
      </c>
      <c r="D12" s="43" t="str">
        <f>'2023年'!D12</f>
        <v>抚州锐而简实业有限公司</v>
      </c>
      <c r="E12" s="44">
        <v>90</v>
      </c>
      <c r="F12" s="45">
        <f>SUM(I12:X12)</f>
        <v>43378.44</v>
      </c>
      <c r="G12" s="46">
        <f>SUM(I12:V12)</f>
        <v>43378.44</v>
      </c>
      <c r="H12" s="46">
        <f t="shared" si="6"/>
        <v>43378.44</v>
      </c>
      <c r="I12" s="57"/>
      <c r="J12" s="58">
        <f>IF('2023年'!$AZ12&gt;('2023年'!$W12+'2023年'!$V12+SUM('2023年'!F12:$T12)),'2023年'!F12,IF('2023年'!$AZ12-'2023年'!$V12-'2023年'!$W12-SUM('2023年'!G12:$T12)&gt;0,'2023年'!$AZ12-'2023年'!$V12-'2023年'!$W12-SUM('2023年'!G12:$T12),""))</f>
        <v>33981.36</v>
      </c>
      <c r="K12" s="58">
        <f>IF('2023年'!$AZ12&gt;('2023年'!$W12+'2023年'!$V12+SUM('2023年'!G12:$T12)),'2023年'!G12,IF('2023年'!$AZ12-'2023年'!$V12-'2023年'!$W12-SUM('2023年'!H12:$T12)&gt;0,'2023年'!$AZ12-'2023年'!$V12-'2023年'!$W12-SUM('2023年'!H12:$T12),""))</f>
        <v>5410.44</v>
      </c>
      <c r="L12" s="58">
        <f>IF('2023年'!$AZ12&gt;('2023年'!$W12+'2023年'!$V12+SUM('2023年'!H12:$T12)),'2023年'!H12,IF('2023年'!$AZ12-'2023年'!$V12-'2023年'!$W12-SUM('2023年'!I12:$T12)&gt;0,'2023年'!$AZ12-'2023年'!$V12-'2023年'!$W12-SUM('2023年'!I12:$T12),""))</f>
        <v>3986.64</v>
      </c>
      <c r="M12" s="58" t="str">
        <f>IF('2023年'!$AZ12&gt;('2023年'!$W12+'2023年'!$V12+SUM('2023年'!I12:$T12)),'2023年'!I12,IF('2023年'!$AZ12-'2023年'!$V12-'2023年'!$W12-SUM('2023年'!J12:$T12)&gt;0,'2023年'!$AZ12-'2023年'!$V12-'2023年'!$W12-SUM('2023年'!J12:$T12),""))</f>
        <v/>
      </c>
      <c r="N12" s="58" t="str">
        <f>IF('2023年'!$AZ12&gt;('2023年'!$W12+'2023年'!$V12+SUM('2023年'!J12:$T12)),'2023年'!J12,IF('2023年'!$AZ12-'2023年'!$V12-'2023年'!$W12-SUM('2023年'!K12:$T12)&gt;0,'2023年'!$AZ12-'2023年'!$V12-'2023年'!$W12-SUM('2023年'!K12:$T12),""))</f>
        <v/>
      </c>
      <c r="O12" s="58" t="str">
        <f>IF('2023年'!$AZ12&gt;('2023年'!$W12+'2023年'!$V12+SUM('2023年'!K12:$T12)),'2023年'!K12,IF('2023年'!$AZ12-'2023年'!$V12-'2023年'!$W12-SUM('2023年'!L12:$T12)&gt;0,'2023年'!$AZ12-'2023年'!$V12-'2023年'!$W12-SUM('2023年'!L12:$T12),""))</f>
        <v/>
      </c>
      <c r="P12" s="58" t="str">
        <f>IF('2023年'!$AZ12&gt;('2023年'!$W12+'2023年'!$V12+SUM('2023年'!L12:$T12)),'2023年'!L12,IF('2023年'!$AZ12-'2023年'!$V12-'2023年'!$W12-SUM('2023年'!M12:$T12)&gt;0,'2023年'!$AZ12-'2023年'!$V12-'2023年'!$W12-SUM('2023年'!M12:$T12),""))</f>
        <v/>
      </c>
      <c r="Q12" s="58" t="str">
        <f>IF('2023年'!$AZ12&gt;(SUM('2023年'!V12:AG12)+SUM('2023年'!M12:$T12)),'2023年'!M12,IF('2023年'!$AZ12-SUM('2023年'!V12:AG12)-SUM('2023年'!N12:$T12)&gt;0,'2023年'!$AZ12-SUM('2023年'!V12:AG12)-SUM('2023年'!N12:$T12),""))</f>
        <v/>
      </c>
      <c r="R12" s="58" t="str">
        <f>IF('2023年'!$AZ12&gt;(SUM('2023年'!V12:AG12)+SUM('2023年'!N12:$T12)),'2023年'!N12,IF('2023年'!$AZ12-SUM('2023年'!V12:AG12)-SUM('2023年'!O12:$T12)&gt;0,'2023年'!$AZ12-SUM('2023年'!V12:AG12)-SUM('2023年'!O12:$T12),""))</f>
        <v/>
      </c>
      <c r="S12" s="58">
        <f>IF('2023年'!$AZ12&gt;('2023年'!P12+'2023年'!Q12+'2023年'!S12+'2023年'!T12+SUM('2023年'!V12:AG12))+'2023年'!O12+'2023年'!R12,'2023年'!O12+'2023年'!R12,IF('2023年'!$AZ12-SUM('2023年'!V12:AG12)-'2023年'!T12-'2023年'!S12-'2023年'!P12-'2023年'!Q12&gt;0,'2023年'!$AZ12-SUM('2023年'!V12:AG12)-'2023年'!T12-'2023年'!S12-'2023年'!P12-'2023年'!Q12,""))</f>
        <v>0</v>
      </c>
      <c r="T12" s="58">
        <f>IF('2023年'!$AZ12&gt;('2023年'!$T12+'2023年'!$Q12+SUM('2023年'!V12:$AG12))+'2023年'!S12+'2023年'!P12,'2023年'!P12+'2023年'!S12,IF('2023年'!$AZ12-SUM('2023年'!V12:$AG12)-'2023年'!T12-'2023年'!Q12&gt;0,'2023年'!$AZ12-SUM('2023年'!V12:X12)-'2023年'!T12-'2023年'!Q12,""))</f>
        <v>0</v>
      </c>
      <c r="U12" s="58">
        <f>IF('2023年'!$AZ12&gt;(SUM('2023年'!V12:AG12)+'2023年'!T12+'2023年'!Q12),'2023年'!Q12+'2023年'!T12,IF('2023年'!$AZ12-SUM('2023年'!V12:AG12)&gt;0,'2023年'!$AZ12-SUM('2023年'!V12:AG12),""))</f>
        <v>0</v>
      </c>
      <c r="V12" s="61">
        <f>IF('2023年'!$AZ12&gt;=SUM('2023年'!V12:$AG12),'2023年'!V12,IF('2023年'!$AZ12-SUM('2023年'!W12:$AG12)&gt;0,'2023年'!$AZ12-SUM('2023年'!W12:$AG12),0))</f>
        <v>0</v>
      </c>
      <c r="W12" s="61">
        <f>IF('2023年'!$AZ12&gt;=SUM('2023年'!W12:$AG12),'2023年'!W12,IF('2023年'!$AZ12-SUM('2023年'!X12:$AG12)&gt;0,'2023年'!$AZ12-SUM('2023年'!X12:$AG12),0))</f>
        <v>0</v>
      </c>
      <c r="X12" s="61">
        <f>IF('2023年'!$AZ12&gt;=SUM('2023年'!X12:$AG12),'2023年'!X12,IF('2023年'!$AZ12-SUM('2023年'!Y12:$AG12)&gt;0,'2023年'!$AZ12-SUM('2023年'!Y12:$AG12),0))</f>
        <v>0</v>
      </c>
      <c r="Y12" s="62">
        <f>IF('2023年'!$AZ12&gt;=SUM('2023年'!Y12:$AG12),'2023年'!Y12,IF('2023年'!$AZ12-SUM('2023年'!Z12:$AG12)&gt;0,'2023年'!$AZ12-SUM('2023年'!Z12:$AG12),0))</f>
        <v>0</v>
      </c>
      <c r="Z12" s="62">
        <f>IF('2023年'!$AZ12&gt;=SUM('2023年'!Z12:$AG12),'2023年'!Z12,IF('2023年'!$AZ12-SUM('2023年'!AA12:$AG12)&gt;0,'2023年'!$AZ12-SUM('2023年'!AA12:$AG12),0))</f>
        <v>0</v>
      </c>
      <c r="AA12" s="62">
        <f>IF('2023年'!$AZ12&gt;=SUM('2023年'!AA12:$AG12),'2023年'!AA12,IF('2023年'!$AZ12-SUM('2023年'!AB12:$AG12)&gt;0,'2023年'!$AZ12-SUM('2023年'!AB12:$AG12),0))</f>
        <v>0</v>
      </c>
      <c r="AB12" s="62">
        <f>IF('2023年'!$AZ12&gt;=SUM('2023年'!AB12:$AG12),'2023年'!AB12,IF('2023年'!$AZ12-SUM('2023年'!AC12:$AG12)&gt;0,'2023年'!$AZ12-SUM('2023年'!AC12:$AG12),0))</f>
        <v>0</v>
      </c>
      <c r="AC12" s="62">
        <f>IF('2023年'!$AZ12&gt;=SUM('2023年'!AC12:$AG12),'2023年'!AC12,IF('2023年'!$AZ12-SUM('2023年'!AD12:$AG12)&gt;0,'2023年'!$AZ12-SUM('2023年'!AD12:$AG12),0))</f>
        <v>0</v>
      </c>
      <c r="AD12" s="62">
        <f>IF('2023年'!$AZ12&gt;=SUM('2023年'!AD12:$AG12),'2023年'!AD12,IF('2023年'!$AZ12-SUM('2023年'!AE12:$AG12)&gt;0,'2023年'!$AZ12-SUM('2023年'!AE12:$AG12),0))</f>
        <v>0</v>
      </c>
      <c r="AE12" s="62">
        <f>IF('2023年'!$AZ12&gt;=SUM('2023年'!AE12:$AG12),'2023年'!AE12,IF('2023年'!$AZ12-SUM('2023年'!AF12:$AG12)&gt;0,'2023年'!$AZ12-SUM('2023年'!AF12:$AG12),0))</f>
        <v>0</v>
      </c>
      <c r="AF12" s="62">
        <f>IF('2023年'!$AZ12&gt;=SUM('2023年'!AF12:$AG12),'2023年'!AF12,IF('2023年'!$AZ12-SUM('2023年'!AG12:$AG12)&gt;0,'2023年'!$AZ12-SUM('2023年'!AG12:$AG12),0))</f>
        <v>0</v>
      </c>
      <c r="AG12" s="62">
        <f>IF('2023年'!$AZ12&gt;=SUM('2023年'!AG12:$AG12),'2023年'!AG12,IF('2023年'!$AZ12-SUM('2023年'!$AG12:AH12)&gt;0,'2023年'!$AZ12-SUM('2023年'!$AG12:AH12),0))</f>
        <v>0</v>
      </c>
      <c r="AH12" s="78"/>
      <c r="AI12" s="79"/>
      <c r="AJ12" s="80"/>
      <c r="AK12" s="81" t="s">
        <v>353</v>
      </c>
      <c r="AL12" s="82" t="s">
        <v>354</v>
      </c>
      <c r="AM12" s="83"/>
      <c r="AN12" s="84"/>
      <c r="AO12" s="84"/>
    </row>
    <row r="13" s="20" customFormat="1" ht="24" customHeight="1" spans="2:41">
      <c r="B13" s="48" t="s">
        <v>81</v>
      </c>
      <c r="C13" s="43" t="str">
        <f>'2023年'!C13</f>
        <v>L4392</v>
      </c>
      <c r="D13" s="43" t="str">
        <f>'2023年'!D13</f>
        <v>阿诺德紧固件（沈阳）有限公司</v>
      </c>
      <c r="E13" s="47">
        <v>60</v>
      </c>
      <c r="F13" s="45">
        <f t="shared" si="3"/>
        <v>112483.76</v>
      </c>
      <c r="G13" s="46">
        <f t="shared" si="4"/>
        <v>63338.0200000001</v>
      </c>
      <c r="H13" s="46">
        <f t="shared" si="6"/>
        <v>112483.76</v>
      </c>
      <c r="I13" s="57"/>
      <c r="J13" s="58"/>
      <c r="K13" s="58"/>
      <c r="L13" s="58"/>
      <c r="M13" s="58" t="str">
        <f>IF('2023年'!$AZ13&gt;('2023年'!$W13+'2023年'!$V13+SUM('2023年'!I13:$T13)),'2023年'!I13,IF('2023年'!$AZ13-'2023年'!$V13-'2023年'!$W13-SUM('2023年'!J13:$T13)&gt;0,'2023年'!$AZ13-'2023年'!$V13-'2023年'!$W13-SUM('2023年'!J13:$T13),""))</f>
        <v/>
      </c>
      <c r="N13" s="58"/>
      <c r="O13" s="58"/>
      <c r="P13" s="58"/>
      <c r="Q13" s="58"/>
      <c r="R13" s="58" t="str">
        <f>IF('2023年'!$AZ13&gt;(SUM('2023年'!V13:AG13)+SUM('2023年'!N13:$T13)),'2023年'!N13,IF('2023年'!$AZ13-SUM('2023年'!V13:AG13)-SUM('2023年'!O13:$T13)&gt;0,'2023年'!$AZ13-SUM('2023年'!V13:AG13)-SUM('2023年'!O13:$T13),""))</f>
        <v/>
      </c>
      <c r="S13" s="58">
        <f>IF('2023年'!$AZ13&gt;('2023年'!P13+'2023年'!Q13+'2023年'!S13+'2023年'!T13+SUM('2023年'!V13:AG13))+'2023年'!O13+'2023年'!R13,'2023年'!O13+'2023年'!R13,IF('2023年'!$AZ13-SUM('2023年'!V13:AG13)-'2023年'!T13-'2023年'!S13-'2023年'!P13-'2023年'!Q13&gt;0,'2023年'!$AZ13-SUM('2023年'!V13:AG13)-'2023年'!T13-'2023年'!S13-'2023年'!P13-'2023年'!Q13,""))</f>
        <v>16070.1200000001</v>
      </c>
      <c r="T13" s="58">
        <f>IF('2023年'!$AZ13&gt;('2023年'!$T13+'2023年'!$Q13+SUM('2023年'!V13:$AG13))+'2023年'!S13+'2023年'!P13,'2023年'!P13+'2023年'!S13,IF('2023年'!$AZ13-SUM('2023年'!V13:$AG13)-'2023年'!T13-'2023年'!Q13&gt;0,'2023年'!$AZ13-SUM('2023年'!V13:X13)-'2023年'!T13-'2023年'!Q13,""))</f>
        <v>23909.67</v>
      </c>
      <c r="U13" s="58">
        <f>IF('2023年'!$AZ13&gt;(SUM('2023年'!V13:AG13)+'2023年'!T13+'2023年'!Q13),'2023年'!Q13+'2023年'!T13,IF('2023年'!$AZ13-SUM('2023年'!V13:AG13)&gt;0,'2023年'!$AZ13-SUM('2023年'!V13:AG13),""))</f>
        <v>23358.23</v>
      </c>
      <c r="V13" s="61">
        <f>IF('2023年'!$AZ13&gt;=SUM('2023年'!V13:$AG13),'2023年'!V13,IF('2023年'!$AZ13-SUM('2023年'!W13:$AG13)&gt;0,'2023年'!$AZ13-SUM('2023年'!W13:$AG13),0))</f>
        <v>0</v>
      </c>
      <c r="W13" s="61">
        <f>IF('2023年'!$AZ13&gt;=SUM('2023年'!W13:$AG13),'2023年'!W13,IF('2023年'!$AZ13-SUM('2023年'!X13:$AG13)&gt;0,'2023年'!$AZ13-SUM('2023年'!X13:$AG13),0))</f>
        <v>0</v>
      </c>
      <c r="X13" s="61">
        <f>IF('2023年'!$AZ13&gt;=SUM('2023年'!X13:$AG13),'2023年'!X13,IF('2023年'!$AZ13-SUM('2023年'!Y13:$AG13)&gt;0,'2023年'!$AZ13-SUM('2023年'!Y13:$AG13),0))</f>
        <v>0</v>
      </c>
      <c r="Y13" s="62">
        <f>IF('2023年'!$AZ13&gt;=SUM('2023年'!Y13:$AG13),'2023年'!Y13,IF('2023年'!$AZ13-SUM('2023年'!Z13:$AG13)&gt;0,'2023年'!$AZ13-SUM('2023年'!Z13:$AG13),0))</f>
        <v>49145.74</v>
      </c>
      <c r="Z13" s="62">
        <f>IF('2023年'!$AZ13&gt;=SUM('2023年'!Z13:$AG13),'2023年'!Z13,IF('2023年'!$AZ13-SUM('2023年'!AA13:$AG13)&gt;0,'2023年'!$AZ13-SUM('2023年'!AA13:$AG13),0))</f>
        <v>0</v>
      </c>
      <c r="AA13" s="62">
        <f>IF('2023年'!$AZ13&gt;=SUM('2023年'!AA13:$AG13),'2023年'!AA13,IF('2023年'!$AZ13-SUM('2023年'!AB13:$AG13)&gt;0,'2023年'!$AZ13-SUM('2023年'!AB13:$AG13),0))</f>
        <v>0</v>
      </c>
      <c r="AB13" s="62">
        <f>IF('2023年'!$AZ13&gt;=SUM('2023年'!AB13:$AG13),'2023年'!AB13,IF('2023年'!$AZ13-SUM('2023年'!AC13:$AG13)&gt;0,'2023年'!$AZ13-SUM('2023年'!AC13:$AG13),0))</f>
        <v>0</v>
      </c>
      <c r="AC13" s="62">
        <f>IF('2023年'!$AZ13&gt;=SUM('2023年'!AC13:$AG13),'2023年'!AC13,IF('2023年'!$AZ13-SUM('2023年'!AD13:$AG13)&gt;0,'2023年'!$AZ13-SUM('2023年'!AD13:$AG13),0))</f>
        <v>0</v>
      </c>
      <c r="AD13" s="62">
        <f>IF('2023年'!$AZ13&gt;=SUM('2023年'!AD13:$AG13),'2023年'!AD13,IF('2023年'!$AZ13-SUM('2023年'!AE13:$AG13)&gt;0,'2023年'!$AZ13-SUM('2023年'!AE13:$AG13),0))</f>
        <v>0</v>
      </c>
      <c r="AE13" s="62">
        <f>IF('2023年'!$AZ13&gt;=SUM('2023年'!AE13:$AG13),'2023年'!AE13,IF('2023年'!$AZ13-SUM('2023年'!AF13:$AG13)&gt;0,'2023年'!$AZ13-SUM('2023年'!AF13:$AG13),0))</f>
        <v>0</v>
      </c>
      <c r="AF13" s="62">
        <f>IF('2023年'!$AZ13&gt;=SUM('2023年'!AF13:$AG13),'2023年'!AF13,IF('2023年'!$AZ13-SUM('2023年'!AG13:$AG13)&gt;0,'2023年'!$AZ13-SUM('2023年'!AG13:$AG13),0))</f>
        <v>0</v>
      </c>
      <c r="AG13" s="62">
        <f>IF('2023年'!$AZ13&gt;=SUM('2023年'!AG13:$AG13),'2023年'!AG13,IF('2023年'!$AZ13-SUM('2023年'!$AG13:AH13)&gt;0,'2023年'!$AZ13-SUM('2023年'!$AG13:AH13),0))</f>
        <v>0</v>
      </c>
      <c r="AH13" s="78"/>
      <c r="AI13" s="79"/>
      <c r="AJ13" s="80"/>
      <c r="AK13" s="81" t="s">
        <v>355</v>
      </c>
      <c r="AL13" s="82"/>
      <c r="AM13" s="83"/>
      <c r="AN13" s="84">
        <v>30000</v>
      </c>
      <c r="AO13" s="84"/>
    </row>
    <row r="14" s="20" customFormat="1" ht="24" customHeight="1" spans="2:41">
      <c r="B14" s="48" t="s">
        <v>81</v>
      </c>
      <c r="C14" s="43" t="str">
        <f>'2023年'!C14</f>
        <v>L4410</v>
      </c>
      <c r="D14" s="43" t="str">
        <f>'2023年'!D14</f>
        <v>上海坤达五金制品有限公司</v>
      </c>
      <c r="E14" s="47">
        <v>60</v>
      </c>
      <c r="F14" s="45">
        <f t="shared" si="3"/>
        <v>2000</v>
      </c>
      <c r="G14" s="46">
        <f t="shared" si="4"/>
        <v>2000</v>
      </c>
      <c r="H14" s="46">
        <f t="shared" si="6"/>
        <v>2000</v>
      </c>
      <c r="I14" s="57"/>
      <c r="J14" s="58" t="str">
        <f>IF('2023年'!$AZ14&gt;('2023年'!$W14+'2023年'!$V14+SUM('2023年'!F14:$T14)),'2023年'!F14,IF('2023年'!$AZ14-'2023年'!$V14-'2023年'!$W14-SUM('2023年'!G14:$T14)&gt;0,'2023年'!$AZ14-'2023年'!$V14-'2023年'!$W14-SUM('2023年'!G14:$T14),""))</f>
        <v/>
      </c>
      <c r="K14" s="58" t="str">
        <f>IF('2023年'!$AZ14&gt;('2023年'!$W14+'2023年'!$V14+SUM('2023年'!G14:$T14)),'2023年'!G14,IF('2023年'!$AZ14-'2023年'!$V14-'2023年'!$W14-SUM('2023年'!H14:$T14)&gt;0,'2023年'!$AZ14-'2023年'!$V14-'2023年'!$W14-SUM('2023年'!H14:$T14),""))</f>
        <v/>
      </c>
      <c r="L14" s="58" t="str">
        <f>IF('2023年'!$AZ14&gt;('2023年'!$W14+'2023年'!$V14+SUM('2023年'!H14:$T14)),'2023年'!H14,IF('2023年'!$AZ14-'2023年'!$V14-'2023年'!$W14-SUM('2023年'!I14:$T14)&gt;0,'2023年'!$AZ14-'2023年'!$V14-'2023年'!$W14-SUM('2023年'!I14:$T14),""))</f>
        <v/>
      </c>
      <c r="M14" s="58" t="str">
        <f>IF('2023年'!$AZ14&gt;('2023年'!$W14+'2023年'!$V14+SUM('2023年'!I14:$T14)),'2023年'!I14,IF('2023年'!$AZ14-'2023年'!$V14-'2023年'!$W14-SUM('2023年'!J14:$T14)&gt;0,'2023年'!$AZ14-'2023年'!$V14-'2023年'!$W14-SUM('2023年'!J14:$T14),""))</f>
        <v/>
      </c>
      <c r="N14" s="58" t="str">
        <f>IF('2023年'!$AZ14&gt;('2023年'!$W14+'2023年'!$V14+SUM('2023年'!J14:$T14)),'2023年'!J14,IF('2023年'!$AZ14-'2023年'!$V14-'2023年'!$W14-SUM('2023年'!K14:$T14)&gt;0,'2023年'!$AZ14-'2023年'!$V14-'2023年'!$W14-SUM('2023年'!K14:$T14),""))</f>
        <v/>
      </c>
      <c r="O14" s="58" t="str">
        <f>IF('2023年'!$AZ14&gt;('2023年'!$W14+'2023年'!$V14+SUM('2023年'!K14:$T14)),'2023年'!K14,IF('2023年'!$AZ14-'2023年'!$V14-'2023年'!$W14-SUM('2023年'!L14:$T14)&gt;0,'2023年'!$AZ14-'2023年'!$V14-'2023年'!$W14-SUM('2023年'!L14:$T14),""))</f>
        <v/>
      </c>
      <c r="P14" s="58" t="str">
        <f>IF('2023年'!$AZ14&gt;('2023年'!$W14+'2023年'!$V14+SUM('2023年'!L14:$T14)),'2023年'!L14,IF('2023年'!$AZ14-'2023年'!$V14-'2023年'!$W14-SUM('2023年'!M14:$T14)&gt;0,'2023年'!$AZ14-'2023年'!$V14-'2023年'!$W14-SUM('2023年'!M14:$T14),""))</f>
        <v/>
      </c>
      <c r="Q14" s="58" t="str">
        <f>IF('2023年'!$AZ14&gt;(SUM('2023年'!V14:AG14)+SUM('2023年'!M14:$T14)),'2023年'!M14,IF('2023年'!$AZ14-SUM('2023年'!V14:AG14)-SUM('2023年'!N14:$T14)&gt;0,'2023年'!$AZ14-SUM('2023年'!V14:AG14)-SUM('2023年'!N14:$T14),""))</f>
        <v/>
      </c>
      <c r="R14" s="58" t="str">
        <f>IF('2023年'!$AZ14&gt;(SUM('2023年'!V14:AG14)+SUM('2023年'!N14:$T14)),'2023年'!N14,IF('2023年'!$AZ14-SUM('2023年'!V14:AG14)-SUM('2023年'!O14:$T14)&gt;0,'2023年'!$AZ14-SUM('2023年'!V14:AG14)-SUM('2023年'!O14:$T14),""))</f>
        <v/>
      </c>
      <c r="S14" s="58" t="str">
        <f>IF('2023年'!$AZ14&gt;('2023年'!P14+'2023年'!Q14+'2023年'!S14+'2023年'!T14+SUM('2023年'!V14:AG14))+'2023年'!O14+'2023年'!R14,'2023年'!O14+'2023年'!R14,IF('2023年'!$AZ14-SUM('2023年'!V14:AG14)-'2023年'!T14-'2023年'!S14-'2023年'!P14-'2023年'!Q14&gt;0,'2023年'!$AZ14-SUM('2023年'!V14:AG14)-'2023年'!T14-'2023年'!S14-'2023年'!P14-'2023年'!Q14,""))</f>
        <v/>
      </c>
      <c r="T14" s="58">
        <f>IF('2023年'!$AZ14&gt;('2023年'!$T14+'2023年'!$Q14+SUM('2023年'!V14:$AG14))+'2023年'!S14+'2023年'!P14,'2023年'!P14+'2023年'!S14,IF('2023年'!$AZ14-SUM('2023年'!V14:$AG14)-'2023年'!T14-'2023年'!Q14&gt;0,'2023年'!$AZ14-SUM('2023年'!V14:X14)-'2023年'!T14-'2023年'!Q14,""))</f>
        <v>2000</v>
      </c>
      <c r="U14" s="58">
        <f>IF('2023年'!$AZ14&gt;(SUM('2023年'!V14:AG14)+'2023年'!T14+'2023年'!Q14),'2023年'!Q14+'2023年'!T14,IF('2023年'!$AZ14-SUM('2023年'!V14:AG14)&gt;0,'2023年'!$AZ14-SUM('2023年'!V14:AG14),""))</f>
        <v>0</v>
      </c>
      <c r="V14" s="61">
        <f>IF('2023年'!$AZ14&gt;=SUM('2023年'!V14:$AG14),'2023年'!V14,IF('2023年'!$AZ14-SUM('2023年'!W14:$AG14)&gt;0,'2023年'!$AZ14-SUM('2023年'!W14:$AG14),0))</f>
        <v>0</v>
      </c>
      <c r="W14" s="61">
        <f>IF('2023年'!$AZ14&gt;=SUM('2023年'!W14:$AG14),'2023年'!W14,IF('2023年'!$AZ14-SUM('2023年'!X14:$AG14)&gt;0,'2023年'!$AZ14-SUM('2023年'!X14:$AG14),0))</f>
        <v>0</v>
      </c>
      <c r="X14" s="61">
        <f>IF('2023年'!$AZ14&gt;=SUM('2023年'!X14:$AG14),'2023年'!X14,IF('2023年'!$AZ14-SUM('2023年'!Y14:$AG14)&gt;0,'2023年'!$AZ14-SUM('2023年'!Y14:$AG14),0))</f>
        <v>0</v>
      </c>
      <c r="Y14" s="62">
        <f>IF('2023年'!$AZ14&gt;=SUM('2023年'!Y14:$AG14),'2023年'!Y14,IF('2023年'!$AZ14-SUM('2023年'!Z14:$AG14)&gt;0,'2023年'!$AZ14-SUM('2023年'!Z14:$AG14),0))</f>
        <v>0</v>
      </c>
      <c r="Z14" s="62">
        <f>IF('2023年'!$AZ14&gt;=SUM('2023年'!Z14:$AG14),'2023年'!Z14,IF('2023年'!$AZ14-SUM('2023年'!AA14:$AG14)&gt;0,'2023年'!$AZ14-SUM('2023年'!AA14:$AG14),0))</f>
        <v>0</v>
      </c>
      <c r="AA14" s="62">
        <f>IF('2023年'!$AZ14&gt;=SUM('2023年'!AA14:$AG14),'2023年'!AA14,IF('2023年'!$AZ14-SUM('2023年'!AB14:$AG14)&gt;0,'2023年'!$AZ14-SUM('2023年'!AB14:$AG14),0))</f>
        <v>0</v>
      </c>
      <c r="AB14" s="62">
        <f>IF('2023年'!$AZ14&gt;=SUM('2023年'!AB14:$AG14),'2023年'!AB14,IF('2023年'!$AZ14-SUM('2023年'!AC14:$AG14)&gt;0,'2023年'!$AZ14-SUM('2023年'!AC14:$AG14),0))</f>
        <v>0</v>
      </c>
      <c r="AC14" s="62">
        <f>IF('2023年'!$AZ14&gt;=SUM('2023年'!AC14:$AG14),'2023年'!AC14,IF('2023年'!$AZ14-SUM('2023年'!AD14:$AG14)&gt;0,'2023年'!$AZ14-SUM('2023年'!AD14:$AG14),0))</f>
        <v>0</v>
      </c>
      <c r="AD14" s="62">
        <f>IF('2023年'!$AZ14&gt;=SUM('2023年'!AD14:$AG14),'2023年'!AD14,IF('2023年'!$AZ14-SUM('2023年'!AE14:$AG14)&gt;0,'2023年'!$AZ14-SUM('2023年'!AE14:$AG14),0))</f>
        <v>0</v>
      </c>
      <c r="AE14" s="62">
        <f>IF('2023年'!$AZ14&gt;=SUM('2023年'!AE14:$AG14),'2023年'!AE14,IF('2023年'!$AZ14-SUM('2023年'!AF14:$AG14)&gt;0,'2023年'!$AZ14-SUM('2023年'!AF14:$AG14),0))</f>
        <v>0</v>
      </c>
      <c r="AF14" s="62">
        <f>IF('2023年'!$AZ14&gt;=SUM('2023年'!AF14:$AG14),'2023年'!AF14,IF('2023年'!$AZ14-SUM('2023年'!AG14:$AG14)&gt;0,'2023年'!$AZ14-SUM('2023年'!AG14:$AG14),0))</f>
        <v>0</v>
      </c>
      <c r="AG14" s="62">
        <f>IF('2023年'!$AZ14&gt;=SUM('2023年'!AG14:$AG14),'2023年'!AG14,IF('2023年'!$AZ14-SUM('2023年'!$AG14:AH14)&gt;0,'2023年'!$AZ14-SUM('2023年'!$AG14:AH14),0))</f>
        <v>0</v>
      </c>
      <c r="AH14" s="78"/>
      <c r="AI14" s="79"/>
      <c r="AJ14" s="80"/>
      <c r="AK14" s="81" t="s">
        <v>356</v>
      </c>
      <c r="AL14" s="82"/>
      <c r="AM14" s="83"/>
      <c r="AN14" s="84"/>
      <c r="AO14" s="84">
        <v>2000</v>
      </c>
    </row>
    <row r="15" s="20" customFormat="1" ht="24" hidden="1" customHeight="1" spans="2:41">
      <c r="B15" s="49" t="s">
        <v>81</v>
      </c>
      <c r="C15" s="50" t="str">
        <f>'2023年'!C15</f>
        <v>1932031</v>
      </c>
      <c r="D15" s="50" t="str">
        <f>'2023年'!D15</f>
        <v>江苏海德莱特汽车部件有限公司</v>
      </c>
      <c r="E15" s="47">
        <v>30</v>
      </c>
      <c r="F15" s="45">
        <f t="shared" ref="F15:F17" si="7">SUM(I15:Z15)</f>
        <v>79072.23</v>
      </c>
      <c r="G15" s="46">
        <f t="shared" ref="G15:G17" si="8">SUM(I15:X15)</f>
        <v>0</v>
      </c>
      <c r="H15" s="46">
        <f t="shared" si="6"/>
        <v>79072.23</v>
      </c>
      <c r="I15" s="57"/>
      <c r="J15" s="58" t="str">
        <f>IF('2023年'!$AZ15&gt;('2023年'!$W15+'2023年'!$V15+SUM('2023年'!F15:$T15)),'2023年'!F15,IF('2023年'!$AZ15-'2023年'!$V15-'2023年'!$W15-SUM('2023年'!G15:$T15)&gt;0,'2023年'!$AZ15-'2023年'!$V15-'2023年'!$W15-SUM('2023年'!G15:$T15),""))</f>
        <v/>
      </c>
      <c r="K15" s="58" t="str">
        <f>IF('2023年'!$AZ15&gt;('2023年'!$W15+'2023年'!$V15+SUM('2023年'!G15:$T15)),'2023年'!G15,IF('2023年'!$AZ15-'2023年'!$V15-'2023年'!$W15-SUM('2023年'!H15:$T15)&gt;0,'2023年'!$AZ15-'2023年'!$V15-'2023年'!$W15-SUM('2023年'!H15:$T15),""))</f>
        <v/>
      </c>
      <c r="L15" s="58" t="str">
        <f>IF('2023年'!$AZ15&gt;('2023年'!$W15+'2023年'!$V15+SUM('2023年'!H15:$T15)),'2023年'!H15,IF('2023年'!$AZ15-'2023年'!$V15-'2023年'!$W15-SUM('2023年'!I15:$T15)&gt;0,'2023年'!$AZ15-'2023年'!$V15-'2023年'!$W15-SUM('2023年'!I15:$T15),""))</f>
        <v/>
      </c>
      <c r="M15" s="58" t="str">
        <f>IF('2023年'!$AZ15&gt;('2023年'!$W15+'2023年'!$V15+SUM('2023年'!I15:$T15)),'2023年'!I15,IF('2023年'!$AZ15-'2023年'!$V15-'2023年'!$W15-SUM('2023年'!J15:$T15)&gt;0,'2023年'!$AZ15-'2023年'!$V15-'2023年'!$W15-SUM('2023年'!J15:$T15),""))</f>
        <v/>
      </c>
      <c r="N15" s="58" t="str">
        <f>IF('2023年'!$AZ15&gt;('2023年'!$W15+'2023年'!$V15+SUM('2023年'!J15:$T15)),'2023年'!J15,IF('2023年'!$AZ15-'2023年'!$V15-'2023年'!$W15-SUM('2023年'!K15:$T15)&gt;0,'2023年'!$AZ15-'2023年'!$V15-'2023年'!$W15-SUM('2023年'!K15:$T15),""))</f>
        <v/>
      </c>
      <c r="O15" s="58" t="str">
        <f>IF('2023年'!$AZ15&gt;('2023年'!$W15+'2023年'!$V15+SUM('2023年'!K15:$T15)),'2023年'!K15,IF('2023年'!$AZ15-'2023年'!$V15-'2023年'!$W15-SUM('2023年'!L15:$T15)&gt;0,'2023年'!$AZ15-'2023年'!$V15-'2023年'!$W15-SUM('2023年'!L15:$T15),""))</f>
        <v/>
      </c>
      <c r="P15" s="58" t="str">
        <f>IF('2023年'!$AZ15&gt;('2023年'!$W15+'2023年'!$V15+SUM('2023年'!L15:$T15)),'2023年'!L15,IF('2023年'!$AZ15-'2023年'!$V15-'2023年'!$W15-SUM('2023年'!M15:$T15)&gt;0,'2023年'!$AZ15-'2023年'!$V15-'2023年'!$W15-SUM('2023年'!M15:$T15),""))</f>
        <v/>
      </c>
      <c r="Q15" s="58" t="str">
        <f>IF('2023年'!$AZ15&gt;(SUM('2023年'!V15:AG15)+SUM('2023年'!M15:$T15)),'2023年'!M15,IF('2023年'!$AZ15-SUM('2023年'!V15:AG15)-SUM('2023年'!N15:$T15)&gt;0,'2023年'!$AZ15-SUM('2023年'!V15:AG15)-SUM('2023年'!N15:$T15),""))</f>
        <v/>
      </c>
      <c r="R15" s="58" t="str">
        <f>IF('2023年'!$AZ15&gt;(SUM('2023年'!V15:AG15)+SUM('2023年'!N15:$T15)),'2023年'!N15,IF('2023年'!$AZ15-SUM('2023年'!V15:AG15)-SUM('2023年'!O15:$T15)&gt;0,'2023年'!$AZ15-SUM('2023年'!V15:AG15)-SUM('2023年'!O15:$T15),""))</f>
        <v/>
      </c>
      <c r="S15" s="58" t="str">
        <f>IF('2023年'!$AZ15&gt;('2023年'!P15+'2023年'!Q15+'2023年'!S15+'2023年'!T15+SUM('2023年'!V15:AG15))+'2023年'!O15+'2023年'!R15,'2023年'!O15+'2023年'!R15,IF('2023年'!$AZ15-SUM('2023年'!V15:AG15)-'2023年'!T15-'2023年'!S15-'2023年'!P15-'2023年'!Q15&gt;0,'2023年'!$AZ15-SUM('2023年'!V15:AG15)-'2023年'!T15-'2023年'!S15-'2023年'!P15-'2023年'!Q15,""))</f>
        <v/>
      </c>
      <c r="T15" s="58" t="str">
        <f>IF('2023年'!$AZ15&gt;('2023年'!$T15+'2023年'!$Q15+SUM('2023年'!V15:$AG15))+'2023年'!S15+'2023年'!P15,'2023年'!P15+'2023年'!S15,IF('2023年'!$AZ15-SUM('2023年'!V15:$AG15)-'2023年'!T15-'2023年'!Q15&gt;0,'2023年'!$AZ15-SUM('2023年'!V15:X15)-'2023年'!T15-'2023年'!Q15,""))</f>
        <v/>
      </c>
      <c r="U15" s="58" t="str">
        <f>IF('2023年'!$AZ15&gt;(SUM('2023年'!V15:AG15)+'2023年'!T15+'2023年'!Q15),'2023年'!Q15+'2023年'!T15,IF('2023年'!$AZ15-SUM('2023年'!V15:AG15)&gt;0,'2023年'!$AZ15-SUM('2023年'!V15:AG15),""))</f>
        <v/>
      </c>
      <c r="V15" s="61">
        <f>IF('2023年'!$AZ15&gt;=SUM('2023年'!V15:$AG15),'2023年'!V15,IF('2023年'!$AZ15-SUM('2023年'!W15:$AG15)&gt;0,'2023年'!$AZ15-SUM('2023年'!W15:$AG15),0))</f>
        <v>0</v>
      </c>
      <c r="W15" s="61">
        <f>IF('2023年'!$AZ15&gt;=SUM('2023年'!W15:$AG15),'2023年'!W15,IF('2023年'!$AZ15-SUM('2023年'!X15:$AG15)&gt;0,'2023年'!$AZ15-SUM('2023年'!X15:$AG15),0))</f>
        <v>0</v>
      </c>
      <c r="X15" s="61">
        <f>IF('2023年'!$AZ15&gt;=SUM('2023年'!X15:$AG15),'2023年'!X15,IF('2023年'!$AZ15-SUM('2023年'!Y15:$AG15)&gt;0,'2023年'!$AZ15-SUM('2023年'!Y15:$AG15),0))</f>
        <v>0</v>
      </c>
      <c r="Y15" s="62">
        <f>IF('2023年'!$AZ15&gt;=SUM('2023年'!Y15:$AG15),'2023年'!Y15,IF('2023年'!$AZ15-SUM('2023年'!Z15:$AG15)&gt;0,'2023年'!$AZ15-SUM('2023年'!Z15:$AG15),0))</f>
        <v>0.0899999999819556</v>
      </c>
      <c r="Z15" s="62">
        <f>IF('2023年'!$AZ15&gt;=SUM('2023年'!Z15:$AG15),'2023年'!Z15,IF('2023年'!$AZ15-SUM('2023年'!AA15:$AG15)&gt;0,'2023年'!$AZ15-SUM('2023年'!AA15:$AG15),0))</f>
        <v>79072.14</v>
      </c>
      <c r="AA15" s="62">
        <f>IF('2023年'!$AZ15&gt;=SUM('2023年'!AA15:$AG15),'2023年'!AA15,IF('2023年'!$AZ15-SUM('2023年'!AB15:$AG15)&gt;0,'2023年'!$AZ15-SUM('2023年'!AB15:$AG15),0))</f>
        <v>0</v>
      </c>
      <c r="AB15" s="62">
        <f>IF('2023年'!$AZ15&gt;=SUM('2023年'!AB15:$AG15),'2023年'!AB15,IF('2023年'!$AZ15-SUM('2023年'!AC15:$AG15)&gt;0,'2023年'!$AZ15-SUM('2023年'!AC15:$AG15),0))</f>
        <v>0</v>
      </c>
      <c r="AC15" s="62">
        <f>IF('2023年'!$AZ15&gt;=SUM('2023年'!AC15:$AG15),'2023年'!AC15,IF('2023年'!$AZ15-SUM('2023年'!AD15:$AG15)&gt;0,'2023年'!$AZ15-SUM('2023年'!AD15:$AG15),0))</f>
        <v>0</v>
      </c>
      <c r="AD15" s="62">
        <f>IF('2023年'!$AZ15&gt;=SUM('2023年'!AD15:$AG15),'2023年'!AD15,IF('2023年'!$AZ15-SUM('2023年'!AE15:$AG15)&gt;0,'2023年'!$AZ15-SUM('2023年'!AE15:$AG15),0))</f>
        <v>0</v>
      </c>
      <c r="AE15" s="62">
        <f>IF('2023年'!$AZ15&gt;=SUM('2023年'!AE15:$AG15),'2023年'!AE15,IF('2023年'!$AZ15-SUM('2023年'!AF15:$AG15)&gt;0,'2023年'!$AZ15-SUM('2023年'!AF15:$AG15),0))</f>
        <v>0</v>
      </c>
      <c r="AF15" s="62">
        <f>IF('2023年'!$AZ15&gt;=SUM('2023年'!AF15:$AG15),'2023年'!AF15,IF('2023年'!$AZ15-SUM('2023年'!AG15:$AG15)&gt;0,'2023年'!$AZ15-SUM('2023年'!AG15:$AG15),0))</f>
        <v>0</v>
      </c>
      <c r="AG15" s="62">
        <f>IF('2023年'!$AZ15&gt;=SUM('2023年'!AG15:$AG15),'2023年'!AG15,IF('2023年'!$AZ15-SUM('2023年'!$AG15:AH15)&gt;0,'2023年'!$AZ15-SUM('2023年'!$AG15:AH15),0))</f>
        <v>0</v>
      </c>
      <c r="AH15" s="78"/>
      <c r="AI15" s="79"/>
      <c r="AJ15" s="80"/>
      <c r="AK15" s="81" t="s">
        <v>357</v>
      </c>
      <c r="AL15" s="82" t="s">
        <v>358</v>
      </c>
      <c r="AM15" s="83"/>
      <c r="AN15" s="84"/>
      <c r="AO15" s="84"/>
    </row>
    <row r="16" s="20" customFormat="1" ht="24" hidden="1" customHeight="1" spans="2:41">
      <c r="B16" s="49" t="s">
        <v>81</v>
      </c>
      <c r="C16" s="50" t="str">
        <f>'2023年'!C16</f>
        <v>L5273</v>
      </c>
      <c r="D16" s="50" t="str">
        <f>'2023年'!D16</f>
        <v>江苏日盈电子股份有限公司</v>
      </c>
      <c r="E16" s="47">
        <v>30</v>
      </c>
      <c r="F16" s="45">
        <f t="shared" si="7"/>
        <v>66236.89</v>
      </c>
      <c r="G16" s="46">
        <f t="shared" si="8"/>
        <v>0</v>
      </c>
      <c r="H16" s="46">
        <f t="shared" si="6"/>
        <v>66236.89</v>
      </c>
      <c r="I16" s="57"/>
      <c r="J16" s="58" t="str">
        <f>IF('2023年'!$AZ16&gt;('2023年'!$W16+'2023年'!$V16+SUM('2023年'!F16:$T16)),'2023年'!F16,IF('2023年'!$AZ16-'2023年'!$V16-'2023年'!$W16-SUM('2023年'!G16:$T16)&gt;0,'2023年'!$AZ16-'2023年'!$V16-'2023年'!$W16-SUM('2023年'!G16:$T16),""))</f>
        <v/>
      </c>
      <c r="K16" s="58" t="str">
        <f>IF('2023年'!$AZ16&gt;('2023年'!$W16+'2023年'!$V16+SUM('2023年'!G16:$T16)),'2023年'!G16,IF('2023年'!$AZ16-'2023年'!$V16-'2023年'!$W16-SUM('2023年'!H16:$T16)&gt;0,'2023年'!$AZ16-'2023年'!$V16-'2023年'!$W16-SUM('2023年'!H16:$T16),""))</f>
        <v/>
      </c>
      <c r="L16" s="58" t="str">
        <f>IF('2023年'!$AZ16&gt;('2023年'!$W16+'2023年'!$V16+SUM('2023年'!H16:$T16)),'2023年'!H16,IF('2023年'!$AZ16-'2023年'!$V16-'2023年'!$W16-SUM('2023年'!I16:$T16)&gt;0,'2023年'!$AZ16-'2023年'!$V16-'2023年'!$W16-SUM('2023年'!I16:$T16),""))</f>
        <v/>
      </c>
      <c r="M16" s="58" t="str">
        <f>IF('2023年'!$AZ16&gt;('2023年'!$W16+'2023年'!$V16+SUM('2023年'!I16:$T16)),'2023年'!I16,IF('2023年'!$AZ16-'2023年'!$V16-'2023年'!$W16-SUM('2023年'!J16:$T16)&gt;0,'2023年'!$AZ16-'2023年'!$V16-'2023年'!$W16-SUM('2023年'!J16:$T16),""))</f>
        <v/>
      </c>
      <c r="N16" s="58" t="str">
        <f>IF('2023年'!$AZ16&gt;('2023年'!$W16+'2023年'!$V16+SUM('2023年'!J16:$T16)),'2023年'!J16,IF('2023年'!$AZ16-'2023年'!$V16-'2023年'!$W16-SUM('2023年'!K16:$T16)&gt;0,'2023年'!$AZ16-'2023年'!$V16-'2023年'!$W16-SUM('2023年'!K16:$T16),""))</f>
        <v/>
      </c>
      <c r="O16" s="58" t="str">
        <f>IF('2023年'!$AZ16&gt;('2023年'!$W16+'2023年'!$V16+SUM('2023年'!K16:$T16)),'2023年'!K16,IF('2023年'!$AZ16-'2023年'!$V16-'2023年'!$W16-SUM('2023年'!L16:$T16)&gt;0,'2023年'!$AZ16-'2023年'!$V16-'2023年'!$W16-SUM('2023年'!L16:$T16),""))</f>
        <v/>
      </c>
      <c r="P16" s="58" t="str">
        <f>IF('2023年'!$AZ16&gt;('2023年'!$W16+'2023年'!$V16+SUM('2023年'!L16:$T16)),'2023年'!L16,IF('2023年'!$AZ16-'2023年'!$V16-'2023年'!$W16-SUM('2023年'!M16:$T16)&gt;0,'2023年'!$AZ16-'2023年'!$V16-'2023年'!$W16-SUM('2023年'!M16:$T16),""))</f>
        <v/>
      </c>
      <c r="Q16" s="58" t="str">
        <f>IF('2023年'!$AZ16&gt;(SUM('2023年'!V16:AG16)+SUM('2023年'!M16:$T16)),'2023年'!M16,IF('2023年'!$AZ16-SUM('2023年'!V16:AG16)-SUM('2023年'!N16:$T16)&gt;0,'2023年'!$AZ16-SUM('2023年'!V16:AG16)-SUM('2023年'!N16:$T16),""))</f>
        <v/>
      </c>
      <c r="R16" s="58" t="str">
        <f>IF('2023年'!$AZ16&gt;(SUM('2023年'!V16:AG16)+SUM('2023年'!N16:$T16)),'2023年'!N16,IF('2023年'!$AZ16-SUM('2023年'!V16:AG16)-SUM('2023年'!O16:$T16)&gt;0,'2023年'!$AZ16-SUM('2023年'!V16:AG16)-SUM('2023年'!O16:$T16),""))</f>
        <v/>
      </c>
      <c r="S16" s="58" t="str">
        <f>IF('2023年'!$AZ16&gt;('2023年'!P16+'2023年'!Q16+'2023年'!S16+'2023年'!T16+SUM('2023年'!V16:AG16))+'2023年'!O16+'2023年'!R16,'2023年'!O16+'2023年'!R16,IF('2023年'!$AZ16-SUM('2023年'!V16:AG16)-'2023年'!T16-'2023年'!S16-'2023年'!P16-'2023年'!Q16&gt;0,'2023年'!$AZ16-SUM('2023年'!V16:AG16)-'2023年'!T16-'2023年'!S16-'2023年'!P16-'2023年'!Q16,""))</f>
        <v/>
      </c>
      <c r="T16" s="58" t="str">
        <f>IF('2023年'!$AZ16&gt;('2023年'!$T16+'2023年'!$Q16+SUM('2023年'!V16:$AG16))+'2023年'!S16+'2023年'!P16,'2023年'!P16+'2023年'!S16,IF('2023年'!$AZ16-SUM('2023年'!V16:$AG16)-'2023年'!T16-'2023年'!Q16&gt;0,'2023年'!$AZ16-SUM('2023年'!V16:X16)-'2023年'!T16-'2023年'!Q16,""))</f>
        <v/>
      </c>
      <c r="U16" s="58" t="str">
        <f>IF('2023年'!$AZ16&gt;(SUM('2023年'!V16:AG16)+'2023年'!T16+'2023年'!Q16),'2023年'!Q16+'2023年'!T16,IF('2023年'!$AZ16-SUM('2023年'!V16:AG16)&gt;0,'2023年'!$AZ16-SUM('2023年'!V16:AG16),""))</f>
        <v/>
      </c>
      <c r="V16" s="61">
        <f>IF('2023年'!$AZ16&gt;=SUM('2023年'!V16:$AG16),'2023年'!V16,IF('2023年'!$AZ16-SUM('2023年'!W16:$AG16)&gt;0,'2023年'!$AZ16-SUM('2023年'!W16:$AG16),0))</f>
        <v>0</v>
      </c>
      <c r="W16" s="61">
        <f>IF('2023年'!$AZ16&gt;=SUM('2023年'!W16:$AG16),'2023年'!W16,IF('2023年'!$AZ16-SUM('2023年'!X16:$AG16)&gt;0,'2023年'!$AZ16-SUM('2023年'!X16:$AG16),0))</f>
        <v>0</v>
      </c>
      <c r="X16" s="61">
        <f>IF('2023年'!$AZ16&gt;=SUM('2023年'!X16:$AG16),'2023年'!X16,IF('2023年'!$AZ16-SUM('2023年'!Y16:$AG16)&gt;0,'2023年'!$AZ16-SUM('2023年'!Y16:$AG16),0))</f>
        <v>0</v>
      </c>
      <c r="Y16" s="62">
        <f>IF('2023年'!$AZ16&gt;=SUM('2023年'!Y16:$AG16),'2023年'!Y16,IF('2023年'!$AZ16-SUM('2023年'!Z16:$AG16)&gt;0,'2023年'!$AZ16-SUM('2023年'!Z16:$AG16),0))</f>
        <v>0</v>
      </c>
      <c r="Z16" s="62">
        <f>IF('2023年'!$AZ16&gt;=SUM('2023年'!Z16:$AG16),'2023年'!Z16,IF('2023年'!$AZ16-SUM('2023年'!AA16:$AG16)&gt;0,'2023年'!$AZ16-SUM('2023年'!AA16:$AG16),0))</f>
        <v>66236.89</v>
      </c>
      <c r="AA16" s="62">
        <f>IF('2023年'!$AZ16&gt;=SUM('2023年'!AA16:$AG16),'2023年'!AA16,IF('2023年'!$AZ16-SUM('2023年'!AB16:$AG16)&gt;0,'2023年'!$AZ16-SUM('2023年'!AB16:$AG16),0))</f>
        <v>0</v>
      </c>
      <c r="AB16" s="62">
        <f>IF('2023年'!$AZ16&gt;=SUM('2023年'!AB16:$AG16),'2023年'!AB16,IF('2023年'!$AZ16-SUM('2023年'!AC16:$AG16)&gt;0,'2023年'!$AZ16-SUM('2023年'!AC16:$AG16),0))</f>
        <v>0</v>
      </c>
      <c r="AC16" s="62">
        <f>IF('2023年'!$AZ16&gt;=SUM('2023年'!AC16:$AG16),'2023年'!AC16,IF('2023年'!$AZ16-SUM('2023年'!AD16:$AG16)&gt;0,'2023年'!$AZ16-SUM('2023年'!AD16:$AG16),0))</f>
        <v>0</v>
      </c>
      <c r="AD16" s="62">
        <f>IF('2023年'!$AZ16&gt;=SUM('2023年'!AD16:$AG16),'2023年'!AD16,IF('2023年'!$AZ16-SUM('2023年'!AE16:$AG16)&gt;0,'2023年'!$AZ16-SUM('2023年'!AE16:$AG16),0))</f>
        <v>0</v>
      </c>
      <c r="AE16" s="62">
        <f>IF('2023年'!$AZ16&gt;=SUM('2023年'!AE16:$AG16),'2023年'!AE16,IF('2023年'!$AZ16-SUM('2023年'!AF16:$AG16)&gt;0,'2023年'!$AZ16-SUM('2023年'!AF16:$AG16),0))</f>
        <v>0</v>
      </c>
      <c r="AF16" s="62">
        <f>IF('2023年'!$AZ16&gt;=SUM('2023年'!AF16:$AG16),'2023年'!AF16,IF('2023年'!$AZ16-SUM('2023年'!AG16:$AG16)&gt;0,'2023年'!$AZ16-SUM('2023年'!AG16:$AG16),0))</f>
        <v>0</v>
      </c>
      <c r="AG16" s="62">
        <f>IF('2023年'!$AZ16&gt;=SUM('2023年'!AG16:$AG16),'2023年'!AG16,IF('2023年'!$AZ16-SUM('2023年'!$AG16:AH16)&gt;0,'2023年'!$AZ16-SUM('2023年'!$AG16:AH16),0))</f>
        <v>0</v>
      </c>
      <c r="AH16" s="78"/>
      <c r="AI16" s="79"/>
      <c r="AJ16" s="80"/>
      <c r="AK16" s="81" t="s">
        <v>359</v>
      </c>
      <c r="AL16" s="82" t="s">
        <v>358</v>
      </c>
      <c r="AM16" s="83"/>
      <c r="AN16" s="84"/>
      <c r="AO16" s="84"/>
    </row>
    <row r="17" s="20" customFormat="1" ht="24" hidden="1" customHeight="1" spans="2:41">
      <c r="B17" s="49" t="s">
        <v>81</v>
      </c>
      <c r="C17" s="50" t="str">
        <f>'2023年'!C17</f>
        <v>L4437</v>
      </c>
      <c r="D17" s="50" t="str">
        <f>'2023年'!D17</f>
        <v>法雷奥汽车内部控制（深圳）有</v>
      </c>
      <c r="E17" s="47">
        <v>30</v>
      </c>
      <c r="F17" s="45">
        <f t="shared" si="7"/>
        <v>0</v>
      </c>
      <c r="G17" s="46">
        <f t="shared" si="8"/>
        <v>0</v>
      </c>
      <c r="H17" s="46">
        <f t="shared" si="6"/>
        <v>0</v>
      </c>
      <c r="I17" s="57"/>
      <c r="J17" s="58" t="str">
        <f>IF('2023年'!$AZ17&gt;('2023年'!$W17+'2023年'!$V17+SUM('2023年'!F17:$T17)),'2023年'!F17,IF('2023年'!$AZ17-'2023年'!$V17-'2023年'!$W17-SUM('2023年'!G17:$T17)&gt;0,'2023年'!$AZ17-'2023年'!$V17-'2023年'!$W17-SUM('2023年'!G17:$T17),""))</f>
        <v/>
      </c>
      <c r="K17" s="58" t="str">
        <f>IF('2023年'!$AZ17&gt;('2023年'!$W17+'2023年'!$V17+SUM('2023年'!G17:$T17)),'2023年'!G17,IF('2023年'!$AZ17-'2023年'!$V17-'2023年'!$W17-SUM('2023年'!H17:$T17)&gt;0,'2023年'!$AZ17-'2023年'!$V17-'2023年'!$W17-SUM('2023年'!H17:$T17),""))</f>
        <v/>
      </c>
      <c r="L17" s="58" t="str">
        <f>IF('2023年'!$AZ17&gt;('2023年'!$W17+'2023年'!$V17+SUM('2023年'!H17:$T17)),'2023年'!H17,IF('2023年'!$AZ17-'2023年'!$V17-'2023年'!$W17-SUM('2023年'!I17:$T17)&gt;0,'2023年'!$AZ17-'2023年'!$V17-'2023年'!$W17-SUM('2023年'!I17:$T17),""))</f>
        <v/>
      </c>
      <c r="M17" s="58"/>
      <c r="N17" s="58"/>
      <c r="O17" s="58">
        <f>IF('2023年'!$AZ17&gt;(SUM('2023年'!$V17:AG17)+SUM('2023年'!K17:$T17)),'2023年'!K17,IF('2023年'!$AZ17-SUM('2023年'!$V17:AG17)-SUM('2023年'!L17:$T17)&gt;0,'2023年'!$AZ17-SUM('2023年'!$V17:AG17)-SUM('2023年'!L17:$T17),""))</f>
        <v>0</v>
      </c>
      <c r="P17" s="58">
        <f>IF('2023年'!$AZ17&gt;(SUM(V17:AG17)+SUM('2023年'!L17:$T17)),'2023年'!L17,IF('2023年'!$AZ17-SUM(V17:AG17)-SUM('2023年'!M17:$T17)&gt;0,'2023年'!$AZ17-SUM(V17:AG17)-SUM('2023年'!M17:$T17),""))</f>
        <v>0</v>
      </c>
      <c r="Q17" s="58">
        <f>IF('2023年'!$AZ17&gt;(SUM('2023年'!V17:AG17)+SUM('2023年'!M17:$T17)),'2023年'!M17,IF('2023年'!$AZ17-SUM('2023年'!V17:AG17)-SUM('2023年'!N17:$T17)&gt;0,'2023年'!$AZ17-SUM('2023年'!V17:AG17)-SUM('2023年'!N17:$T17),""))</f>
        <v>0</v>
      </c>
      <c r="R17" s="58">
        <f>IF('2023年'!$AZ17&gt;(SUM('2023年'!V17:AG17)+SUM('2023年'!N17:$T17)),'2023年'!N17,IF('2023年'!$AZ17-SUM('2023年'!V17:AG17)-SUM('2023年'!O17:$T17)&gt;0,'2023年'!$AZ17-SUM('2023年'!V17:AG17)-SUM('2023年'!O17:$T17),""))</f>
        <v>0</v>
      </c>
      <c r="S17" s="58">
        <f>IF('2023年'!$AZ17&gt;('2023年'!P17+'2023年'!Q17+'2023年'!S17+'2023年'!T17+SUM('2023年'!V17:AG17))+'2023年'!O17+'2023年'!R17,'2023年'!O17+'2023年'!R17,IF('2023年'!$AZ17-SUM('2023年'!V17:AG17)-'2023年'!T17-'2023年'!S17-'2023年'!P17-'2023年'!Q17&gt;0,'2023年'!$AZ17-SUM('2023年'!V17:AG17)-'2023年'!T17-'2023年'!S17-'2023年'!P17-'2023年'!Q17,""))</f>
        <v>0</v>
      </c>
      <c r="T17" s="58">
        <f>IF('2023年'!$AZ17&gt;('2023年'!$T17+'2023年'!$Q17+SUM('2023年'!V17:$AG17))+'2023年'!S17+'2023年'!P17,'2023年'!P17+'2023年'!S17,IF('2023年'!$AZ17-SUM('2023年'!V17:$AG17)-'2023年'!T17-'2023年'!Q17&gt;0,'2023年'!$AZ17-SUM('2023年'!V17:X17)-'2023年'!T17-'2023年'!Q17,""))</f>
        <v>0</v>
      </c>
      <c r="U17" s="58"/>
      <c r="V17" s="61">
        <f>IF('2023年'!$AZ17&gt;=SUM('2023年'!V17:$AG17),'2023年'!V17,IF('2023年'!$AZ17-SUM('2023年'!W17:$AG17)&gt;0,'2023年'!$AZ17-SUM('2023年'!W17:$AG17),0))</f>
        <v>0</v>
      </c>
      <c r="W17" s="61">
        <f>IF('2023年'!$AZ17&gt;=SUM('2023年'!W17:$AG17),'2023年'!W17,IF('2023年'!$AZ17-SUM('2023年'!X17:$AG17)&gt;0,'2023年'!$AZ17-SUM('2023年'!X17:$AG17),0))</f>
        <v>0</v>
      </c>
      <c r="X17" s="61">
        <f>IF('2023年'!$AZ17&gt;=SUM('2023年'!X17:$AG17),'2023年'!X17,IF('2023年'!$AZ17-SUM('2023年'!Y17:$AG17)&gt;0,'2023年'!$AZ17-SUM('2023年'!Y17:$AG17),0))</f>
        <v>0</v>
      </c>
      <c r="Y17" s="62">
        <f>IF('2023年'!$AZ17&gt;=SUM('2023年'!Y17:$AG17),'2023年'!Y17,IF('2023年'!$AZ17-SUM('2023年'!Z17:$AG17)&gt;0,'2023年'!$AZ17-SUM('2023年'!Z17:$AG17),0))</f>
        <v>0</v>
      </c>
      <c r="Z17" s="62">
        <f>IF('2023年'!$AZ17&gt;=SUM('2023年'!Z17:$AG17),'2023年'!Z17,IF('2023年'!$AZ17-SUM('2023年'!AA17:$AG17)&gt;0,'2023年'!$AZ17-SUM('2023年'!AA17:$AG17),0))</f>
        <v>0</v>
      </c>
      <c r="AA17" s="62">
        <f>IF('2023年'!$AZ17&gt;=SUM('2023年'!AA17:$AG17),'2023年'!AA17,IF('2023年'!$AZ17-SUM('2023年'!AB17:$AG17)&gt;0,'2023年'!$AZ17-SUM('2023年'!AB17:$AG17),0))</f>
        <v>0</v>
      </c>
      <c r="AB17" s="62">
        <f>IF('2023年'!$AZ17&gt;=SUM('2023年'!AB17:$AG17),'2023年'!AB17,IF('2023年'!$AZ17-SUM('2023年'!AC17:$AG17)&gt;0,'2023年'!$AZ17-SUM('2023年'!AC17:$AG17),0))</f>
        <v>0</v>
      </c>
      <c r="AC17" s="62">
        <f>IF('2023年'!$AZ17&gt;=SUM('2023年'!AC17:$AG17),'2023年'!AC17,IF('2023年'!$AZ17-SUM('2023年'!AD17:$AG17)&gt;0,'2023年'!$AZ17-SUM('2023年'!AD17:$AG17),0))</f>
        <v>0</v>
      </c>
      <c r="AD17" s="62">
        <f>IF('2023年'!$AZ17&gt;=SUM('2023年'!AD17:$AG17),'2023年'!AD17,IF('2023年'!$AZ17-SUM('2023年'!AE17:$AG17)&gt;0,'2023年'!$AZ17-SUM('2023年'!AE17:$AG17),0))</f>
        <v>0</v>
      </c>
      <c r="AE17" s="62">
        <f>IF('2023年'!$AZ17&gt;=SUM('2023年'!AE17:$AG17),'2023年'!AE17,IF('2023年'!$AZ17-SUM('2023年'!AF17:$AG17)&gt;0,'2023年'!$AZ17-SUM('2023年'!AF17:$AG17),0))</f>
        <v>0</v>
      </c>
      <c r="AF17" s="62">
        <f>IF('2023年'!$AZ17&gt;=SUM('2023年'!AF17:$AG17),'2023年'!AF17,IF('2023年'!$AZ17-SUM('2023年'!AG17:$AG17)&gt;0,'2023年'!$AZ17-SUM('2023年'!AG17:$AG17),0))</f>
        <v>0</v>
      </c>
      <c r="AG17" s="62">
        <f>IF('2023年'!$AZ17&gt;=SUM('2023年'!AG17:$AG17),'2023年'!AG17,IF('2023年'!$AZ17-SUM('2023年'!$AG17:AH17)&gt;0,'2023年'!$AZ17-SUM('2023年'!$AG17:AH17),0))</f>
        <v>0</v>
      </c>
      <c r="AH17" s="78"/>
      <c r="AI17" s="79"/>
      <c r="AJ17" s="80"/>
      <c r="AK17" s="81" t="s">
        <v>359</v>
      </c>
      <c r="AL17" s="82" t="s">
        <v>358</v>
      </c>
      <c r="AM17" s="83"/>
      <c r="AN17" s="84"/>
      <c r="AO17" s="84"/>
    </row>
    <row r="18" s="20" customFormat="1" ht="24" customHeight="1" spans="2:41">
      <c r="B18" s="48" t="s">
        <v>81</v>
      </c>
      <c r="C18" s="43" t="str">
        <f>'2023年'!C18</f>
        <v>L4617</v>
      </c>
      <c r="D18" s="43" t="str">
        <f>'2023年'!D18</f>
        <v>无锡市汇源机械科技有限公司</v>
      </c>
      <c r="E18" s="51" t="s">
        <v>222</v>
      </c>
      <c r="F18" s="45">
        <f t="shared" ref="F18:F23" si="9">SUM(I18:X18)</f>
        <v>251739.35</v>
      </c>
      <c r="G18" s="46">
        <f t="shared" ref="G18:G23" si="10">SUM(I18:V18)</f>
        <v>251722.63</v>
      </c>
      <c r="H18" s="46">
        <f t="shared" si="6"/>
        <v>341680.9</v>
      </c>
      <c r="I18" s="57"/>
      <c r="J18" s="58" t="str">
        <f>IF('2023年'!$AZ18&gt;('2023年'!$W18+'2023年'!$V18+SUM('2023年'!F18:$T18)),'2023年'!F18,IF('2023年'!$AZ18-'2023年'!$V18-'2023年'!$W18-SUM('2023年'!G18:$T18)&gt;0,'2023年'!$AZ18-'2023年'!$V18-'2023年'!$W18-SUM('2023年'!G18:$T18),""))</f>
        <v/>
      </c>
      <c r="K18" s="58" t="str">
        <f>IF('2023年'!$AZ18&gt;('2023年'!$W18+'2023年'!$V18+SUM('2023年'!G18:$T18)),'2023年'!G18,IF('2023年'!$AZ18-'2023年'!$V18-'2023年'!$W18-SUM('2023年'!H18:$T18)&gt;0,'2023年'!$AZ18-'2023年'!$V18-'2023年'!$W18-SUM('2023年'!H18:$T18),""))</f>
        <v/>
      </c>
      <c r="L18" s="58" t="str">
        <f>IF('2023年'!$AZ18&gt;('2023年'!$W18+'2023年'!$V18+SUM('2023年'!H18:$T18)),'2023年'!H18,IF('2023年'!$AZ18-'2023年'!$V18-'2023年'!$W18-SUM('2023年'!I18:$T18)&gt;0,'2023年'!$AZ18-'2023年'!$V18-'2023年'!$W18-SUM('2023年'!I18:$T18),""))</f>
        <v/>
      </c>
      <c r="M18" s="58" t="str">
        <f>IF('2023年'!$AZ18&gt;('2023年'!$W18+'2023年'!$V18+SUM('2023年'!I18:$T18)),'2023年'!I18,IF('2023年'!$AZ18-'2023年'!$V18-'2023年'!$W18-SUM('2023年'!J18:$T18)&gt;0,'2023年'!$AZ18-'2023年'!$V18-'2023年'!$W18-SUM('2023年'!J18:$T18),""))</f>
        <v/>
      </c>
      <c r="N18" s="58" t="str">
        <f>IF('2023年'!$AZ18&gt;('2023年'!$W18+'2023年'!$V18+SUM('2023年'!J18:$T18)),'2023年'!J18,IF('2023年'!$AZ18-'2023年'!$V18-'2023年'!$W18-SUM('2023年'!K18:$T18)&gt;0,'2023年'!$AZ18-'2023年'!$V18-'2023年'!$W18-SUM('2023年'!K18:$T18),""))</f>
        <v/>
      </c>
      <c r="O18" s="58" t="str">
        <f>IF('2023年'!$AZ18&gt;('2023年'!$W18+'2023年'!$V18+SUM('2023年'!K18:$T18)),'2023年'!K18,IF('2023年'!$AZ18-'2023年'!$V18-'2023年'!$W18-SUM('2023年'!L18:$T18)&gt;0,'2023年'!$AZ18-'2023年'!$V18-'2023年'!$W18-SUM('2023年'!L18:$T18),""))</f>
        <v/>
      </c>
      <c r="P18" s="58">
        <v>0</v>
      </c>
      <c r="Q18" s="58" t="str">
        <f>IF('2023年'!$AZ18&gt;(SUM('2023年'!V18:AG18)+SUM('2023年'!M18:$T18)),'2023年'!M18,IF('2023年'!$AZ18-SUM('2023年'!V18:AG18)-SUM('2023年'!N18:$T18)&gt;0,'2023年'!$AZ18-SUM('2023年'!V18:AG18)-SUM('2023年'!N18:$T18),""))</f>
        <v/>
      </c>
      <c r="R18" s="58" t="str">
        <f>IF('2023年'!$AZ18&gt;(SUM('2023年'!V18:AG18)+SUM('2023年'!N18:$T18)),'2023年'!N18,IF('2023年'!$AZ18-SUM('2023年'!V18:AG18)-SUM('2023年'!O18:$T18)&gt;0,'2023年'!$AZ18-SUM('2023年'!V18:AG18)-SUM('2023年'!O18:$T18),""))</f>
        <v/>
      </c>
      <c r="S18" s="58">
        <f>IF('2023年'!$AZ18&gt;('2023年'!P18+'2023年'!Q18+'2023年'!S18+'2023年'!T18+SUM('2023年'!V18:AG18))+'2023年'!O18+'2023年'!R18,'2023年'!O18+'2023年'!R18,IF('2023年'!$AZ18-SUM('2023年'!V18:AG18)-'2023年'!T18-'2023年'!S18-'2023年'!P18-'2023年'!Q18&gt;0,'2023年'!$AZ18-SUM('2023年'!V18:AG18)-'2023年'!T18-'2023年'!S18-'2023年'!P18-'2023年'!Q18,""))</f>
        <v>108625.29</v>
      </c>
      <c r="T18" s="58">
        <f>IF('2023年'!$AZ18&gt;('2023年'!$T18+'2023年'!$Q18+SUM('2023年'!V18:$AG18))+'2023年'!S18+'2023年'!P18,'2023年'!P18+'2023年'!S18,IF('2023年'!$AZ18-SUM('2023年'!V18:$AG18)-'2023年'!T18-'2023年'!Q18&gt;0,'2023年'!$AZ18-SUM('2023年'!V18:X18)-'2023年'!T18-'2023年'!Q18,""))</f>
        <v>97054.06</v>
      </c>
      <c r="U18" s="58">
        <f>IF('2023年'!$AZ18&gt;(SUM('2023年'!V18:AG18)+'2023年'!T18+'2023年'!Q18),'2023年'!Q18+'2023年'!T18,IF('2023年'!$AZ18-SUM('2023年'!V18:AG18)&gt;0,'2023年'!$AZ18-SUM('2023年'!V18:AG18),""))</f>
        <v>0</v>
      </c>
      <c r="V18" s="61">
        <f>IF('2023年'!$AZ18&gt;=SUM('2023年'!V18:$AG18),'2023年'!V18,IF('2023年'!$AZ18-SUM('2023年'!W18:$AG18)&gt;0,'2023年'!$AZ18-SUM('2023年'!W18:$AG18),0))</f>
        <v>46043.28</v>
      </c>
      <c r="W18" s="61">
        <f>IF('2023年'!$AZ18&gt;=SUM('2023年'!W18:$AG18),'2023年'!W18,IF('2023年'!$AZ18-SUM('2023年'!X18:$AG18)&gt;0,'2023年'!$AZ18-SUM('2023年'!X18:$AG18),0))</f>
        <v>0</v>
      </c>
      <c r="X18" s="61">
        <f>IF('2023年'!$AZ18&gt;=SUM('2023年'!X18:$AG18),'2023年'!X18,IF('2023年'!$AZ18-SUM('2023年'!Y18:$AG18)&gt;0,'2023年'!$AZ18-SUM('2023年'!Y18:$AG18),0))</f>
        <v>16.72</v>
      </c>
      <c r="Y18" s="62">
        <f>IF('2023年'!$AZ18&gt;=SUM('2023年'!Y18:$AG18),'2023年'!Y18,IF('2023年'!$AZ18-SUM('2023年'!Z18:$AG18)&gt;0,'2023年'!$AZ18-SUM('2023年'!Z18:$AG18),0))</f>
        <v>42395.78</v>
      </c>
      <c r="Z18" s="62">
        <f>IF('2023年'!$AZ18&gt;=SUM('2023年'!Z18:$AG18),'2023年'!Z18,IF('2023年'!$AZ18-SUM('2023年'!AA18:$AG18)&gt;0,'2023年'!$AZ18-SUM('2023年'!AA18:$AG18),0))</f>
        <v>47545.77</v>
      </c>
      <c r="AA18" s="62">
        <f>IF('2023年'!$AZ18&gt;=SUM('2023年'!AA18:$AG18),'2023年'!AA18,IF('2023年'!$AZ18-SUM('2023年'!AB18:$AG18)&gt;0,'2023年'!$AZ18-SUM('2023年'!AB18:$AG18),0))</f>
        <v>0</v>
      </c>
      <c r="AB18" s="62">
        <f>IF('2023年'!$AZ18&gt;=SUM('2023年'!AB18:$AG18),'2023年'!AB18,IF('2023年'!$AZ18-SUM('2023年'!AC18:$AG18)&gt;0,'2023年'!$AZ18-SUM('2023年'!AC18:$AG18),0))</f>
        <v>0</v>
      </c>
      <c r="AC18" s="62">
        <f>IF('2023年'!$AZ18&gt;=SUM('2023年'!AC18:$AG18),'2023年'!AC18,IF('2023年'!$AZ18-SUM('2023年'!AD18:$AG18)&gt;0,'2023年'!$AZ18-SUM('2023年'!AD18:$AG18),0))</f>
        <v>0</v>
      </c>
      <c r="AD18" s="62">
        <f>IF('2023年'!$AZ18&gt;=SUM('2023年'!AD18:$AG18),'2023年'!AD18,IF('2023年'!$AZ18-SUM('2023年'!AE18:$AG18)&gt;0,'2023年'!$AZ18-SUM('2023年'!AE18:$AG18),0))</f>
        <v>0</v>
      </c>
      <c r="AE18" s="62">
        <f>IF('2023年'!$AZ18&gt;=SUM('2023年'!AE18:$AG18),'2023年'!AE18,IF('2023年'!$AZ18-SUM('2023年'!AF18:$AG18)&gt;0,'2023年'!$AZ18-SUM('2023年'!AF18:$AG18),0))</f>
        <v>0</v>
      </c>
      <c r="AF18" s="62">
        <f>IF('2023年'!$AZ18&gt;=SUM('2023年'!AF18:$AG18),'2023年'!AF18,IF('2023年'!$AZ18-SUM('2023年'!AG18:$AG18)&gt;0,'2023年'!$AZ18-SUM('2023年'!AG18:$AG18),0))</f>
        <v>0</v>
      </c>
      <c r="AG18" s="62">
        <f>IF('2023年'!$AZ18&gt;=SUM('2023年'!AG18:$AG18),'2023年'!AG18,IF('2023年'!$AZ18-SUM('2023年'!$AG18:AH18)&gt;0,'2023年'!$AZ18-SUM('2023年'!$AG18:AH18),0))</f>
        <v>0</v>
      </c>
      <c r="AH18" s="78" t="s">
        <v>77</v>
      </c>
      <c r="AI18" s="85"/>
      <c r="AJ18" s="80" t="s">
        <v>346</v>
      </c>
      <c r="AK18" s="86" t="s">
        <v>360</v>
      </c>
      <c r="AL18" s="87"/>
      <c r="AM18" s="83"/>
      <c r="AN18" s="84">
        <v>50000</v>
      </c>
      <c r="AO18" s="84"/>
    </row>
    <row r="19" s="20" customFormat="1" ht="24" hidden="1" customHeight="1" spans="2:41">
      <c r="B19" s="48" t="s">
        <v>81</v>
      </c>
      <c r="C19" s="43" t="str">
        <f>'2023年'!C19</f>
        <v>1931679</v>
      </c>
      <c r="D19" s="43" t="str">
        <f>'2023年'!D19</f>
        <v>上海金山张泾五金弹簧有限公司</v>
      </c>
      <c r="E19" s="52" t="s">
        <v>96</v>
      </c>
      <c r="F19" s="45">
        <f>SUM(I19:U19)</f>
        <v>0</v>
      </c>
      <c r="G19" s="46">
        <f>SUM(I19:T19)</f>
        <v>0</v>
      </c>
      <c r="H19" s="46">
        <f t="shared" si="6"/>
        <v>0</v>
      </c>
      <c r="I19" s="57"/>
      <c r="J19" s="58" t="str">
        <f>IF('2023年'!$AZ19&gt;('2023年'!$W19+'2023年'!$V19+SUM('2023年'!F19:$T19)),'2023年'!F19,IF('2023年'!$AZ19-'2023年'!$V19-'2023年'!$W19-SUM('2023年'!G19:$T19)&gt;0,'2023年'!$AZ19-'2023年'!$V19-'2023年'!$W19-SUM('2023年'!G19:$T19),""))</f>
        <v/>
      </c>
      <c r="K19" s="58" t="str">
        <f>IF('2023年'!$AZ19&gt;('2023年'!$W19+'2023年'!$V19+SUM('2023年'!G19:$T19)),'2023年'!G19,IF('2023年'!$AZ19-'2023年'!$V19-'2023年'!$W19-SUM('2023年'!H19:$T19)&gt;0,'2023年'!$AZ19-'2023年'!$V19-'2023年'!$W19-SUM('2023年'!H19:$T19),""))</f>
        <v/>
      </c>
      <c r="L19" s="58" t="str">
        <f>IF('2023年'!$AZ19&gt;('2023年'!$W19+'2023年'!$V19+SUM('2023年'!H19:$T19)),'2023年'!H19,IF('2023年'!$AZ19-'2023年'!$V19-'2023年'!$W19-SUM('2023年'!I19:$T19)&gt;0,'2023年'!$AZ19-'2023年'!$V19-'2023年'!$W19-SUM('2023年'!I19:$T19),""))</f>
        <v/>
      </c>
      <c r="M19" s="58" t="str">
        <f>IF('2023年'!$AZ19&gt;('2023年'!$W19+'2023年'!$V19+SUM('2023年'!I19:$T19)),'2023年'!I19,IF('2023年'!$AZ19-'2023年'!$V19-'2023年'!$W19-SUM('2023年'!J19:$T19)&gt;0,'2023年'!$AZ19-'2023年'!$V19-'2023年'!$W19-SUM('2023年'!J19:$T19),""))</f>
        <v/>
      </c>
      <c r="N19" s="58" t="str">
        <f>IF('2023年'!$AZ19&gt;('2023年'!$W19+'2023年'!$V19+SUM('2023年'!J19:$T19)),'2023年'!J19,IF('2023年'!$AZ19-'2023年'!$V19-'2023年'!$W19-SUM('2023年'!K19:$T19)&gt;0,'2023年'!$AZ19-'2023年'!$V19-'2023年'!$W19-SUM('2023年'!K19:$T19),""))</f>
        <v/>
      </c>
      <c r="O19" s="58" t="str">
        <f>IF('2023年'!$AZ19&gt;('2023年'!$W19+'2023年'!$V19+SUM('2023年'!K19:$T19)),'2023年'!K19,IF('2023年'!$AZ19-'2023年'!$V19-'2023年'!$W19-SUM('2023年'!L19:$T19)&gt;0,'2023年'!$AZ19-'2023年'!$V19-'2023年'!$W19-SUM('2023年'!L19:$T19),""))</f>
        <v/>
      </c>
      <c r="P19" s="58" t="str">
        <f>IF('2023年'!$AZ19&gt;('2023年'!$W19+'2023年'!$V19+SUM('2023年'!L19:$T19)),'2023年'!L19,IF('2023年'!$AZ19-'2023年'!$V19-'2023年'!$W19-SUM('2023年'!M19:$T19)&gt;0,'2023年'!$AZ19-'2023年'!$V19-'2023年'!$W19-SUM('2023年'!M19:$T19),""))</f>
        <v/>
      </c>
      <c r="Q19" s="58" t="str">
        <f>IF('2023年'!$AZ19&gt;(SUM('2023年'!V19:AG19)+SUM('2023年'!M19:$T19)),'2023年'!M19,IF('2023年'!$AZ19-SUM('2023年'!V19:AG19)-SUM('2023年'!N19:$T19)&gt;0,'2023年'!$AZ19-SUM('2023年'!V19:AG19)-SUM('2023年'!N19:$T19),""))</f>
        <v/>
      </c>
      <c r="R19" s="58" t="str">
        <f>IF('2023年'!$AZ19&gt;(SUM('2023年'!V19:AG19)+SUM('2023年'!N19:$T19)),'2023年'!N19,IF('2023年'!$AZ19-SUM('2023年'!V19:AG19)-SUM('2023年'!O19:$T19)&gt;0,'2023年'!$AZ19-SUM('2023年'!V19:AG19)-SUM('2023年'!O19:$T19),""))</f>
        <v/>
      </c>
      <c r="S19" s="58" t="str">
        <f>IF('2023年'!$AZ19&gt;('2023年'!P19+'2023年'!Q19+'2023年'!S19+'2023年'!T19+SUM('2023年'!V19:AG19))+'2023年'!O19+'2023年'!R19,'2023年'!O19+'2023年'!R19,IF('2023年'!$AZ19-SUM('2023年'!V19:AG19)-'2023年'!T19-'2023年'!S19-'2023年'!P19-'2023年'!Q19&gt;0,'2023年'!$AZ19-SUM('2023年'!V19:AG19)-'2023年'!T19-'2023年'!S19-'2023年'!P19-'2023年'!Q19,""))</f>
        <v/>
      </c>
      <c r="T19" s="58" t="str">
        <f>IF('2023年'!$AZ19&gt;('2023年'!$T19+'2023年'!$Q19+SUM('2023年'!V19:$AG19))+'2023年'!S19+'2023年'!P19,'2023年'!P19+'2023年'!S19,IF('2023年'!$AZ19-SUM('2023年'!V19:$AG19)-'2023年'!T19-'2023年'!Q19&gt;0,'2023年'!$AZ19-SUM('2023年'!V19:X19)-'2023年'!T19-'2023年'!Q19,""))</f>
        <v/>
      </c>
      <c r="U19" s="58" t="str">
        <f>IF('2023年'!$AZ19&gt;(SUM('2023年'!V19:AG19)+'2023年'!T19+'2023年'!Q19),'2023年'!Q19+'2023年'!T19,IF('2023年'!$AZ19-SUM('2023年'!V19:AG19)&gt;0,'2023年'!$AZ19-SUM('2023年'!V19:AG19),""))</f>
        <v/>
      </c>
      <c r="V19" s="61">
        <f>IF('2023年'!$AZ19&gt;=SUM('2023年'!V19:$AG19),'2023年'!V19,IF('2023年'!$AZ19-SUM('2023年'!W19:$AG19)&gt;0,'2023年'!$AZ19-SUM('2023年'!W19:$AG19),0))</f>
        <v>0</v>
      </c>
      <c r="W19" s="61">
        <f>IF('2023年'!$AZ19&gt;=SUM('2023年'!W19:$AG19),'2023年'!W19,IF('2023年'!$AZ19-SUM('2023年'!X19:$AG19)&gt;0,'2023年'!$AZ19-SUM('2023年'!X19:$AG19),0))</f>
        <v>0</v>
      </c>
      <c r="X19" s="61">
        <f>IF('2023年'!$AZ19&gt;=SUM('2023年'!X19:$AG19),'2023年'!X19,IF('2023年'!$AZ19-SUM('2023年'!Y19:$AG19)&gt;0,'2023年'!$AZ19-SUM('2023年'!Y19:$AG19),0))</f>
        <v>0</v>
      </c>
      <c r="Y19" s="62">
        <f>IF('2023年'!$AZ19&gt;=SUM('2023年'!Y19:$AG19),'2023年'!Y19,IF('2023年'!$AZ19-SUM('2023年'!Z19:$AG19)&gt;0,'2023年'!$AZ19-SUM('2023年'!Z19:$AG19),0))</f>
        <v>0</v>
      </c>
      <c r="Z19" s="62">
        <f>IF('2023年'!$AZ19&gt;=SUM('2023年'!Z19:$AG19),'2023年'!Z19,IF('2023年'!$AZ19-SUM('2023年'!AA19:$AG19)&gt;0,'2023年'!$AZ19-SUM('2023年'!AA19:$AG19),0))</f>
        <v>0</v>
      </c>
      <c r="AA19" s="62">
        <f>IF('2023年'!$AZ19&gt;=SUM('2023年'!AA19:$AG19),'2023年'!AA19,IF('2023年'!$AZ19-SUM('2023年'!AB19:$AG19)&gt;0,'2023年'!$AZ19-SUM('2023年'!AB19:$AG19),0))</f>
        <v>0</v>
      </c>
      <c r="AB19" s="62">
        <f>IF('2023年'!$AZ19&gt;=SUM('2023年'!AB19:$AG19),'2023年'!AB19,IF('2023年'!$AZ19-SUM('2023年'!AC19:$AG19)&gt;0,'2023年'!$AZ19-SUM('2023年'!AC19:$AG19),0))</f>
        <v>0</v>
      </c>
      <c r="AC19" s="62">
        <f>IF('2023年'!$AZ19&gt;=SUM('2023年'!AC19:$AG19),'2023年'!AC19,IF('2023年'!$AZ19-SUM('2023年'!AD19:$AG19)&gt;0,'2023年'!$AZ19-SUM('2023年'!AD19:$AG19),0))</f>
        <v>0</v>
      </c>
      <c r="AD19" s="62">
        <f>IF('2023年'!$AZ19&gt;=SUM('2023年'!AD19:$AG19),'2023年'!AD19,IF('2023年'!$AZ19-SUM('2023年'!AE19:$AG19)&gt;0,'2023年'!$AZ19-SUM('2023年'!AE19:$AG19),0))</f>
        <v>0</v>
      </c>
      <c r="AE19" s="62">
        <f>IF('2023年'!$AZ19&gt;=SUM('2023年'!AE19:$AG19),'2023年'!AE19,IF('2023年'!$AZ19-SUM('2023年'!AF19:$AG19)&gt;0,'2023年'!$AZ19-SUM('2023年'!AF19:$AG19),0))</f>
        <v>0</v>
      </c>
      <c r="AF19" s="62">
        <f>IF('2023年'!$AZ19&gt;=SUM('2023年'!AF19:$AG19),'2023年'!AF19,IF('2023年'!$AZ19-SUM('2023年'!AG19:$AG19)&gt;0,'2023年'!$AZ19-SUM('2023年'!AG19:$AG19),0))</f>
        <v>0</v>
      </c>
      <c r="AG19" s="62">
        <f>IF('2023年'!$AZ19&gt;=SUM('2023年'!AG19:$AG19),'2023年'!AG19,IF('2023年'!$AZ19-SUM('2023年'!$AG19:AH19)&gt;0,'2023年'!$AZ19-SUM('2023年'!$AG19:AH19),0))</f>
        <v>0</v>
      </c>
      <c r="AH19" s="88"/>
      <c r="AI19" s="85"/>
      <c r="AJ19" s="80"/>
      <c r="AK19" s="86" t="s">
        <v>356</v>
      </c>
      <c r="AL19" s="87"/>
      <c r="AM19" s="83"/>
      <c r="AN19" s="84"/>
      <c r="AO19" s="84"/>
    </row>
    <row r="20" s="20" customFormat="1" ht="24" customHeight="1" spans="2:41">
      <c r="B20" s="48" t="s">
        <v>81</v>
      </c>
      <c r="C20" s="43" t="str">
        <f>'2023年'!C20</f>
        <v>L4878</v>
      </c>
      <c r="D20" s="43" t="str">
        <f>'2023年'!D20</f>
        <v>江阴宝曼电子科技有限公司</v>
      </c>
      <c r="E20" s="51" t="s">
        <v>85</v>
      </c>
      <c r="F20" s="45">
        <f t="shared" ref="F20:F24" si="11">SUM(I20:Y20)</f>
        <v>92451.74</v>
      </c>
      <c r="G20" s="46">
        <f t="shared" ref="G20:G24" si="12">SUM(I20:W20)</f>
        <v>0</v>
      </c>
      <c r="H20" s="46">
        <f t="shared" si="6"/>
        <v>99231.74</v>
      </c>
      <c r="I20" s="57"/>
      <c r="J20" s="58" t="str">
        <f>IF('2023年'!$AZ20&gt;('2023年'!$W20+'2023年'!$V20+SUM('2023年'!F20:$T20)),'2023年'!F20,IF('2023年'!$AZ20-'2023年'!$V20-'2023年'!$W20-SUM('2023年'!G20:$T20)&gt;0,'2023年'!$AZ20-'2023年'!$V20-'2023年'!$W20-SUM('2023年'!G20:$T20),""))</f>
        <v/>
      </c>
      <c r="K20" s="58" t="str">
        <f>IF('2023年'!$AZ20&gt;('2023年'!$W20+'2023年'!$V20+SUM('2023年'!G20:$T20)),'2023年'!G20,IF('2023年'!$AZ20-'2023年'!$V20-'2023年'!$W20-SUM('2023年'!H20:$T20)&gt;0,'2023年'!$AZ20-'2023年'!$V20-'2023年'!$W20-SUM('2023年'!H20:$T20),""))</f>
        <v/>
      </c>
      <c r="L20" s="58" t="str">
        <f>IF('2023年'!$AZ20&gt;(SUM('2023年'!$V20:AG20)+SUM('2023年'!H20:$T20)),'2023年'!H20,IF('2023年'!$AZ20-SUM('2023年'!$V20:AG20)-SUM('2023年'!I20:$T20)&gt;0,'2023年'!$AZ20-SUM('2023年'!$V20:AG20)-SUM('2023年'!I20:$T20),""))</f>
        <v/>
      </c>
      <c r="M20" s="58" t="str">
        <f>IF('2023年'!$AZ20&gt;('2023年'!$W20+'2023年'!$V20+SUM('2023年'!I20:$T20)),'2023年'!I20,IF('2023年'!$AZ20-'2023年'!$V20-'2023年'!$W20-SUM('2023年'!J20:$T20)&gt;0,'2023年'!$AZ20-'2023年'!$V20-'2023年'!$W20-SUM('2023年'!J20:$T20),""))</f>
        <v/>
      </c>
      <c r="N20" s="58" t="str">
        <f>IF('2023年'!$AZ20&gt;(SUM('2023年'!$V20:AG20)+SUM('2023年'!J20:$T20)),'2023年'!J20,IF('2023年'!$AZ20-SUM('2023年'!$V20:AG20)-SUM('2023年'!K20:$T20)&gt;0,'2023年'!$AZ20-SUM('2023年'!$V20:AG20)-SUM('2023年'!K20:$T20),""))</f>
        <v/>
      </c>
      <c r="O20" s="58">
        <f>IF('2023年'!$AZ20&gt;('2023年'!$W20+'2023年'!$V20+SUM('2023年'!K20:$T20)),'2023年'!K20,IF('2023年'!$AZ20-'2023年'!$V20-'2023年'!$W20-SUM('2023年'!L20:$T20)&gt;0,'2023年'!$AZ20-'2023年'!$V20-'2023年'!$W20-SUM('2023年'!L20:$T20),""))</f>
        <v>0</v>
      </c>
      <c r="P20" s="58">
        <f>IF('2023年'!$AZ20&gt;('2023年'!$W20+'2023年'!$V20+SUM('2023年'!L20:$T20)),'2023年'!L20,IF('2023年'!$AZ20-'2023年'!$V20-'2023年'!$W20-SUM('2023年'!M20:$T20)&gt;0,'2023年'!$AZ20-'2023年'!$V20-'2023年'!$W20-SUM('2023年'!M20:$T20),""))</f>
        <v>0</v>
      </c>
      <c r="Q20" s="58" t="str">
        <f>IF('2023年'!$AZ20&gt;(SUM('2023年'!V20:AG20)+SUM('2023年'!M20:$T20)),'2023年'!M20,IF('2023年'!$AZ20-SUM('2023年'!V20:AG20)-SUM('2023年'!N20:$T20)&gt;0,'2023年'!$AZ20-SUM('2023年'!V20:AG20)-SUM('2023年'!N20:$T20),""))</f>
        <v/>
      </c>
      <c r="R20" s="58" t="str">
        <f>IF('2023年'!$AZ20&gt;(SUM('2023年'!V20:AG20)+SUM('2023年'!N20:$T20)),'2023年'!N20,IF('2023年'!$AZ20-SUM('2023年'!V20:AG20)-SUM('2023年'!O20:$T20)&gt;0,'2023年'!$AZ20-SUM('2023年'!V20:AG20)-SUM('2023年'!O20:$T20),""))</f>
        <v/>
      </c>
      <c r="S20" s="58" t="str">
        <f>IF('2023年'!$AZ20&gt;('2023年'!P20+'2023年'!Q20+'2023年'!S20+'2023年'!T20+SUM('2023年'!V20:AG20))+'2023年'!O20+'2023年'!R20,'2023年'!O20+'2023年'!R20,IF('2023年'!$AZ20-SUM('2023年'!V20:AG20)-'2023年'!T20-'2023年'!S20-'2023年'!P20-'2023年'!Q20&gt;0,'2023年'!$AZ20-SUM('2023年'!V20:AG20)-'2023年'!T20-'2023年'!S20-'2023年'!P20-'2023年'!Q20,""))</f>
        <v/>
      </c>
      <c r="T20" s="58" t="str">
        <f>IF('2023年'!$AZ20&gt;('2023年'!$T20+'2023年'!$Q20+SUM('2023年'!V20:$AG20))+'2023年'!S20+'2023年'!P20,'2023年'!P20+'2023年'!S20,IF('2023年'!$AZ20-SUM('2023年'!V20:$AG20)-'2023年'!T20-'2023年'!Q20&gt;0,'2023年'!$AZ20-SUM('2023年'!V20:X20)-'2023年'!T20-'2023年'!Q20,""))</f>
        <v/>
      </c>
      <c r="U20" s="58" t="str">
        <f>IF('2023年'!$AZ20&gt;(SUM('2023年'!V20:AG20)+'2023年'!T20+'2023年'!Q20),'2023年'!Q20+'2023年'!T20,IF('2023年'!$AZ20-SUM('2023年'!V20:AG20)&gt;0,'2023年'!$AZ20-SUM('2023年'!V20:AG20),""))</f>
        <v/>
      </c>
      <c r="V20" s="61">
        <f>IF('2023年'!$AZ20&gt;=SUM('2023年'!V20:$AG20),'2023年'!V20,IF('2023年'!$AZ20-SUM('2023年'!W20:$AG20)&gt;0,'2023年'!$AZ20-SUM('2023年'!W20:$AG20),0))</f>
        <v>0</v>
      </c>
      <c r="W20" s="61">
        <f>IF('2023年'!$AZ20&gt;=SUM('2023年'!W20:$AG20),'2023年'!W20,IF('2023年'!$AZ20-SUM('2023年'!X20:$AG20)&gt;0,'2023年'!$AZ20-SUM('2023年'!X20:$AG20),0))</f>
        <v>0</v>
      </c>
      <c r="X20" s="61">
        <f>IF('2023年'!$AZ20&gt;=SUM('2023年'!X20:$AG20),'2023年'!X20,IF('2023年'!$AZ20-SUM('2023年'!Y20:$AG20)&gt;0,'2023年'!$AZ20-SUM('2023年'!Y20:$AG20),0))</f>
        <v>0</v>
      </c>
      <c r="Y20" s="62">
        <f>IF('2023年'!$AZ20&gt;=SUM('2023年'!Y20:$AG20),'2023年'!Y20,IF('2023年'!$AZ20-SUM('2023年'!Z20:$AG20)&gt;0,'2023年'!$AZ20-SUM('2023年'!Z20:$AG20),0))</f>
        <v>92451.74</v>
      </c>
      <c r="Z20" s="62">
        <f>IF('2023年'!$AZ20&gt;=SUM('2023年'!Z20:$AG20),'2023年'!Z20,IF('2023年'!$AZ20-SUM('2023年'!AA20:$AG20)&gt;0,'2023年'!$AZ20-SUM('2023年'!AA20:$AG20),0))</f>
        <v>6780</v>
      </c>
      <c r="AA20" s="62">
        <f>IF('2023年'!$AZ20&gt;=SUM('2023年'!AA20:$AG20),'2023年'!AA20,IF('2023年'!$AZ20-SUM('2023年'!AB20:$AG20)&gt;0,'2023年'!$AZ20-SUM('2023年'!AB20:$AG20),0))</f>
        <v>0</v>
      </c>
      <c r="AB20" s="62">
        <f>IF('2023年'!$AZ20&gt;=SUM('2023年'!AB20:$AG20),'2023年'!AB20,IF('2023年'!$AZ20-SUM('2023年'!AC20:$AG20)&gt;0,'2023年'!$AZ20-SUM('2023年'!AC20:$AG20),0))</f>
        <v>0</v>
      </c>
      <c r="AC20" s="62">
        <f>IF('2023年'!$AZ20&gt;=SUM('2023年'!AC20:$AG20),'2023年'!AC20,IF('2023年'!$AZ20-SUM('2023年'!AD20:$AG20)&gt;0,'2023年'!$AZ20-SUM('2023年'!AD20:$AG20),0))</f>
        <v>0</v>
      </c>
      <c r="AD20" s="62">
        <f>IF('2023年'!$AZ20&gt;=SUM('2023年'!AD20:$AG20),'2023年'!AD20,IF('2023年'!$AZ20-SUM('2023年'!AE20:$AG20)&gt;0,'2023年'!$AZ20-SUM('2023年'!AE20:$AG20),0))</f>
        <v>0</v>
      </c>
      <c r="AE20" s="62">
        <f>IF('2023年'!$AZ20&gt;=SUM('2023年'!AE20:$AG20),'2023年'!AE20,IF('2023年'!$AZ20-SUM('2023年'!AF20:$AG20)&gt;0,'2023年'!$AZ20-SUM('2023年'!AF20:$AG20),0))</f>
        <v>0</v>
      </c>
      <c r="AF20" s="62">
        <f>IF('2023年'!$AZ20&gt;=SUM('2023年'!AF20:$AG20),'2023年'!AF20,IF('2023年'!$AZ20-SUM('2023年'!AG20:$AG20)&gt;0,'2023年'!$AZ20-SUM('2023年'!AG20:$AG20),0))</f>
        <v>0</v>
      </c>
      <c r="AG20" s="62">
        <f>IF('2023年'!$AZ20&gt;=SUM('2023年'!AG20:$AG20),'2023年'!AG20,IF('2023年'!$AZ20-SUM('2023年'!$AG20:AH20)&gt;0,'2023年'!$AZ20-SUM('2023年'!$AG20:AH20),0))</f>
        <v>0</v>
      </c>
      <c r="AH20" s="78" t="s">
        <v>77</v>
      </c>
      <c r="AI20" s="85"/>
      <c r="AJ20" s="80"/>
      <c r="AK20" s="86" t="s">
        <v>344</v>
      </c>
      <c r="AL20" s="87"/>
      <c r="AM20" s="83"/>
      <c r="AN20" s="84">
        <f>F20</f>
        <v>92451.74</v>
      </c>
      <c r="AO20" s="84"/>
    </row>
    <row r="21" s="20" customFormat="1" ht="24" customHeight="1" spans="2:41">
      <c r="B21" s="48" t="s">
        <v>81</v>
      </c>
      <c r="C21" s="43" t="str">
        <f>'2023年'!C21</f>
        <v>L4749</v>
      </c>
      <c r="D21" s="43" t="str">
        <f>'2023年'!D21</f>
        <v>麦格纳（太仓）汽车科技有限公</v>
      </c>
      <c r="E21" s="53">
        <v>30</v>
      </c>
      <c r="F21" s="45">
        <f>SUM(I21:Z21)</f>
        <v>506498.52</v>
      </c>
      <c r="G21" s="46">
        <f>SUM(I21:X21)</f>
        <v>337665.68</v>
      </c>
      <c r="H21" s="46">
        <f t="shared" si="6"/>
        <v>506498.52</v>
      </c>
      <c r="I21" s="57"/>
      <c r="J21" s="58" t="str">
        <f>IF('2023年'!$AZ21&gt;('2023年'!$W21+'2023年'!$V21+SUM('2023年'!F21:$T21)),'2023年'!F21,IF('2023年'!$AZ21-'2023年'!$V21-'2023年'!$W21-SUM('2023年'!G21:$T21)&gt;0,'2023年'!$AZ21-'2023年'!$V21-'2023年'!$W21-SUM('2023年'!G21:$T21),""))</f>
        <v/>
      </c>
      <c r="K21" s="58" t="str">
        <f>IF('2023年'!$AZ21&gt;('2023年'!$W21+'2023年'!$V21+SUM('2023年'!G21:$T21)),'2023年'!G21,IF('2023年'!$AZ21-'2023年'!$V21-'2023年'!$W21-SUM('2023年'!H21:$T21)&gt;0,'2023年'!$AZ21-'2023年'!$V21-'2023年'!$W21-SUM('2023年'!H21:$T21),""))</f>
        <v/>
      </c>
      <c r="L21" s="58" t="str">
        <f>IF('2023年'!$AZ21&gt;(SUM('2023年'!$V21:AG21)+SUM('2023年'!H21:$T21)),'2023年'!H21,IF('2023年'!$AZ21-SUM('2023年'!$V21:AG21)-SUM('2023年'!I21:$T21)&gt;0,'2023年'!$AZ21-SUM('2023年'!$V21:AG21)-SUM('2023年'!I21:$T21),""))</f>
        <v/>
      </c>
      <c r="M21" s="58" t="str">
        <f>IF('2023年'!$AZ21&gt;('2023年'!$W21+'2023年'!$V21+SUM('2023年'!I21:$T21)),'2023年'!I21,IF('2023年'!$AZ21-'2023年'!$V21-'2023年'!$W21-SUM('2023年'!J21:$T21)&gt;0,'2023年'!$AZ21-'2023年'!$V21-'2023年'!$W21-SUM('2023年'!J21:$T21),""))</f>
        <v/>
      </c>
      <c r="N21" s="58" t="str">
        <f>IF('2023年'!$AZ21&gt;(SUM('2023年'!$V21:AG21)+SUM('2023年'!J21:$T21)),'2023年'!J21,IF('2023年'!$AZ21-SUM('2023年'!$V21:AG21)-SUM('2023年'!K21:$T21)&gt;0,'2023年'!$AZ21-SUM('2023年'!$V21:AG21)-SUM('2023年'!K21:$T21),""))</f>
        <v/>
      </c>
      <c r="O21" s="58" t="str">
        <f>IF('2023年'!$AZ21&gt;('2023年'!$W21+'2023年'!$V21+SUM('2023年'!K21:$T21)),'2023年'!K21,IF('2023年'!$AZ21-'2023年'!$V21-'2023年'!$W21-SUM('2023年'!L21:$T21)&gt;0,'2023年'!$AZ21-'2023年'!$V21-'2023年'!$W21-SUM('2023年'!L21:$T21),""))</f>
        <v/>
      </c>
      <c r="P21" s="58" t="str">
        <f>IF('2023年'!$AZ21&gt;('2023年'!$W21+'2023年'!$V21+SUM('2023年'!L21:$T21)),'2023年'!L21,IF('2023年'!$AZ21-'2023年'!$V21-'2023年'!$W21-SUM('2023年'!M21:$T21)&gt;0,'2023年'!$AZ21-'2023年'!$V21-'2023年'!$W21-SUM('2023年'!M21:$T21),""))</f>
        <v/>
      </c>
      <c r="Q21" s="58" t="str">
        <f>IF('2023年'!$AZ21&gt;(SUM('2023年'!V21:AG21)+SUM('2023年'!M21:$T21)),'2023年'!M21,IF('2023年'!$AZ21-SUM('2023年'!V21:AG21)-SUM('2023年'!N21:$T21)&gt;0,'2023年'!$AZ21-SUM('2023年'!V21:AG21)-SUM('2023年'!N21:$T21),""))</f>
        <v/>
      </c>
      <c r="R21" s="58" t="str">
        <f>IF('2023年'!$AZ21&gt;(SUM('2023年'!V21:AG21)+SUM('2023年'!N21:$T21)),'2023年'!N21,IF('2023年'!$AZ21-SUM('2023年'!V21:AG21)-SUM('2023年'!O21:$T21)&gt;0,'2023年'!$AZ21-SUM('2023年'!V21:AG21)-SUM('2023年'!O21:$T21),""))</f>
        <v/>
      </c>
      <c r="S21" s="58" t="str">
        <f>IF('2023年'!$AZ21&gt;('2023年'!P21+'2023年'!Q21+'2023年'!S21+'2023年'!T21+SUM('2023年'!V21:AG21))+'2023年'!O21+'2023年'!R21,'2023年'!O21+'2023年'!R21,IF('2023年'!$AZ21-SUM('2023年'!V21:AG21)-'2023年'!T21-'2023年'!S21-'2023年'!P21-'2023年'!Q21&gt;0,'2023年'!$AZ21-SUM('2023年'!V21:AG21)-'2023年'!T21-'2023年'!S21-'2023年'!P21-'2023年'!Q21,""))</f>
        <v/>
      </c>
      <c r="T21" s="58">
        <f>IF('2023年'!$AZ21&gt;('2023年'!$T21+'2023年'!$Q21+SUM('2023年'!V21:$AG21))+'2023年'!S21+'2023年'!P21,'2023年'!P21+'2023年'!S21,IF('2023年'!$AZ21-SUM('2023年'!V21:$AG21)-'2023年'!T21-'2023年'!Q21&gt;0,'2023年'!$AZ21-SUM('2023年'!V21:X21)-'2023年'!T21-'2023年'!Q21,""))</f>
        <v>168832.84</v>
      </c>
      <c r="U21" s="58">
        <f>IF('2023年'!$AZ21&gt;(SUM('2023年'!V21:AG21)+'2023年'!T21+'2023年'!Q21),'2023年'!Q21+'2023年'!T21,IF('2023年'!$AZ21-SUM('2023年'!V21:AG21)&gt;0,'2023年'!$AZ21-SUM('2023年'!V21:AG21),""))</f>
        <v>5.82076609134674e-11</v>
      </c>
      <c r="V21" s="61">
        <f>IF('2023年'!$AZ21&gt;=SUM('2023年'!V21:$AG21),'2023年'!V21,IF('2023年'!$AZ21-SUM('2023年'!W21:$AG21)&gt;0,'2023年'!$AZ21-SUM('2023年'!W21:$AG21),0))</f>
        <v>0</v>
      </c>
      <c r="W21" s="61">
        <f>IF('2023年'!$AZ21&gt;=SUM('2023年'!W21:$AG21),'2023年'!W21,IF('2023年'!$AZ21-SUM('2023年'!X21:$AG21)&gt;0,'2023年'!$AZ21-SUM('2023年'!X21:$AG21),0))</f>
        <v>0</v>
      </c>
      <c r="X21" s="61">
        <f>IF('2023年'!$AZ21&gt;=SUM('2023年'!X21:$AG21),'2023年'!X21,IF('2023年'!$AZ21-SUM('2023年'!Y21:$AG21)&gt;0,'2023年'!$AZ21-SUM('2023年'!Y21:$AG21),0))</f>
        <v>168832.84</v>
      </c>
      <c r="Y21" s="62">
        <f>IF('2023年'!$AZ21&gt;=SUM('2023年'!Y21:$AG21),'2023年'!Y21,IF('2023年'!$AZ21-SUM('2023年'!Z21:$AG21)&gt;0,'2023年'!$AZ21-SUM('2023年'!Z21:$AG21),0))</f>
        <v>168832.84</v>
      </c>
      <c r="Z21" s="62">
        <f>IF('2023年'!$AZ21&gt;=SUM('2023年'!Z21:$AG21),'2023年'!Z21,IF('2023年'!$AZ21-SUM('2023年'!AA21:$AG21)&gt;0,'2023年'!$AZ21-SUM('2023年'!AA21:$AG21),0))</f>
        <v>0</v>
      </c>
      <c r="AA21" s="62">
        <f>IF('2023年'!$AZ21&gt;=SUM('2023年'!AA21:$AG21),'2023年'!AA21,IF('2023年'!$AZ21-SUM('2023年'!AB21:$AG21)&gt;0,'2023年'!$AZ21-SUM('2023年'!AB21:$AG21),0))</f>
        <v>0</v>
      </c>
      <c r="AB21" s="62">
        <f>IF('2023年'!$AZ21&gt;=SUM('2023年'!AB21:$AG21),'2023年'!AB21,IF('2023年'!$AZ21-SUM('2023年'!AC21:$AG21)&gt;0,'2023年'!$AZ21-SUM('2023年'!AC21:$AG21),0))</f>
        <v>0</v>
      </c>
      <c r="AC21" s="62">
        <f>IF('2023年'!$AZ21&gt;=SUM('2023年'!AC21:$AG21),'2023年'!AC21,IF('2023年'!$AZ21-SUM('2023年'!AD21:$AG21)&gt;0,'2023年'!$AZ21-SUM('2023年'!AD21:$AG21),0))</f>
        <v>0</v>
      </c>
      <c r="AD21" s="62">
        <f>IF('2023年'!$AZ21&gt;=SUM('2023年'!AD21:$AG21),'2023年'!AD21,IF('2023年'!$AZ21-SUM('2023年'!AE21:$AG21)&gt;0,'2023年'!$AZ21-SUM('2023年'!AE21:$AG21),0))</f>
        <v>0</v>
      </c>
      <c r="AE21" s="62">
        <f>IF('2023年'!$AZ21&gt;=SUM('2023年'!AE21:$AG21),'2023年'!AE21,IF('2023年'!$AZ21-SUM('2023年'!AF21:$AG21)&gt;0,'2023年'!$AZ21-SUM('2023年'!AF21:$AG21),0))</f>
        <v>0</v>
      </c>
      <c r="AF21" s="62">
        <f>IF('2023年'!$AZ21&gt;=SUM('2023年'!AF21:$AG21),'2023年'!AF21,IF('2023年'!$AZ21-SUM('2023年'!AG21:$AG21)&gt;0,'2023年'!$AZ21-SUM('2023年'!AG21:$AG21),0))</f>
        <v>0</v>
      </c>
      <c r="AG21" s="62">
        <f>IF('2023年'!$AZ21&gt;=SUM('2023年'!AG21:$AG21),'2023年'!AG21,IF('2023年'!$AZ21-SUM('2023年'!$AG21:AH21)&gt;0,'2023年'!$AZ21-SUM('2023年'!$AG21:AH21),0))</f>
        <v>0</v>
      </c>
      <c r="AH21" s="78"/>
      <c r="AI21" s="85"/>
      <c r="AJ21" s="80"/>
      <c r="AK21" s="86" t="s">
        <v>361</v>
      </c>
      <c r="AL21" s="87"/>
      <c r="AM21" s="83">
        <f>X21</f>
        <v>168832.84</v>
      </c>
      <c r="AN21" s="84"/>
      <c r="AO21" s="84"/>
    </row>
    <row r="22" s="20" customFormat="1" ht="24" customHeight="1" spans="2:41">
      <c r="B22" s="48" t="s">
        <v>81</v>
      </c>
      <c r="C22" s="43" t="str">
        <f>'2023年'!C22</f>
        <v>1913023</v>
      </c>
      <c r="D22" s="43" t="str">
        <f>'2023年'!D22</f>
        <v>海兴中盛弹簧制品有限公司</v>
      </c>
      <c r="E22" s="54">
        <v>90</v>
      </c>
      <c r="F22" s="45">
        <f t="shared" si="9"/>
        <v>56918.41</v>
      </c>
      <c r="G22" s="46">
        <f t="shared" si="10"/>
        <v>37290.31</v>
      </c>
      <c r="H22" s="46">
        <f t="shared" si="6"/>
        <v>56918.41</v>
      </c>
      <c r="I22" s="57"/>
      <c r="J22" s="58" t="str">
        <f>IF('2023年'!$AZ22&gt;('2023年'!$W22+'2023年'!$V22+SUM('2023年'!F22:$T22)),'2023年'!F22,IF('2023年'!$AZ22-'2023年'!$V22-'2023年'!$W22-SUM('2023年'!G22:$T22)&gt;0,'2023年'!$AZ22-'2023年'!$V22-'2023年'!$W22-SUM('2023年'!G22:$T22),""))</f>
        <v/>
      </c>
      <c r="K22" s="58" t="str">
        <f>IF('2023年'!$AZ22&gt;('2023年'!$W22+'2023年'!$V22+SUM('2023年'!G22:$T22)),'2023年'!G22,IF('2023年'!$AZ22-'2023年'!$V22-'2023年'!$W22-SUM('2023年'!H22:$T22)&gt;0,'2023年'!$AZ22-'2023年'!$V22-'2023年'!$W22-SUM('2023年'!H22:$T22),""))</f>
        <v/>
      </c>
      <c r="L22" s="58" t="str">
        <f>IF('2023年'!$AZ22&gt;(SUM('2023年'!$V22:AG22)+SUM('2023年'!H22:$T22)),'2023年'!H22,IF('2023年'!$AZ22-SUM('2023年'!$V22:AG22)-SUM('2023年'!I22:$T22)&gt;0,'2023年'!$AZ22-SUM('2023年'!$V22:AG22)-SUM('2023年'!I22:$T22),""))</f>
        <v/>
      </c>
      <c r="M22" s="58" t="str">
        <f>IF('2023年'!$AZ22&gt;('2023年'!$W22+'2023年'!$V22+SUM('2023年'!I22:$T22)),'2023年'!I22,IF('2023年'!$AZ22-'2023年'!$V22-'2023年'!$W22-SUM('2023年'!J22:$T22)&gt;0,'2023年'!$AZ22-'2023年'!$V22-'2023年'!$W22-SUM('2023年'!J22:$T22),""))</f>
        <v/>
      </c>
      <c r="N22" s="58" t="str">
        <f>IF('2023年'!$AZ22&gt;(SUM('2023年'!$V22:AG22)+SUM('2023年'!J22:$T22)),'2023年'!J22,IF('2023年'!$AZ22-SUM('2023年'!$V22:AG22)-SUM('2023年'!K22:$T22)&gt;0,'2023年'!$AZ22-SUM('2023年'!$V22:AG22)-SUM('2023年'!K22:$T22),""))</f>
        <v/>
      </c>
      <c r="O22" s="58" t="str">
        <f>IF('2023年'!$AZ22&gt;('2023年'!$W22+'2023年'!$V22+SUM('2023年'!K22:$T22)),'2023年'!K22,IF('2023年'!$AZ22-'2023年'!$V22-'2023年'!$W22-SUM('2023年'!L22:$T22)&gt;0,'2023年'!$AZ22-'2023年'!$V22-'2023年'!$W22-SUM('2023年'!L22:$T22),""))</f>
        <v/>
      </c>
      <c r="P22" s="58" t="str">
        <f>IF('2023年'!$AZ22&gt;('2023年'!$W22+'2023年'!$V22+SUM('2023年'!L22:$T22)),'2023年'!L22,IF('2023年'!$AZ22-'2023年'!$V22-'2023年'!$W22-SUM('2023年'!M22:$T22)&gt;0,'2023年'!$AZ22-'2023年'!$V22-'2023年'!$W22-SUM('2023年'!M22:$T22),""))</f>
        <v/>
      </c>
      <c r="Q22" s="58" t="str">
        <f>IF('2023年'!$AZ22&gt;(SUM('2023年'!V22:AG22)+SUM('2023年'!M22:$T22)),'2023年'!M22,IF('2023年'!$AZ22-SUM('2023年'!V22:AG22)-SUM('2023年'!N22:$T22)&gt;0,'2023年'!$AZ22-SUM('2023年'!V22:AG22)-SUM('2023年'!N22:$T22),""))</f>
        <v/>
      </c>
      <c r="R22" s="58" t="str">
        <f>IF('2023年'!$AZ22&gt;(SUM('2023年'!V22:AG22)+SUM('2023年'!N22:$T22)),'2023年'!N22,IF('2023年'!$AZ22-SUM('2023年'!V22:AG22)-SUM('2023年'!O22:$T22)&gt;0,'2023年'!$AZ22-SUM('2023年'!V22:AG22)-SUM('2023年'!O22:$T22),""))</f>
        <v/>
      </c>
      <c r="S22" s="58">
        <f>IF('2023年'!$AZ22&gt;('2023年'!P22+'2023年'!Q22+'2023年'!S22+'2023年'!T22+SUM('2023年'!V22:AG22))+'2023年'!O22+'2023年'!R22,'2023年'!O22+'2023年'!R22,IF('2023年'!$AZ22-SUM('2023年'!V22:AG22)-'2023年'!T22-'2023年'!S22-'2023年'!P22-'2023年'!Q22&gt;0,'2023年'!$AZ22-SUM('2023年'!V22:AG22)-'2023年'!T22-'2023年'!S22-'2023年'!P22-'2023年'!Q22,""))</f>
        <v>2307.2</v>
      </c>
      <c r="T22" s="58">
        <f>IF('2023年'!$AZ22&gt;('2023年'!$T22+'2023年'!$Q22+SUM('2023年'!V22:$AG22))+'2023年'!S22+'2023年'!P22,'2023年'!P22+'2023年'!S22,IF('2023年'!$AZ22-SUM('2023年'!V22:$AG22)-'2023年'!T22-'2023年'!Q22&gt;0,'2023年'!$AZ22-SUM('2023年'!V22:X22)-'2023年'!T22-'2023年'!Q22,""))</f>
        <v>0</v>
      </c>
      <c r="U22" s="58">
        <f>IF('2023年'!$AZ22&gt;(SUM('2023年'!V22:AG22)+'2023年'!T22+'2023年'!Q22),'2023年'!Q22+'2023年'!T22,IF('2023年'!$AZ22-SUM('2023年'!V22:AG22)&gt;0,'2023年'!$AZ22-SUM('2023年'!V22:AG22),""))</f>
        <v>34983.11</v>
      </c>
      <c r="V22" s="61">
        <f>IF('2023年'!$AZ22&gt;=SUM('2023年'!V22:$AG22),'2023年'!V22,IF('2023年'!$AZ22-SUM('2023年'!W22:$AG22)&gt;0,'2023年'!$AZ22-SUM('2023年'!W22:$AG22),0))</f>
        <v>0</v>
      </c>
      <c r="W22" s="61">
        <f>IF('2023年'!$AZ22&gt;=SUM('2023年'!W22:$AG22),'2023年'!W22,IF('2023年'!$AZ22-SUM('2023年'!X22:$AG22)&gt;0,'2023年'!$AZ22-SUM('2023年'!X22:$AG22),0))</f>
        <v>0</v>
      </c>
      <c r="X22" s="61">
        <f>IF('2023年'!$AZ22&gt;=SUM('2023年'!X22:$AG22),'2023年'!X22,IF('2023年'!$AZ22-SUM('2023年'!Y22:$AG22)&gt;0,'2023年'!$AZ22-SUM('2023年'!Y22:$AG22),0))</f>
        <v>19628.1</v>
      </c>
      <c r="Y22" s="62">
        <f>IF('2023年'!$AZ22&gt;=SUM('2023年'!Y22:$AG22),'2023年'!Y22,IF('2023年'!$AZ22-SUM('2023年'!Z22:$AG22)&gt;0,'2023年'!$AZ22-SUM('2023年'!Z22:$AG22),0))</f>
        <v>0</v>
      </c>
      <c r="Z22" s="62">
        <f>IF('2023年'!$AZ22&gt;=SUM('2023年'!Z22:$AG22),'2023年'!Z22,IF('2023年'!$AZ22-SUM('2023年'!AA22:$AG22)&gt;0,'2023年'!$AZ22-SUM('2023年'!AA22:$AG22),0))</f>
        <v>0</v>
      </c>
      <c r="AA22" s="62">
        <f>IF('2023年'!$AZ22&gt;=SUM('2023年'!AA22:$AG22),'2023年'!AA22,IF('2023年'!$AZ22-SUM('2023年'!AB22:$AG22)&gt;0,'2023年'!$AZ22-SUM('2023年'!AB22:$AG22),0))</f>
        <v>0</v>
      </c>
      <c r="AB22" s="62">
        <f>IF('2023年'!$AZ22&gt;=SUM('2023年'!AB22:$AG22),'2023年'!AB22,IF('2023年'!$AZ22-SUM('2023年'!AC22:$AG22)&gt;0,'2023年'!$AZ22-SUM('2023年'!AC22:$AG22),0))</f>
        <v>0</v>
      </c>
      <c r="AC22" s="62">
        <f>IF('2023年'!$AZ22&gt;=SUM('2023年'!AC22:$AG22),'2023年'!AC22,IF('2023年'!$AZ22-SUM('2023年'!AD22:$AG22)&gt;0,'2023年'!$AZ22-SUM('2023年'!AD22:$AG22),0))</f>
        <v>0</v>
      </c>
      <c r="AD22" s="62">
        <f>IF('2023年'!$AZ22&gt;=SUM('2023年'!AD22:$AG22),'2023年'!AD22,IF('2023年'!$AZ22-SUM('2023年'!AE22:$AG22)&gt;0,'2023年'!$AZ22-SUM('2023年'!AE22:$AG22),0))</f>
        <v>0</v>
      </c>
      <c r="AE22" s="62">
        <f>IF('2023年'!$AZ22&gt;=SUM('2023年'!AE22:$AG22),'2023年'!AE22,IF('2023年'!$AZ22-SUM('2023年'!AF22:$AG22)&gt;0,'2023年'!$AZ22-SUM('2023年'!AF22:$AG22),0))</f>
        <v>0</v>
      </c>
      <c r="AF22" s="62">
        <f>IF('2023年'!$AZ22&gt;=SUM('2023年'!AF22:$AG22),'2023年'!AF22,IF('2023年'!$AZ22-SUM('2023年'!AG22:$AG22)&gt;0,'2023年'!$AZ22-SUM('2023年'!AG22:$AG22),0))</f>
        <v>0</v>
      </c>
      <c r="AG22" s="62">
        <f>IF('2023年'!$AZ22&gt;=SUM('2023年'!AG22:$AG22),'2023年'!AG22,IF('2023年'!$AZ22-SUM('2023年'!$AG22:AH22)&gt;0,'2023年'!$AZ22-SUM('2023年'!$AG22:AH22),0))</f>
        <v>0</v>
      </c>
      <c r="AH22" s="78" t="s">
        <v>77</v>
      </c>
      <c r="AI22" s="85"/>
      <c r="AJ22" s="80"/>
      <c r="AK22" s="86" t="s">
        <v>362</v>
      </c>
      <c r="AL22" s="87"/>
      <c r="AM22" s="83"/>
      <c r="AN22" s="84"/>
      <c r="AO22" s="84">
        <v>10000</v>
      </c>
    </row>
    <row r="23" s="20" customFormat="1" ht="24" customHeight="1" spans="2:41">
      <c r="B23" s="48" t="s">
        <v>81</v>
      </c>
      <c r="C23" s="43" t="str">
        <f>'2023年'!C23</f>
        <v>1951035</v>
      </c>
      <c r="D23" s="43" t="str">
        <f>'2023年'!D23</f>
        <v>长春力登维科技产业有限公司成</v>
      </c>
      <c r="E23" s="54" t="s">
        <v>222</v>
      </c>
      <c r="F23" s="45">
        <f t="shared" si="9"/>
        <v>14712.7</v>
      </c>
      <c r="G23" s="46">
        <f t="shared" si="10"/>
        <v>4746.1</v>
      </c>
      <c r="H23" s="46">
        <f t="shared" si="6"/>
        <v>32747.5</v>
      </c>
      <c r="I23" s="57"/>
      <c r="J23" s="58" t="str">
        <f>IF('2023年'!$AZ23&gt;('2023年'!$W23+'2023年'!$V23+SUM('2023年'!F23:$T23)),'2023年'!F23,IF('2023年'!$AZ23-'2023年'!$V23-'2023年'!$W23-SUM('2023年'!G23:$T23)&gt;0,'2023年'!$AZ23-'2023年'!$V23-'2023年'!$W23-SUM('2023年'!G23:$T23),""))</f>
        <v/>
      </c>
      <c r="K23" s="58" t="str">
        <f>IF('2023年'!$AZ23&gt;('2023年'!$W23+'2023年'!$V23+SUM('2023年'!G23:$T23)),'2023年'!G23,IF('2023年'!$AZ23-'2023年'!$V23-'2023年'!$W23-SUM('2023年'!H23:$T23)&gt;0,'2023年'!$AZ23-'2023年'!$V23-'2023年'!$W23-SUM('2023年'!H23:$T23),""))</f>
        <v/>
      </c>
      <c r="L23" s="58" t="str">
        <f>IF('2023年'!$AZ23&gt;(SUM('2023年'!$V23:AG23)+SUM('2023年'!H23:$T23)),'2023年'!H23,IF('2023年'!$AZ23-SUM('2023年'!$V23:AG23)-SUM('2023年'!I23:$T23)&gt;0,'2023年'!$AZ23-SUM('2023年'!$V23:AG23)-SUM('2023年'!I23:$T23),""))</f>
        <v/>
      </c>
      <c r="M23" s="58" t="str">
        <f>IF('2023年'!$AZ23&gt;('2023年'!$W23+'2023年'!$V23+SUM('2023年'!I23:$T23)),'2023年'!I23,IF('2023年'!$AZ23-'2023年'!$V23-'2023年'!$W23-SUM('2023年'!J23:$T23)&gt;0,'2023年'!$AZ23-'2023年'!$V23-'2023年'!$W23-SUM('2023年'!J23:$T23),""))</f>
        <v/>
      </c>
      <c r="N23" s="58" t="str">
        <f>IF('2023年'!$AZ23&gt;(SUM('2023年'!$V23:AG23)+SUM('2023年'!J23:$T23)),'2023年'!J23,IF('2023年'!$AZ23-SUM('2023年'!$V23:AG23)-SUM('2023年'!K23:$T23)&gt;0,'2023年'!$AZ23-SUM('2023年'!$V23:AG23)-SUM('2023年'!K23:$T23),""))</f>
        <v/>
      </c>
      <c r="O23" s="58" t="str">
        <f>IF('2023年'!$AZ23&gt;(SUM('2023年'!$V23:AG23)+SUM('2023年'!K23:$T23)),'2023年'!K23,IF('2023年'!$AZ23-SUM('2023年'!$V23:AG23)-SUM('2023年'!L23:$T23)&gt;0,'2023年'!$AZ23-SUM('2023年'!$V23:AG23)-SUM('2023年'!L23:$T23),""))</f>
        <v/>
      </c>
      <c r="P23" s="58" t="str">
        <f>IF('2023年'!$AZ23&gt;(SUM(V23:AG23)+SUM('2023年'!L23:$T23)),'2023年'!L23,IF('2023年'!$AZ23-SUM(V23:AG23)-SUM('2023年'!M23:$T23)&gt;0,'2023年'!$AZ23-SUM(V23:AG23)-SUM('2023年'!M23:$T23),""))</f>
        <v/>
      </c>
      <c r="Q23" s="58" t="str">
        <f>IF('2023年'!$AZ23&gt;(SUM('2023年'!V23:AG23)+SUM('2023年'!M23:$T23)),'2023年'!M23,IF('2023年'!$AZ23-SUM('2023年'!V23:AG23)-SUM('2023年'!N23:$T23)&gt;0,'2023年'!$AZ23-SUM('2023年'!V23:AG23)-SUM('2023年'!N23:$T23),""))</f>
        <v/>
      </c>
      <c r="R23" s="58" t="str">
        <f>IF('2023年'!$AZ23&gt;(SUM('2023年'!V23:AG23)+SUM('2023年'!N23:$T23)),'2023年'!N23,IF('2023年'!$AZ23-SUM('2023年'!V23:AG23)-SUM('2023年'!O23:$T23)&gt;0,'2023年'!$AZ23-SUM('2023年'!V23:AG23)-SUM('2023年'!O23:$T23),""))</f>
        <v/>
      </c>
      <c r="S23" s="58" t="str">
        <f>IF('2023年'!$AZ23&gt;('2023年'!P23+'2023年'!Q23+'2023年'!S23+'2023年'!T23+SUM('2023年'!V23:AG23))+'2023年'!O23+'2023年'!R23,'2023年'!O23+'2023年'!R23,IF('2023年'!$AZ23-SUM('2023年'!V23:AG23)-'2023年'!T23-'2023年'!S23-'2023年'!P23-'2023年'!Q23&gt;0,'2023年'!$AZ23-SUM('2023年'!V23:AG23)-'2023年'!T23-'2023年'!S23-'2023年'!P23-'2023年'!Q23,""))</f>
        <v/>
      </c>
      <c r="T23" s="58">
        <f>IF('2023年'!$AZ23&gt;('2023年'!$T23+'2023年'!$Q23+SUM('2023年'!V23:$AG23))+'2023年'!S23+'2023年'!P23,'2023年'!P23+'2023年'!S23,IF('2023年'!$AZ23-SUM('2023年'!V23:$AG23)-'2023年'!T23-'2023年'!Q23&gt;0,'2023年'!$AZ23-SUM('2023年'!V23:$AG23)-'2023年'!T23-'2023年'!Q23,""))</f>
        <v>0.0999999999985448</v>
      </c>
      <c r="U23" s="58">
        <f>IF('2023年'!$AZ23&gt;(SUM('2023年'!V23:AG23)+'2023年'!T23+'2023年'!Q23),'2023年'!Q23+'2023年'!T23,IF('2023年'!$AZ23-SUM('2023年'!V23:AG23)&gt;0,'2023年'!$AZ23-SUM('2023年'!V23:AG23),""))</f>
        <v>0</v>
      </c>
      <c r="V23" s="61">
        <f>IF('2023年'!$AZ23&gt;=SUM('2023年'!V23:$AG23),'2023年'!V23,IF('2023年'!$AZ23-SUM('2023年'!W23:$AG23)&gt;0,'2023年'!$AZ23-SUM('2023年'!W23:$AG23),0))</f>
        <v>4746</v>
      </c>
      <c r="W23" s="61">
        <f>IF('2023年'!$AZ23&gt;=SUM('2023年'!W23:$AG23),'2023年'!W23,IF('2023年'!$AZ23-SUM('2023年'!X23:$AG23)&gt;0,'2023年'!$AZ23-SUM('2023年'!X23:$AG23),0))</f>
        <v>0</v>
      </c>
      <c r="X23" s="61">
        <f>IF('2023年'!$AZ23&gt;=SUM('2023年'!X23:$AG23),'2023年'!X23,IF('2023年'!$AZ23-SUM('2023年'!Y23:$AG23)&gt;0,'2023年'!$AZ23-SUM('2023年'!Y23:$AG23),0))</f>
        <v>9966.6</v>
      </c>
      <c r="Y23" s="62">
        <f>IF('2023年'!$AZ23&gt;=SUM('2023年'!Y23:$AG23),'2023年'!Y23,IF('2023年'!$AZ23-SUM('2023年'!Z23:$AG23)&gt;0,'2023年'!$AZ23-SUM('2023年'!Z23:$AG23),0))</f>
        <v>6644.4</v>
      </c>
      <c r="Z23" s="62">
        <f>IF('2023年'!$AZ23&gt;=SUM('2023年'!Z23:$AG23),'2023年'!Z23,IF('2023年'!$AZ23-SUM('2023年'!AA23:$AG23)&gt;0,'2023年'!$AZ23-SUM('2023年'!AA23:$AG23),0))</f>
        <v>11390.4</v>
      </c>
      <c r="AA23" s="62">
        <f>IF('2023年'!$AZ23&gt;=SUM('2023年'!AA23:$AG23),'2023年'!AA23,IF('2023年'!$AZ23-SUM('2023年'!AB23:$AG23)&gt;0,'2023年'!$AZ23-SUM('2023年'!AB23:$AG23),0))</f>
        <v>0</v>
      </c>
      <c r="AB23" s="62">
        <f>IF('2023年'!$AZ23&gt;=SUM('2023年'!AB23:$AG23),'2023年'!AB23,IF('2023年'!$AZ23-SUM('2023年'!AC23:$AG23)&gt;0,'2023年'!$AZ23-SUM('2023年'!AC23:$AG23),0))</f>
        <v>0</v>
      </c>
      <c r="AC23" s="62">
        <f>IF('2023年'!$AZ23&gt;=SUM('2023年'!AC23:$AG23),'2023年'!AC23,IF('2023年'!$AZ23-SUM('2023年'!AD23:$AG23)&gt;0,'2023年'!$AZ23-SUM('2023年'!AD23:$AG23),0))</f>
        <v>0</v>
      </c>
      <c r="AD23" s="62">
        <f>IF('2023年'!$AZ23&gt;=SUM('2023年'!AD23:$AG23),'2023年'!AD23,IF('2023年'!$AZ23-SUM('2023年'!AE23:$AG23)&gt;0,'2023年'!$AZ23-SUM('2023年'!AE23:$AG23),0))</f>
        <v>0</v>
      </c>
      <c r="AE23" s="62">
        <f>IF('2023年'!$AZ23&gt;=SUM('2023年'!AE23:$AG23),'2023年'!AE23,IF('2023年'!$AZ23-SUM('2023年'!AF23:$AG23)&gt;0,'2023年'!$AZ23-SUM('2023年'!AF23:$AG23),0))</f>
        <v>0</v>
      </c>
      <c r="AF23" s="62">
        <f>IF('2023年'!$AZ23&gt;=SUM('2023年'!AF23:$AG23),'2023年'!AF23,IF('2023年'!$AZ23-SUM('2023年'!AG23:$AG23)&gt;0,'2023年'!$AZ23-SUM('2023年'!AG23:$AG23),0))</f>
        <v>0</v>
      </c>
      <c r="AG23" s="62">
        <f>IF('2023年'!$AZ23&gt;=SUM('2023年'!AG23:$AG23),'2023年'!AG23,IF('2023年'!$AZ23-SUM('2023年'!$AG23:AH23)&gt;0,'2023年'!$AZ23-SUM('2023年'!$AG23:AH23),0))</f>
        <v>0</v>
      </c>
      <c r="AH23" s="88"/>
      <c r="AI23" s="85"/>
      <c r="AJ23" s="80"/>
      <c r="AK23" s="86" t="s">
        <v>345</v>
      </c>
      <c r="AL23" s="87"/>
      <c r="AM23" s="83"/>
      <c r="AN23" s="84"/>
      <c r="AO23" s="84">
        <v>10000</v>
      </c>
    </row>
    <row r="24" s="20" customFormat="1" ht="24" customHeight="1" spans="2:41">
      <c r="B24" s="48" t="s">
        <v>81</v>
      </c>
      <c r="C24" s="43" t="str">
        <f>'2023年'!C24</f>
        <v>1951047</v>
      </c>
      <c r="D24" s="43" t="str">
        <f>'2023年'!D24</f>
        <v>上海中鹏岳博实业发展有限公司</v>
      </c>
      <c r="E24" s="55">
        <v>60</v>
      </c>
      <c r="F24" s="45">
        <f t="shared" si="11"/>
        <v>2518.39</v>
      </c>
      <c r="G24" s="46">
        <f t="shared" si="12"/>
        <v>2518.39</v>
      </c>
      <c r="H24" s="46">
        <f t="shared" si="6"/>
        <v>2518.39</v>
      </c>
      <c r="I24" s="57">
        <v>2518.39</v>
      </c>
      <c r="J24" s="58">
        <f>IF('2023年'!$AZ24&gt;('2023年'!$W24+'2023年'!$V24+SUM('2023年'!F24:$T24)),'2023年'!F24,IF('2023年'!$AZ24-'2023年'!$V24-'2023年'!$W24-SUM('2023年'!G24:$T24)&gt;0,'2023年'!$AZ24-'2023年'!$V24-'2023年'!$W24-SUM('2023年'!G24:$T24),""))</f>
        <v>0</v>
      </c>
      <c r="K24" s="58">
        <f>IF('2023年'!$AZ24&gt;('2023年'!$W24+'2023年'!$V24+SUM('2023年'!G24:$T24)),'2023年'!G24,IF('2023年'!$AZ24-'2023年'!$V24-'2023年'!$W24-SUM('2023年'!H24:$T24)&gt;0,'2023年'!$AZ24-'2023年'!$V24-'2023年'!$W24-SUM('2023年'!H24:$T24),""))</f>
        <v>0</v>
      </c>
      <c r="L24" s="58">
        <f>IF('2023年'!$AZ24&gt;(SUM('2023年'!$V24:AG24)+SUM('2023年'!H24:$T24)),'2023年'!H24,IF('2023年'!$AZ24-SUM('2023年'!$V24:AG24)-SUM('2023年'!I24:$T24)&gt;0,'2023年'!$AZ24-SUM('2023年'!$V24:AG24)-SUM('2023年'!I24:$T24),""))</f>
        <v>0</v>
      </c>
      <c r="M24" s="58">
        <f>IF('2023年'!$AZ24&gt;('2023年'!$W24+'2023年'!$V24+SUM('2023年'!I24:$T24)),'2023年'!I24,IF('2023年'!$AZ24-'2023年'!$V24-'2023年'!$W24-SUM('2023年'!J24:$T24)&gt;0,'2023年'!$AZ24-'2023年'!$V24-'2023年'!$W24-SUM('2023年'!J24:$T24),""))</f>
        <v>0</v>
      </c>
      <c r="N24" s="58">
        <f>IF('2023年'!$AZ24&gt;(SUM('2023年'!$V24:AG24)+SUM('2023年'!J24:$T24)),'2023年'!J24,IF('2023年'!$AZ24-SUM('2023年'!$V24:AG24)-SUM('2023年'!K24:$T24)&gt;0,'2023年'!$AZ24-SUM('2023年'!$V24:AG24)-SUM('2023年'!K24:$T24),""))</f>
        <v>0</v>
      </c>
      <c r="O24" s="58">
        <f>IF('2023年'!$AZ24&gt;('2023年'!$W24+'2023年'!$V24+SUM('2023年'!K24:$T24)),'2023年'!K24,IF('2023年'!$AZ24-'2023年'!$V24-'2023年'!$W24-SUM('2023年'!L24:$T24)&gt;0,'2023年'!$AZ24-'2023年'!$V24-'2023年'!$W24-SUM('2023年'!L24:$T24),""))</f>
        <v>0</v>
      </c>
      <c r="P24" s="58">
        <f>IF('2023年'!$AZ24&gt;('2023年'!$W24+'2023年'!$V24+SUM('2023年'!L24:$T24)),'2023年'!L24,IF('2023年'!$AZ24-'2023年'!$V24-'2023年'!$W24-SUM('2023年'!M24:$T24)&gt;0,'2023年'!$AZ24-'2023年'!$V24-'2023年'!$W24-SUM('2023年'!M24:$T24),""))</f>
        <v>0</v>
      </c>
      <c r="Q24" s="58">
        <f>IF('2023年'!$AZ24&gt;(SUM('2023年'!V24:AG24)+SUM('2023年'!M24:$T24)),'2023年'!M24,IF('2023年'!$AZ24-SUM('2023年'!V24:AG24)-SUM('2023年'!N24:$T24)&gt;0,'2023年'!$AZ24-SUM('2023年'!V24:AG24)-SUM('2023年'!N24:$T24),""))</f>
        <v>0</v>
      </c>
      <c r="R24" s="58">
        <f>IF('2023年'!$AZ24&gt;(SUM('2023年'!V24:AG24)+SUM('2023年'!N24:$T24)),'2023年'!N24,IF('2023年'!$AZ24-SUM('2023年'!V24:AG24)-SUM('2023年'!O24:$T24)&gt;0,'2023年'!$AZ24-SUM('2023年'!V24:AG24)-SUM('2023年'!O24:$T24),""))</f>
        <v>0</v>
      </c>
      <c r="S24" s="58">
        <f>IF('2023年'!$AZ24&gt;('2023年'!P24+'2023年'!Q24+'2023年'!S24+'2023年'!T24+SUM('2023年'!V24:AG24))+'2023年'!O24+'2023年'!R24,'2023年'!O24+'2023年'!R24,IF('2023年'!$AZ24-SUM('2023年'!V24:AG24)-'2023年'!T24-'2023年'!S24-'2023年'!P24-'2023年'!Q24&gt;0,'2023年'!$AZ24-SUM('2023年'!V24:AG24)-'2023年'!T24-'2023年'!S24-'2023年'!P24-'2023年'!Q24,""))</f>
        <v>0</v>
      </c>
      <c r="T24" s="58">
        <f>IF('2023年'!$AZ24&gt;('2023年'!$T24+'2023年'!$Q24+SUM('2023年'!V24:$AG24))+'2023年'!S24+'2023年'!P24,'2023年'!P24+'2023年'!S24,IF('2023年'!$AZ24-SUM('2023年'!V24:$AG24)-'2023年'!T24-'2023年'!Q24&gt;0,'2023年'!$AZ24-SUM('2023年'!V24:X24)-'2023年'!T24-'2023年'!Q24,""))</f>
        <v>0</v>
      </c>
      <c r="U24" s="58">
        <f>IF('2023年'!$AZ24&gt;(SUM('2023年'!V24:AG24)+'2023年'!T24+'2023年'!Q24),'2023年'!Q24+'2023年'!T24,IF('2023年'!$AZ24-SUM('2023年'!V24:AG24)&gt;0,'2023年'!$AZ24-SUM('2023年'!V24:AG24),""))</f>
        <v>0</v>
      </c>
      <c r="V24" s="61">
        <f>IF('2023年'!$AZ24&gt;=SUM('2023年'!V24:$AG24),'2023年'!V24,IF('2023年'!$AZ24-SUM('2023年'!W24:$AG24)&gt;0,'2023年'!$AZ24-SUM('2023年'!W24:$AG24),0))</f>
        <v>0</v>
      </c>
      <c r="W24" s="61">
        <f>IF('2023年'!$AZ24&gt;=SUM('2023年'!W24:$AG24),'2023年'!W24,IF('2023年'!$AZ24-SUM('2023年'!X24:$AG24)&gt;0,'2023年'!$AZ24-SUM('2023年'!X24:$AG24),0))</f>
        <v>0</v>
      </c>
      <c r="X24" s="61">
        <f>IF('2023年'!$AZ24&gt;=SUM('2023年'!X24:$AG24),'2023年'!X24,IF('2023年'!$AZ24-SUM('2023年'!Y24:$AG24)&gt;0,'2023年'!$AZ24-SUM('2023年'!Y24:$AG24),0))</f>
        <v>0</v>
      </c>
      <c r="Y24" s="62">
        <f>IF('2023年'!$AZ24&gt;=SUM('2023年'!Y24:$AG24),'2023年'!Y24,IF('2023年'!$AZ24-SUM('2023年'!Z24:$AG24)&gt;0,'2023年'!$AZ24-SUM('2023年'!Z24:$AG24),0))</f>
        <v>0</v>
      </c>
      <c r="Z24" s="62">
        <f>IF('2023年'!$AZ24&gt;=SUM('2023年'!Z24:$AG24),'2023年'!Z24,IF('2023年'!$AZ24-SUM('2023年'!AA24:$AG24)&gt;0,'2023年'!$AZ24-SUM('2023年'!AA24:$AG24),0))</f>
        <v>0</v>
      </c>
      <c r="AA24" s="62">
        <f>IF('2023年'!$AZ24&gt;=SUM('2023年'!AA24:$AG24),'2023年'!AA24,IF('2023年'!$AZ24-SUM('2023年'!AB24:$AG24)&gt;0,'2023年'!$AZ24-SUM('2023年'!AB24:$AG24),0))</f>
        <v>0</v>
      </c>
      <c r="AB24" s="62">
        <f>IF('2023年'!$AZ24&gt;=SUM('2023年'!AB24:$AG24),'2023年'!AB24,IF('2023年'!$AZ24-SUM('2023年'!AC24:$AG24)&gt;0,'2023年'!$AZ24-SUM('2023年'!AC24:$AG24),0))</f>
        <v>0</v>
      </c>
      <c r="AC24" s="62">
        <f>IF('2023年'!$AZ24&gt;=SUM('2023年'!AC24:$AG24),'2023年'!AC24,IF('2023年'!$AZ24-SUM('2023年'!AD24:$AG24)&gt;0,'2023年'!$AZ24-SUM('2023年'!AD24:$AG24),0))</f>
        <v>0</v>
      </c>
      <c r="AD24" s="62">
        <f>IF('2023年'!$AZ24&gt;=SUM('2023年'!AD24:$AG24),'2023年'!AD24,IF('2023年'!$AZ24-SUM('2023年'!AE24:$AG24)&gt;0,'2023年'!$AZ24-SUM('2023年'!AE24:$AG24),0))</f>
        <v>0</v>
      </c>
      <c r="AE24" s="62">
        <f>IF('2023年'!$AZ24&gt;=SUM('2023年'!AE24:$AG24),'2023年'!AE24,IF('2023年'!$AZ24-SUM('2023年'!AF24:$AG24)&gt;0,'2023年'!$AZ24-SUM('2023年'!AF24:$AG24),0))</f>
        <v>0</v>
      </c>
      <c r="AF24" s="62">
        <f>IF('2023年'!$AZ24&gt;=SUM('2023年'!AF24:$AG24),'2023年'!AF24,IF('2023年'!$AZ24-SUM('2023年'!AG24:$AG24)&gt;0,'2023年'!$AZ24-SUM('2023年'!AG24:$AG24),0))</f>
        <v>0</v>
      </c>
      <c r="AG24" s="62">
        <f>IF('2023年'!$AZ24&gt;=SUM('2023年'!AG24:$AG24),'2023年'!AG24,IF('2023年'!$AZ24-SUM('2023年'!$AG24:AH24)&gt;0,'2023年'!$AZ24-SUM('2023年'!$AG24:AH24),0))</f>
        <v>0</v>
      </c>
      <c r="AH24" s="88"/>
      <c r="AI24" s="85"/>
      <c r="AJ24" s="80" t="s">
        <v>346</v>
      </c>
      <c r="AK24" s="86" t="s">
        <v>363</v>
      </c>
      <c r="AL24" s="87" t="s">
        <v>270</v>
      </c>
      <c r="AM24" s="83"/>
      <c r="AN24" s="84"/>
      <c r="AO24" s="84"/>
    </row>
    <row r="25" s="20" customFormat="1" ht="24" customHeight="1" spans="2:41">
      <c r="B25" s="48" t="s">
        <v>81</v>
      </c>
      <c r="C25" s="43" t="str">
        <f>'2023年'!C25</f>
        <v>1922009</v>
      </c>
      <c r="D25" s="43" t="str">
        <f>'2023年'!D25</f>
        <v>长春鸿德汽车照明有限公司</v>
      </c>
      <c r="E25" s="47">
        <v>90</v>
      </c>
      <c r="F25" s="45">
        <f>SUM(I25:X25)</f>
        <v>389455.06</v>
      </c>
      <c r="G25" s="46">
        <f t="shared" ref="G25:G26" si="13">SUM(I25:V25)</f>
        <v>1.16415321826935e-10</v>
      </c>
      <c r="H25" s="46">
        <f t="shared" ref="H25:H33" si="14">SUM(I25:AG25)</f>
        <v>562589.14</v>
      </c>
      <c r="I25" s="57"/>
      <c r="J25" s="58" t="str">
        <f>IF('2023年'!$AZ25&gt;('2023年'!$W25+'2023年'!$V25+SUM('2023年'!F25:$T25)),'2023年'!F25,IF('2023年'!$AZ25-'2023年'!$V25-'2023年'!$W25-SUM('2023年'!G25:$T25)&gt;0,'2023年'!$AZ25-'2023年'!$V25-'2023年'!$W25-SUM('2023年'!G25:$T25),""))</f>
        <v/>
      </c>
      <c r="K25" s="58" t="str">
        <f>IF('2023年'!$AZ25&gt;('2023年'!$W25+'2023年'!$V25+SUM('2023年'!G25:$T25)),'2023年'!G25,IF('2023年'!$AZ25-'2023年'!$V25-'2023年'!$W25-SUM('2023年'!H25:$T25)&gt;0,'2023年'!$AZ25-'2023年'!$V25-'2023年'!$W25-SUM('2023年'!H25:$T25),""))</f>
        <v/>
      </c>
      <c r="L25" s="58" t="str">
        <f>IF('2023年'!$AZ25&gt;(SUM('2023年'!$V25:AG25)+SUM('2023年'!H25:$T25)),'2023年'!H25,IF('2023年'!$AZ25-SUM('2023年'!$V25:AG25)-SUM('2023年'!I25:$T25)&gt;0,'2023年'!$AZ25-SUM('2023年'!$V25:AG25)-SUM('2023年'!I25:$T25),""))</f>
        <v/>
      </c>
      <c r="M25" s="58" t="str">
        <f>IF('2023年'!$AZ25&gt;('2023年'!$W25+'2023年'!$V25+SUM('2023年'!I25:$T25)),'2023年'!I25,IF('2023年'!$AZ25-'2023年'!$V25-'2023年'!$W25-SUM('2023年'!J25:$T25)&gt;0,'2023年'!$AZ25-'2023年'!$V25-'2023年'!$W25-SUM('2023年'!J25:$T25),""))</f>
        <v/>
      </c>
      <c r="N25" s="58" t="str">
        <f>IF('2023年'!$AZ25&gt;(SUM('2023年'!$V25:AG25)+SUM('2023年'!J25:$T25)),'2023年'!J25,IF('2023年'!$AZ25-SUM('2023年'!$V25:AG25)-SUM('2023年'!K25:$T25)&gt;0,'2023年'!$AZ25-SUM('2023年'!$V25:AG25)-SUM('2023年'!K25:$T25),""))</f>
        <v/>
      </c>
      <c r="O25" s="58" t="str">
        <f>IF('2023年'!$AZ25&gt;('2023年'!$W25+'2023年'!$V25+SUM('2023年'!K25:$T25)),'2023年'!K25,IF('2023年'!$AZ25-'2023年'!$V25-'2023年'!$W25-SUM('2023年'!L25:$T25)&gt;0,'2023年'!$AZ25-'2023年'!$V25-'2023年'!$W25-SUM('2023年'!L25:$T25),""))</f>
        <v/>
      </c>
      <c r="P25" s="58" t="str">
        <f>IF('2023年'!$AZ25&gt;('2023年'!$W25+'2023年'!$V25+SUM('2023年'!L25:$T25)),'2023年'!L25,IF('2023年'!$AZ25-'2023年'!$V25-'2023年'!$W25-SUM('2023年'!M25:$T25)&gt;0,'2023年'!$AZ25-'2023年'!$V25-'2023年'!$W25-SUM('2023年'!M25:$T25),""))</f>
        <v/>
      </c>
      <c r="Q25" s="58" t="str">
        <f>IF('2023年'!$AZ25&gt;(SUM('2023年'!V25:AG25)+SUM('2023年'!M25:$T25)),'2023年'!M25,IF('2023年'!$AZ25-SUM('2023年'!V25:AG25)-SUM('2023年'!N25:$T25)&gt;0,'2023年'!$AZ25-SUM('2023年'!V25:AG25)-SUM('2023年'!N25:$T25),""))</f>
        <v/>
      </c>
      <c r="R25" s="58" t="str">
        <f>IF('2023年'!$AZ25&gt;(SUM('2023年'!V25:AG25)+SUM('2023年'!N25:$T25)),'2023年'!N25,IF('2023年'!$AZ25-SUM('2023年'!V25:AG25)-SUM('2023年'!O25:$T25)&gt;0,'2023年'!$AZ25-SUM('2023年'!V25:AG25)-SUM('2023年'!O25:$T25),""))</f>
        <v/>
      </c>
      <c r="S25" s="58" t="str">
        <f>IF('2023年'!$AZ25&gt;('2023年'!P25+'2023年'!Q25+'2023年'!S25+'2023年'!T25+SUM('2023年'!V25:AG25))+'2023年'!O25+'2023年'!R25,'2023年'!O25+'2023年'!R25,IF('2023年'!$AZ25-SUM('2023年'!V25:AG25)-'2023年'!T25-'2023年'!S25-'2023年'!P25-'2023年'!Q25&gt;0,'2023年'!$AZ25-SUM('2023年'!V25:AG25)-'2023年'!T25-'2023年'!S25-'2023年'!P25-'2023年'!Q25,""))</f>
        <v/>
      </c>
      <c r="T25" s="58"/>
      <c r="U25" s="58">
        <f>IF('2023年'!$AZ25&gt;(SUM('2023年'!V25:AG25)+'2023年'!T25+'2023年'!Q25),'2023年'!Q25+'2023年'!T25,IF('2023年'!$AZ25-SUM('2023年'!V25:AG25)&gt;0,'2023年'!$AZ25-SUM('2023年'!V25:AG25),""))</f>
        <v>1.16415321826935e-10</v>
      </c>
      <c r="V25" s="61">
        <f>IF('2023年'!$AZ25&gt;=SUM('2023年'!V25:$AG25),'2023年'!V25,IF('2023年'!$AZ25-SUM('2023年'!W25:$AG25)&gt;0,'2023年'!$AZ25-SUM('2023年'!W25:$AG25),0))</f>
        <v>0</v>
      </c>
      <c r="W25" s="61">
        <f>IF('2023年'!$AZ25&gt;=SUM('2023年'!W25:$AG25),'2023年'!W25,IF('2023年'!$AZ25-SUM('2023年'!X25:$AG25)&gt;0,'2023年'!$AZ25-SUM('2023年'!X25:$AG25),0))</f>
        <v>0</v>
      </c>
      <c r="X25" s="61">
        <f>IF('2023年'!$AZ25&gt;=SUM('2023年'!X25:$AG25),'2023年'!X25,IF('2023年'!$AZ25-SUM('2023年'!Y25:$AG25)&gt;0,'2023年'!$AZ25-SUM('2023年'!Y25:$AG25),0))</f>
        <v>389455.06</v>
      </c>
      <c r="Y25" s="62">
        <f>IF('2023年'!$AZ25&gt;=SUM('2023年'!Y25:$AG25),'2023年'!Y25,IF('2023年'!$AZ25-SUM('2023年'!Z25:$AG25)&gt;0,'2023年'!$AZ25-SUM('2023年'!Z25:$AG25),0))</f>
        <v>173134.08</v>
      </c>
      <c r="Z25" s="62">
        <f>IF('2023年'!$AZ25&gt;=SUM('2023年'!Z25:$AG25),'2023年'!Z25,IF('2023年'!$AZ25-SUM('2023年'!AA25:$AG25)&gt;0,'2023年'!$AZ25-SUM('2023年'!AA25:$AG25),0))</f>
        <v>0</v>
      </c>
      <c r="AA25" s="62">
        <f>IF('2023年'!$AZ25&gt;=SUM('2023年'!AA25:$AG25),'2023年'!AA25,IF('2023年'!$AZ25-SUM('2023年'!AB25:$AG25)&gt;0,'2023年'!$AZ25-SUM('2023年'!AB25:$AG25),0))</f>
        <v>0</v>
      </c>
      <c r="AB25" s="62">
        <f>IF('2023年'!$AZ25&gt;=SUM('2023年'!AB25:$AG25),'2023年'!AB25,IF('2023年'!$AZ25-SUM('2023年'!AC25:$AG25)&gt;0,'2023年'!$AZ25-SUM('2023年'!AC25:$AG25),0))</f>
        <v>0</v>
      </c>
      <c r="AC25" s="62">
        <f>IF('2023年'!$AZ25&gt;=SUM('2023年'!AC25:$AG25),'2023年'!AC25,IF('2023年'!$AZ25-SUM('2023年'!AD25:$AG25)&gt;0,'2023年'!$AZ25-SUM('2023年'!AD25:$AG25),0))</f>
        <v>0</v>
      </c>
      <c r="AD25" s="62">
        <f>IF('2023年'!$AZ25&gt;=SUM('2023年'!AD25:$AG25),'2023年'!AD25,IF('2023年'!$AZ25-SUM('2023年'!AE25:$AG25)&gt;0,'2023年'!$AZ25-SUM('2023年'!AE25:$AG25),0))</f>
        <v>0</v>
      </c>
      <c r="AE25" s="62">
        <f>IF('2023年'!$AZ25&gt;=SUM('2023年'!AE25:$AG25),'2023年'!AE25,IF('2023年'!$AZ25-SUM('2023年'!AF25:$AG25)&gt;0,'2023年'!$AZ25-SUM('2023年'!AF25:$AG25),0))</f>
        <v>0</v>
      </c>
      <c r="AF25" s="62">
        <f>IF('2023年'!$AZ25&gt;=SUM('2023年'!AF25:$AG25),'2023年'!AF25,IF('2023年'!$AZ25-SUM('2023年'!AG25:$AG25)&gt;0,'2023年'!$AZ25-SUM('2023年'!AG25:$AG25),0))</f>
        <v>0</v>
      </c>
      <c r="AG25" s="62">
        <f>IF('2023年'!$AZ25&gt;=SUM('2023年'!AG25:$AG25),'2023年'!AG25,IF('2023年'!$AZ25-SUM('2023年'!$AG25:AH25)&gt;0,'2023年'!$AZ25-SUM('2023年'!$AG25:AH25),0))</f>
        <v>0</v>
      </c>
      <c r="AH25" s="78" t="s">
        <v>77</v>
      </c>
      <c r="AI25" s="79"/>
      <c r="AJ25" s="80"/>
      <c r="AK25" s="81" t="s">
        <v>364</v>
      </c>
      <c r="AL25" s="82" t="s">
        <v>365</v>
      </c>
      <c r="AM25" s="83"/>
      <c r="AN25" s="89"/>
      <c r="AO25" s="84">
        <v>100000</v>
      </c>
    </row>
    <row r="26" s="20" customFormat="1" ht="24" hidden="1" customHeight="1" spans="2:41">
      <c r="B26" s="48" t="s">
        <v>81</v>
      </c>
      <c r="C26" s="43" t="str">
        <f>'2023年'!C26</f>
        <v>1931704</v>
      </c>
      <c r="D26" s="43" t="str">
        <f>'2023年'!D26</f>
        <v>上海努辰金属制品有限公司</v>
      </c>
      <c r="E26" s="55">
        <v>90</v>
      </c>
      <c r="F26" s="45">
        <f>SUM(I26:X26)</f>
        <v>0</v>
      </c>
      <c r="G26" s="46">
        <f t="shared" si="13"/>
        <v>0</v>
      </c>
      <c r="H26" s="46">
        <f t="shared" si="14"/>
        <v>17872.08</v>
      </c>
      <c r="I26" s="57"/>
      <c r="J26" s="58" t="str">
        <f>IF('2023年'!$AZ26&gt;('2023年'!$W26+'2023年'!$V26+SUM('2023年'!F26:$T26)),'2023年'!F26,IF('2023年'!$AZ26-'2023年'!$V26-'2023年'!$W26-SUM('2023年'!G26:$T26)&gt;0,'2023年'!$AZ26-'2023年'!$V26-'2023年'!$W26-SUM('2023年'!G26:$T26),""))</f>
        <v/>
      </c>
      <c r="K26" s="58" t="str">
        <f>IF('2023年'!$AZ26&gt;('2023年'!$W26+'2023年'!$V26+SUM('2023年'!G26:$T26)),'2023年'!G26,IF('2023年'!$AZ26-'2023年'!$V26-'2023年'!$W26-SUM('2023年'!H26:$T26)&gt;0,'2023年'!$AZ26-'2023年'!$V26-'2023年'!$W26-SUM('2023年'!H26:$T26),""))</f>
        <v/>
      </c>
      <c r="L26" s="58" t="str">
        <f>IF('2023年'!$AZ26&gt;(SUM('2023年'!$V26:AG26)+SUM('2023年'!H26:$T26)),'2023年'!H26,IF('2023年'!$AZ26-SUM('2023年'!$V26:AG26)-SUM('2023年'!I26:$T26)&gt;0,'2023年'!$AZ26-SUM('2023年'!$V26:AG26)-SUM('2023年'!I26:$T26),""))</f>
        <v/>
      </c>
      <c r="M26" s="58" t="str">
        <f>IF('2023年'!$AZ26&gt;('2023年'!$W26+'2023年'!$V26+SUM('2023年'!I26:$T26)),'2023年'!I26,IF('2023年'!$AZ26-'2023年'!$V26-'2023年'!$W26-SUM('2023年'!J26:$T26)&gt;0,'2023年'!$AZ26-'2023年'!$V26-'2023年'!$W26-SUM('2023年'!J26:$T26),""))</f>
        <v/>
      </c>
      <c r="N26" s="58" t="str">
        <f>IF('2023年'!$AZ26&gt;(SUM('2023年'!$V26:AG26)+SUM('2023年'!J26:$T26)),'2023年'!J26,IF('2023年'!$AZ26-SUM('2023年'!$V26:AG26)-SUM('2023年'!K26:$T26)&gt;0,'2023年'!$AZ26-SUM('2023年'!$V26:AG26)-SUM('2023年'!K26:$T26),""))</f>
        <v/>
      </c>
      <c r="O26" s="58" t="str">
        <f>IF('2023年'!$AZ26&gt;('2023年'!$W26+'2023年'!$V26+SUM('2023年'!K26:$T26)),'2023年'!K26,IF('2023年'!$AZ26-'2023年'!$V26-'2023年'!$W26-SUM('2023年'!L26:$T26)&gt;0,'2023年'!$AZ26-'2023年'!$V26-'2023年'!$W26-SUM('2023年'!L26:$T26),""))</f>
        <v/>
      </c>
      <c r="P26" s="58" t="str">
        <f>IF('2023年'!$AZ26&gt;('2023年'!$W26+'2023年'!$V26+SUM('2023年'!L26:$T26)),'2023年'!L26,IF('2023年'!$AZ26-'2023年'!$V26-'2023年'!$W26-SUM('2023年'!M26:$T26)&gt;0,'2023年'!$AZ26-'2023年'!$V26-'2023年'!$W26-SUM('2023年'!M26:$T26),""))</f>
        <v/>
      </c>
      <c r="Q26" s="58" t="str">
        <f>IF('2023年'!$AZ26&gt;(SUM('2023年'!V26:AG26)+SUM('2023年'!M26:$T26)),'2023年'!M26,IF('2023年'!$AZ26-SUM('2023年'!V26:AG26)-SUM('2023年'!N26:$T26)&gt;0,'2023年'!$AZ26-SUM('2023年'!V26:AG26)-SUM('2023年'!N26:$T26),""))</f>
        <v/>
      </c>
      <c r="R26" s="58" t="str">
        <f>IF('2023年'!$AZ26&gt;(SUM('2023年'!V26:AG26)+SUM('2023年'!N26:$T26)),'2023年'!N26,IF('2023年'!$AZ26-SUM('2023年'!V26:AG26)-SUM('2023年'!O26:$T26)&gt;0,'2023年'!$AZ26-SUM('2023年'!V26:AG26)-SUM('2023年'!O26:$T26),""))</f>
        <v/>
      </c>
      <c r="S26" s="58" t="str">
        <f>IF('2023年'!$AZ26&gt;('2023年'!P26+'2023年'!Q26+'2023年'!S26+'2023年'!T26+SUM('2023年'!V26:AG26))+'2023年'!O26+'2023年'!R26,'2023年'!O26+'2023年'!R26,IF('2023年'!$AZ26-SUM('2023年'!V26:AG26)-'2023年'!T26-'2023年'!S26-'2023年'!P26-'2023年'!Q26&gt;0,'2023年'!$AZ26-SUM('2023年'!V26:AG26)-'2023年'!T26-'2023年'!S26-'2023年'!P26-'2023年'!Q26,""))</f>
        <v/>
      </c>
      <c r="T26" s="58" t="str">
        <f>IF('2023年'!$AZ26&gt;('2023年'!$T26+'2023年'!$Q26+SUM('2023年'!V26:$AG26))+'2023年'!S26+'2023年'!P26,'2023年'!P26+'2023年'!S26,IF('2023年'!$AZ26-SUM('2023年'!V26:$AG26)-'2023年'!T26-'2023年'!Q26&gt;0,'2023年'!$AZ26-SUM('2023年'!V26:X26)-'2023年'!T26-'2023年'!Q26,""))</f>
        <v/>
      </c>
      <c r="U26" s="58" t="str">
        <f>IF('2023年'!$AZ26&gt;(SUM('2023年'!V26:AG26)+'2023年'!T26+'2023年'!Q26),'2023年'!Q26+'2023年'!T26,IF('2023年'!$AZ26-SUM('2023年'!V26:AG26)&gt;0,'2023年'!$AZ26-SUM('2023年'!V26:AG26),""))</f>
        <v/>
      </c>
      <c r="V26" s="61">
        <f>IF('2023年'!$AZ26&gt;=SUM('2023年'!V26:$AG26),'2023年'!V26,IF('2023年'!$AZ26-SUM('2023年'!W26:$AG26)&gt;0,'2023年'!$AZ26-SUM('2023年'!W26:$AG26),0))</f>
        <v>0</v>
      </c>
      <c r="W26" s="61">
        <f>IF('2023年'!$AZ26&gt;=SUM('2023年'!W26:$AG26),'2023年'!W26,IF('2023年'!$AZ26-SUM('2023年'!X26:$AG26)&gt;0,'2023年'!$AZ26-SUM('2023年'!X26:$AG26),0))</f>
        <v>0</v>
      </c>
      <c r="X26" s="61">
        <f>IF('2023年'!$AZ26&gt;=SUM('2023年'!X26:$AG26),'2023年'!X26,IF('2023年'!$AZ26-SUM('2023年'!Y26:$AG26)&gt;0,'2023年'!$AZ26-SUM('2023年'!Y26:$AG26),0))</f>
        <v>0</v>
      </c>
      <c r="Y26" s="62">
        <f>IF('2023年'!$AZ26&gt;=SUM('2023年'!Y26:$AG26),'2023年'!Y26,IF('2023年'!$AZ26-SUM('2023年'!Z26:$AG26)&gt;0,'2023年'!$AZ26-SUM('2023年'!Z26:$AG26),0))</f>
        <v>12346.38</v>
      </c>
      <c r="Z26" s="62">
        <f>IF('2023年'!$AZ26&gt;=SUM('2023年'!Z26:$AG26),'2023年'!Z26,IF('2023年'!$AZ26-SUM('2023年'!AA26:$AG26)&gt;0,'2023年'!$AZ26-SUM('2023年'!AA26:$AG26),0))</f>
        <v>5525.7</v>
      </c>
      <c r="AA26" s="62">
        <f>IF('2023年'!$AZ26&gt;=SUM('2023年'!AA26:$AG26),'2023年'!AA26,IF('2023年'!$AZ26-SUM('2023年'!AB26:$AG26)&gt;0,'2023年'!$AZ26-SUM('2023年'!AB26:$AG26),0))</f>
        <v>0</v>
      </c>
      <c r="AB26" s="62">
        <f>IF('2023年'!$AZ26&gt;=SUM('2023年'!AB26:$AG26),'2023年'!AB26,IF('2023年'!$AZ26-SUM('2023年'!AC26:$AG26)&gt;0,'2023年'!$AZ26-SUM('2023年'!AC26:$AG26),0))</f>
        <v>0</v>
      </c>
      <c r="AC26" s="62">
        <f>IF('2023年'!$AZ26&gt;=SUM('2023年'!AC26:$AG26),'2023年'!AC26,IF('2023年'!$AZ26-SUM('2023年'!AD26:$AG26)&gt;0,'2023年'!$AZ26-SUM('2023年'!AD26:$AG26),0))</f>
        <v>0</v>
      </c>
      <c r="AD26" s="62">
        <f>IF('2023年'!$AZ26&gt;=SUM('2023年'!AD26:$AG26),'2023年'!AD26,IF('2023年'!$AZ26-SUM('2023年'!AE26:$AG26)&gt;0,'2023年'!$AZ26-SUM('2023年'!AE26:$AG26),0))</f>
        <v>0</v>
      </c>
      <c r="AE26" s="62">
        <f>IF('2023年'!$AZ26&gt;=SUM('2023年'!AE26:$AG26),'2023年'!AE26,IF('2023年'!$AZ26-SUM('2023年'!AF26:$AG26)&gt;0,'2023年'!$AZ26-SUM('2023年'!AF26:$AG26),0))</f>
        <v>0</v>
      </c>
      <c r="AF26" s="62">
        <f>IF('2023年'!$AZ26&gt;=SUM('2023年'!AF26:$AG26),'2023年'!AF26,IF('2023年'!$AZ26-SUM('2023年'!AG26:$AG26)&gt;0,'2023年'!$AZ26-SUM('2023年'!AG26:$AG26),0))</f>
        <v>0</v>
      </c>
      <c r="AG26" s="62">
        <f>IF('2023年'!$AZ26&gt;=SUM('2023年'!AG26:$AG26),'2023年'!AG26,IF('2023年'!$AZ26-SUM('2023年'!$AG26:AH26)&gt;0,'2023年'!$AZ26-SUM('2023年'!$AG26:AH26),0))</f>
        <v>0</v>
      </c>
      <c r="AH26" s="88"/>
      <c r="AI26" s="79"/>
      <c r="AJ26" s="80">
        <v>0</v>
      </c>
      <c r="AK26" s="86" t="s">
        <v>366</v>
      </c>
      <c r="AL26" s="87"/>
      <c r="AM26" s="83"/>
      <c r="AN26" s="84"/>
      <c r="AO26" s="84"/>
    </row>
    <row r="27" s="20" customFormat="1" ht="24" customHeight="1" spans="2:41">
      <c r="B27" s="48" t="s">
        <v>81</v>
      </c>
      <c r="C27" s="43" t="str">
        <f>'2023年'!C27</f>
        <v>L5389</v>
      </c>
      <c r="D27" s="43" t="str">
        <f>'2023年'!D27</f>
        <v>上海博迩森汽车部件有限公司</v>
      </c>
      <c r="E27" s="47">
        <v>30</v>
      </c>
      <c r="F27" s="45">
        <f>SUM(I27:Z27)</f>
        <v>56104.5</v>
      </c>
      <c r="G27" s="46">
        <f>SUM(I27:X27)</f>
        <v>0</v>
      </c>
      <c r="H27" s="46">
        <f t="shared" si="14"/>
        <v>56104.5</v>
      </c>
      <c r="I27" s="57"/>
      <c r="J27" s="58" t="str">
        <f>IF('2023年'!$AZ27&gt;('2023年'!$W27+'2023年'!$V27+SUM('2023年'!F27:$T27)),'2023年'!F27,IF('2023年'!$AZ27-'2023年'!$V27-'2023年'!$W27-SUM('2023年'!G27:$T27)&gt;0,'2023年'!$AZ27-'2023年'!$V27-'2023年'!$W27-SUM('2023年'!G27:$T27),""))</f>
        <v/>
      </c>
      <c r="K27" s="58" t="str">
        <f>IF('2023年'!$AZ27&gt;('2023年'!$W27+'2023年'!$V27+SUM('2023年'!G27:$T27)),'2023年'!G27,IF('2023年'!$AZ27-'2023年'!$V27-'2023年'!$W27-SUM('2023年'!H27:$T27)&gt;0,'2023年'!$AZ27-'2023年'!$V27-'2023年'!$W27-SUM('2023年'!H27:$T27),""))</f>
        <v/>
      </c>
      <c r="L27" s="58" t="str">
        <f>IF('2023年'!$AZ27&gt;(SUM('2023年'!$V27:AG27)+SUM('2023年'!H27:$T27)),'2023年'!H27,IF('2023年'!$AZ27-SUM('2023年'!$V27:AG27)-SUM('2023年'!I27:$T27)&gt;0,'2023年'!$AZ27-SUM('2023年'!$V27:AG27)-SUM('2023年'!I27:$T27),""))</f>
        <v/>
      </c>
      <c r="M27" s="58" t="str">
        <f>IF('2023年'!$AZ27&gt;('2023年'!$W27+'2023年'!$V27+SUM('2023年'!I27:$T27)),'2023年'!I27,IF('2023年'!$AZ27-'2023年'!$V27-'2023年'!$W27-SUM('2023年'!J27:$T27)&gt;0,'2023年'!$AZ27-'2023年'!$V27-'2023年'!$W27-SUM('2023年'!J27:$T27),""))</f>
        <v/>
      </c>
      <c r="N27" s="58" t="str">
        <f>IF('2023年'!$AZ27&gt;(SUM('2023年'!$V27:AG27)+SUM('2023年'!J27:$T27)),'2023年'!J27,IF('2023年'!$AZ27-SUM('2023年'!$V27:AG27)-SUM('2023年'!K27:$T27)&gt;0,'2023年'!$AZ27-SUM('2023年'!$V27:AG27)-SUM('2023年'!K27:$T27),""))</f>
        <v/>
      </c>
      <c r="O27" s="58" t="str">
        <f>IF('2023年'!$AZ27&gt;('2023年'!$W27+'2023年'!$V27+SUM('2023年'!K27:$T27)),'2023年'!K27,IF('2023年'!$AZ27-'2023年'!$V27-'2023年'!$W27-SUM('2023年'!L27:$T27)&gt;0,'2023年'!$AZ27-'2023年'!$V27-'2023年'!$W27-SUM('2023年'!L27:$T27),""))</f>
        <v/>
      </c>
      <c r="P27" s="58" t="str">
        <f>IF('2023年'!$AZ27&gt;('2023年'!$W27+'2023年'!$V27+SUM('2023年'!L27:$T27)),'2023年'!L27,IF('2023年'!$AZ27-'2023年'!$V27-'2023年'!$W27-SUM('2023年'!M27:$T27)&gt;0,'2023年'!$AZ27-'2023年'!$V27-'2023年'!$W27-SUM('2023年'!M27:$T27),""))</f>
        <v/>
      </c>
      <c r="Q27" s="58" t="str">
        <f>IF('2023年'!$AZ27&gt;(SUM('2023年'!V27:AG27)+SUM('2023年'!M27:$T27)),'2023年'!M27,IF('2023年'!$AZ27-SUM('2023年'!V27:AG27)-SUM('2023年'!N27:$T27)&gt;0,'2023年'!$AZ27-SUM('2023年'!V27:AG27)-SUM('2023年'!N27:$T27),""))</f>
        <v/>
      </c>
      <c r="R27" s="58" t="str">
        <f>IF('2023年'!$AZ27&gt;(SUM('2023年'!V27:AG27)+SUM('2023年'!N27:$T27)),'2023年'!N27,IF('2023年'!$AZ27-SUM('2023年'!V27:AG27)-SUM('2023年'!O27:$T27)&gt;0,'2023年'!$AZ27-SUM('2023年'!V27:AG27)-SUM('2023年'!O27:$T27),""))</f>
        <v/>
      </c>
      <c r="S27" s="58" t="str">
        <f>IF('2023年'!$AZ27&gt;('2023年'!P27+'2023年'!Q27+'2023年'!S27+'2023年'!T27+SUM('2023年'!V27:AG27))+'2023年'!O27+'2023年'!R27,'2023年'!O27+'2023年'!R27,IF('2023年'!$AZ27-SUM('2023年'!V27:AG27)-'2023年'!T27-'2023年'!S27-'2023年'!P27-'2023年'!Q27&gt;0,'2023年'!$AZ27-SUM('2023年'!V27:AG27)-'2023年'!T27-'2023年'!S27-'2023年'!P27-'2023年'!Q27,""))</f>
        <v/>
      </c>
      <c r="T27" s="58" t="str">
        <f>IF('2023年'!$AZ27&gt;('2023年'!$T27+'2023年'!$Q27+SUM('2023年'!V27:$AG27))+'2023年'!S27+'2023年'!P27,'2023年'!P27+'2023年'!S27,IF('2023年'!$AZ27-SUM('2023年'!V27:$AG27)-'2023年'!T27-'2023年'!Q27&gt;0,'2023年'!$AZ27-SUM('2023年'!V27:X27)-'2023年'!T27-'2023年'!Q27,""))</f>
        <v/>
      </c>
      <c r="U27" s="58" t="str">
        <f>IF('2023年'!$AZ27&gt;(SUM('2023年'!V27:AG27)+'2023年'!T27+'2023年'!Q27),'2023年'!Q27+'2023年'!T27,IF('2023年'!$AZ27-SUM('2023年'!V27:AG27)&gt;0,'2023年'!$AZ27-SUM('2023年'!V27:AG27),""))</f>
        <v/>
      </c>
      <c r="V27" s="61">
        <f>IF('2023年'!$AZ27&gt;=SUM('2023年'!V27:$AG27),'2023年'!V27,IF('2023年'!$AZ27-SUM('2023年'!W27:$AG27)&gt;0,'2023年'!$AZ27-SUM('2023年'!W27:$AG27),0))</f>
        <v>0</v>
      </c>
      <c r="W27" s="61">
        <f>IF('2023年'!$AZ27&gt;=SUM('2023年'!W27:$AG27),'2023年'!W27,IF('2023年'!$AZ27-SUM('2023年'!X27:$AG27)&gt;0,'2023年'!$AZ27-SUM('2023年'!X27:$AG27),0))</f>
        <v>0</v>
      </c>
      <c r="X27" s="61">
        <f>IF('2023年'!$AZ27&gt;=SUM('2023年'!X27:$AG27),'2023年'!X27,IF('2023年'!$AZ27-SUM('2023年'!Y27:$AG27)&gt;0,'2023年'!$AZ27-SUM('2023年'!Y27:$AG27),0))</f>
        <v>0</v>
      </c>
      <c r="Y27" s="62">
        <f>IF('2023年'!$AZ27&gt;=SUM('2023年'!Y27:$AG27),'2023年'!Y27,IF('2023年'!$AZ27-SUM('2023年'!Z27:$AG27)&gt;0,'2023年'!$AZ27-SUM('2023年'!Z27:$AG27),0))</f>
        <v>56104.5</v>
      </c>
      <c r="Z27" s="62">
        <f>IF('2023年'!$AZ27&gt;=SUM('2023年'!Z27:$AG27),'2023年'!Z27,IF('2023年'!$AZ27-SUM('2023年'!AA27:$AG27)&gt;0,'2023年'!$AZ27-SUM('2023年'!AA27:$AG27),0))</f>
        <v>0</v>
      </c>
      <c r="AA27" s="62">
        <f>IF('2023年'!$AZ27&gt;=SUM('2023年'!AA27:$AG27),'2023年'!AA27,IF('2023年'!$AZ27-SUM('2023年'!AB27:$AG27)&gt;0,'2023年'!$AZ27-SUM('2023年'!AB27:$AG27),0))</f>
        <v>0</v>
      </c>
      <c r="AB27" s="62">
        <f>IF('2023年'!$AZ27&gt;=SUM('2023年'!AB27:$AG27),'2023年'!AB27,IF('2023年'!$AZ27-SUM('2023年'!AC27:$AG27)&gt;0,'2023年'!$AZ27-SUM('2023年'!AC27:$AG27),0))</f>
        <v>0</v>
      </c>
      <c r="AC27" s="62">
        <f>IF('2023年'!$AZ27&gt;=SUM('2023年'!AC27:$AG27),'2023年'!AC27,IF('2023年'!$AZ27-SUM('2023年'!AD27:$AG27)&gt;0,'2023年'!$AZ27-SUM('2023年'!AD27:$AG27),0))</f>
        <v>0</v>
      </c>
      <c r="AD27" s="62">
        <f>IF('2023年'!$AZ27&gt;=SUM('2023年'!AD27:$AG27),'2023年'!AD27,IF('2023年'!$AZ27-SUM('2023年'!AE27:$AG27)&gt;0,'2023年'!$AZ27-SUM('2023年'!AE27:$AG27),0))</f>
        <v>0</v>
      </c>
      <c r="AE27" s="62">
        <f>IF('2023年'!$AZ27&gt;=SUM('2023年'!AE27:$AG27),'2023年'!AE27,IF('2023年'!$AZ27-SUM('2023年'!AF27:$AG27)&gt;0,'2023年'!$AZ27-SUM('2023年'!AF27:$AG27),0))</f>
        <v>0</v>
      </c>
      <c r="AF27" s="62">
        <f>IF('2023年'!$AZ27&gt;=SUM('2023年'!AF27:$AG27),'2023年'!AF27,IF('2023年'!$AZ27-SUM('2023年'!AG27:$AG27)&gt;0,'2023年'!$AZ27-SUM('2023年'!AG27:$AG27),0))</f>
        <v>0</v>
      </c>
      <c r="AG27" s="62">
        <f>IF('2023年'!$AZ27&gt;=SUM('2023年'!AG27:$AG27),'2023年'!AG27,IF('2023年'!$AZ27-SUM('2023年'!$AG27:AH27)&gt;0,'2023年'!$AZ27-SUM('2023年'!$AG27:AH27),0))</f>
        <v>0</v>
      </c>
      <c r="AH27" s="88"/>
      <c r="AI27" s="79"/>
      <c r="AJ27" s="80"/>
      <c r="AK27" s="86" t="s">
        <v>352</v>
      </c>
      <c r="AL27" s="87"/>
      <c r="AM27" s="83">
        <f>F27</f>
        <v>56104.5</v>
      </c>
      <c r="AN27" s="84"/>
      <c r="AO27" s="84"/>
    </row>
    <row r="28" s="20" customFormat="1" ht="24" customHeight="1" spans="2:41">
      <c r="B28" s="42" t="s">
        <v>81</v>
      </c>
      <c r="C28" s="43" t="str">
        <f>'2023年'!C28</f>
        <v>1944520</v>
      </c>
      <c r="D28" s="43" t="str">
        <f>'2023年'!D28</f>
        <v>中山市华胜汽车部件有限公司</v>
      </c>
      <c r="E28" s="44" t="s">
        <v>222</v>
      </c>
      <c r="F28" s="45">
        <f>SUM(I28:X28)</f>
        <v>92725.32</v>
      </c>
      <c r="G28" s="46">
        <f t="shared" ref="G28:G30" si="15">SUM(I28:V28)</f>
        <v>0</v>
      </c>
      <c r="H28" s="46">
        <f t="shared" si="14"/>
        <v>193535.11</v>
      </c>
      <c r="I28" s="57"/>
      <c r="J28" s="58">
        <f>IF('2023年'!$AZ28&gt;('2023年'!$W28+'2023年'!$V28+SUM('2023年'!F28:$T28)),'2023年'!F28,IF('2023年'!$AZ28-'2023年'!$V28-'2023年'!$W28-SUM('2023年'!G28:$T28)&gt;0,'2023年'!$AZ28-'2023年'!$V28-'2023年'!$W28-SUM('2023年'!G28:$T28),""))</f>
        <v>0</v>
      </c>
      <c r="K28" s="58">
        <f>IF('2023年'!$AZ28&gt;('2023年'!$W28+'2023年'!$V28+SUM('2023年'!G28:$T28)),'2023年'!G28,IF('2023年'!$AZ28-'2023年'!$V28-'2023年'!$W28-SUM('2023年'!H28:$T28)&gt;0,'2023年'!$AZ28-'2023年'!$V28-'2023年'!$W28-SUM('2023年'!H28:$T28),""))</f>
        <v>0</v>
      </c>
      <c r="L28" s="58" t="str">
        <f>IF('2023年'!$AZ28&gt;(SUM('2023年'!$V28:AG28)+SUM('2023年'!H28:$T28)),'2023年'!H28,IF('2023年'!$AZ28-SUM('2023年'!$V28:AG28)-SUM('2023年'!I28:$T28)&gt;0,'2023年'!$AZ28-SUM('2023年'!$V28:AG28)-SUM('2023年'!I28:$T28),""))</f>
        <v/>
      </c>
      <c r="M28" s="58">
        <f>IF('2023年'!$AZ28&gt;('2023年'!$W28+'2023年'!$V28+SUM('2023年'!I28:$T28)),'2023年'!I28,IF('2023年'!$AZ28-'2023年'!$V28-'2023年'!$W28-SUM('2023年'!J28:$T28)&gt;0,'2023年'!$AZ28-'2023年'!$V28-'2023年'!$W28-SUM('2023年'!J28:$T28),""))</f>
        <v>0</v>
      </c>
      <c r="N28" s="58" t="str">
        <f>IF('2023年'!$AZ28&gt;(SUM('2023年'!$V28:AG28)+SUM('2023年'!J28:$T28)),'2023年'!J28,IF('2023年'!$AZ28-SUM('2023年'!$V28:AG28)-SUM('2023年'!K28:$T28)&gt;0,'2023年'!$AZ28-SUM('2023年'!$V28:AG28)-SUM('2023年'!K28:$T28),""))</f>
        <v/>
      </c>
      <c r="O28" s="58">
        <f>IF('2023年'!$AZ28&gt;('2023年'!$W28+'2023年'!$V28+SUM('2023年'!K28:$T28)),'2023年'!K28,IF('2023年'!$AZ28-'2023年'!$V28-'2023年'!$W28-SUM('2023年'!L28:$T28)&gt;0,'2023年'!$AZ28-'2023年'!$V28-'2023年'!$W28-SUM('2023年'!L28:$T28),""))</f>
        <v>0</v>
      </c>
      <c r="P28" s="58">
        <f>IF('2023年'!$AZ28&gt;('2023年'!$W28+'2023年'!$V28+SUM('2023年'!L28:$T28)),'2023年'!L28,IF('2023年'!$AZ28-'2023年'!$V28-'2023年'!$W28-SUM('2023年'!M28:$T28)&gt;0,'2023年'!$AZ28-'2023年'!$V28-'2023年'!$W28-SUM('2023年'!M28:$T28),""))</f>
        <v>0</v>
      </c>
      <c r="Q28" s="58" t="str">
        <f>IF('2023年'!$AZ28&gt;(SUM('2023年'!V28:AG28)+SUM('2023年'!M28:$T28)),'2023年'!M28,IF('2023年'!$AZ28-SUM('2023年'!V28:AG28)-SUM('2023年'!N28:$T28)&gt;0,'2023年'!$AZ28-SUM('2023年'!V28:AG28)-SUM('2023年'!N28:$T28),""))</f>
        <v/>
      </c>
      <c r="R28" s="58" t="str">
        <f>IF('2023年'!$AZ28&gt;(SUM('2023年'!V28:AG28)+SUM('2023年'!N28:$T28)),'2023年'!N28,IF('2023年'!$AZ28-SUM('2023年'!V28:AG28)-SUM('2023年'!O28:$T28)&gt;0,'2023年'!$AZ28-SUM('2023年'!V28:AG28)-SUM('2023年'!O28:$T28),""))</f>
        <v/>
      </c>
      <c r="S28" s="58" t="str">
        <f>IF('2023年'!$AZ28&gt;('2023年'!P28+'2023年'!Q28+'2023年'!S28+'2023年'!T28+SUM('2023年'!V28:AG28))+'2023年'!O28+'2023年'!R28,'2023年'!O28+'2023年'!R28,IF('2023年'!$AZ28-SUM('2023年'!V28:AG28)-'2023年'!T28-'2023年'!S28-'2023年'!P28-'2023年'!Q28&gt;0,'2023年'!$AZ28-SUM('2023年'!V28:AG28)-'2023年'!T28-'2023年'!S28-'2023年'!P28-'2023年'!Q28,""))</f>
        <v/>
      </c>
      <c r="T28" s="58" t="str">
        <f>IF('2023年'!$AZ28&gt;('2023年'!$T28+'2023年'!$Q28+SUM('2023年'!V28:$AG28))+'2023年'!S28+'2023年'!P28,'2023年'!P28+'2023年'!S28,IF('2023年'!$AZ28-SUM('2023年'!V28:$AG28)-'2023年'!T28-'2023年'!Q28&gt;0,'2023年'!$AZ28-SUM('2023年'!V28:X28)-'2023年'!T28-'2023年'!Q28,""))</f>
        <v/>
      </c>
      <c r="U28" s="58" t="str">
        <f>IF('2023年'!$AZ28&gt;(SUM('2023年'!V28:AG28)+'2023年'!T28+'2023年'!Q28),'2023年'!Q28+'2023年'!T28,IF('2023年'!$AZ28-SUM('2023年'!V28:AG28)&gt;0,'2023年'!$AZ28-SUM('2023年'!V28:AG28),""))</f>
        <v/>
      </c>
      <c r="V28" s="61">
        <f>IF('2023年'!$AZ28&gt;=SUM('2023年'!V28:$AG28),'2023年'!V28,IF('2023年'!$AZ28-SUM('2023年'!W28:$AG28)&gt;0,'2023年'!$AZ28-SUM('2023年'!W28:$AG28),0))</f>
        <v>0</v>
      </c>
      <c r="W28" s="61">
        <f>IF('2023年'!$AZ28&gt;=SUM('2023年'!W28:$AG28),'2023年'!W28,IF('2023年'!$AZ28-SUM('2023年'!X28:$AG28)&gt;0,'2023年'!$AZ28-SUM('2023年'!X28:$AG28),0))</f>
        <v>38483.28</v>
      </c>
      <c r="X28" s="61">
        <f>IF('2023年'!$AZ28&gt;=SUM('2023年'!X28:$AG28),'2023年'!X28,IF('2023年'!$AZ28-SUM('2023年'!Y28:$AG28)&gt;0,'2023年'!$AZ28-SUM('2023年'!Y28:$AG28),0))</f>
        <v>54242.04</v>
      </c>
      <c r="Y28" s="62">
        <f>IF('2023年'!$AZ28&gt;=SUM('2023年'!Y28:$AG28),'2023年'!Y28,IF('2023年'!$AZ28-SUM('2023年'!Z28:$AG28)&gt;0,'2023年'!$AZ28-SUM('2023年'!Z28:$AG28),0))</f>
        <v>24883.28</v>
      </c>
      <c r="Z28" s="62">
        <f>IF('2023年'!$AZ28&gt;=SUM('2023年'!Z28:$AG28),'2023年'!Z28,IF('2023年'!$AZ28-SUM('2023年'!AA28:$AG28)&gt;0,'2023年'!$AZ28-SUM('2023年'!AA28:$AG28),0))</f>
        <v>75926.51</v>
      </c>
      <c r="AA28" s="62">
        <f>IF('2023年'!$AZ28&gt;=SUM('2023年'!AA28:$AG28),'2023年'!AA28,IF('2023年'!$AZ28-SUM('2023年'!AB28:$AG28)&gt;0,'2023年'!$AZ28-SUM('2023年'!AB28:$AG28),0))</f>
        <v>0</v>
      </c>
      <c r="AB28" s="62">
        <f>IF('2023年'!$AZ28&gt;=SUM('2023年'!AB28:$AG28),'2023年'!AB28,IF('2023年'!$AZ28-SUM('2023年'!AC28:$AG28)&gt;0,'2023年'!$AZ28-SUM('2023年'!AC28:$AG28),0))</f>
        <v>0</v>
      </c>
      <c r="AC28" s="62">
        <f>IF('2023年'!$AZ28&gt;=SUM('2023年'!AC28:$AG28),'2023年'!AC28,IF('2023年'!$AZ28-SUM('2023年'!AD28:$AG28)&gt;0,'2023年'!$AZ28-SUM('2023年'!AD28:$AG28),0))</f>
        <v>0</v>
      </c>
      <c r="AD28" s="62">
        <f>IF('2023年'!$AZ28&gt;=SUM('2023年'!AD28:$AG28),'2023年'!AD28,IF('2023年'!$AZ28-SUM('2023年'!AE28:$AG28)&gt;0,'2023年'!$AZ28-SUM('2023年'!AE28:$AG28),0))</f>
        <v>0</v>
      </c>
      <c r="AE28" s="62">
        <f>IF('2023年'!$AZ28&gt;=SUM('2023年'!AE28:$AG28),'2023年'!AE28,IF('2023年'!$AZ28-SUM('2023年'!AF28:$AG28)&gt;0,'2023年'!$AZ28-SUM('2023年'!AF28:$AG28),0))</f>
        <v>0</v>
      </c>
      <c r="AF28" s="62">
        <f>IF('2023年'!$AZ28&gt;=SUM('2023年'!AF28:$AG28),'2023年'!AF28,IF('2023年'!$AZ28-SUM('2023年'!AG28:$AG28)&gt;0,'2023年'!$AZ28-SUM('2023年'!AG28:$AG28),0))</f>
        <v>0</v>
      </c>
      <c r="AG28" s="62">
        <f>IF('2023年'!$AZ28&gt;=SUM('2023年'!AG28:$AG28),'2023年'!AG28,IF('2023年'!$AZ28-SUM('2023年'!$AG28:AH28)&gt;0,'2023年'!$AZ28-SUM('2023年'!$AG28:AH28),0))</f>
        <v>0</v>
      </c>
      <c r="AH28" s="78" t="s">
        <v>77</v>
      </c>
      <c r="AI28" s="79"/>
      <c r="AJ28" s="80" t="s">
        <v>346</v>
      </c>
      <c r="AK28" s="81" t="s">
        <v>367</v>
      </c>
      <c r="AL28" s="82"/>
      <c r="AM28" s="89"/>
      <c r="AN28" s="83">
        <v>50000</v>
      </c>
      <c r="AO28" s="84"/>
    </row>
    <row r="29" s="20" customFormat="1" ht="24" customHeight="1" spans="2:41">
      <c r="B29" s="42" t="s">
        <v>81</v>
      </c>
      <c r="C29" s="43">
        <f>'2023年'!C29</f>
        <v>0</v>
      </c>
      <c r="D29" s="43" t="str">
        <f>'2023年'!D29</f>
        <v>泉州市福兴塑料五金有限公司</v>
      </c>
      <c r="E29" s="47" t="s">
        <v>222</v>
      </c>
      <c r="F29" s="45">
        <f t="shared" ref="F28:F34" si="16">SUM(I29:X29)</f>
        <v>164821.8</v>
      </c>
      <c r="G29" s="46">
        <f t="shared" si="15"/>
        <v>0</v>
      </c>
      <c r="H29" s="46">
        <f t="shared" si="14"/>
        <v>298845.45</v>
      </c>
      <c r="I29" s="57"/>
      <c r="J29" s="58" t="str">
        <f>IF('2023年'!$AZ29&gt;('2023年'!$W29+'2023年'!$V29+SUM('2023年'!F29:$T29)),'2023年'!F29,IF('2023年'!$AZ29-'2023年'!$V29-'2023年'!$W29-SUM('2023年'!G29:$T29)&gt;0,'2023年'!$AZ29-'2023年'!$V29-'2023年'!$W29-SUM('2023年'!G29:$T29),""))</f>
        <v/>
      </c>
      <c r="K29" s="58" t="str">
        <f>IF('2023年'!$AZ29&gt;('2023年'!$W29+'2023年'!$V29+SUM('2023年'!G29:$T29)),'2023年'!G29,IF('2023年'!$AZ29-'2023年'!$V29-'2023年'!$W29-SUM('2023年'!H29:$T29)&gt;0,'2023年'!$AZ29-'2023年'!$V29-'2023年'!$W29-SUM('2023年'!H29:$T29),""))</f>
        <v/>
      </c>
      <c r="L29" s="58" t="str">
        <f>IF('2023年'!$AZ29&gt;(SUM('2023年'!$V29:AG29)+SUM('2023年'!H29:$T29)),'2023年'!H29,IF('2023年'!$AZ29-SUM('2023年'!$V29:AG29)-SUM('2023年'!I29:$T29)&gt;0,'2023年'!$AZ29-SUM('2023年'!$V29:AG29)-SUM('2023年'!I29:$T29),""))</f>
        <v/>
      </c>
      <c r="M29" s="58" t="str">
        <f>IF('2023年'!$AZ29&gt;('2023年'!$W29+'2023年'!$V29+SUM('2023年'!I29:$T29)),'2023年'!I29,IF('2023年'!$AZ29-'2023年'!$V29-'2023年'!$W29-SUM('2023年'!J29:$T29)&gt;0,'2023年'!$AZ29-'2023年'!$V29-'2023年'!$W29-SUM('2023年'!J29:$T29),""))</f>
        <v/>
      </c>
      <c r="N29" s="58" t="str">
        <f>IF('2023年'!$AZ29&gt;(SUM('2023年'!$V29:AG29)+SUM('2023年'!J29:$T29)),'2023年'!J29,IF('2023年'!$AZ29-SUM('2023年'!$V29:AG29)-SUM('2023年'!K29:$T29)&gt;0,'2023年'!$AZ29-SUM('2023年'!$V29:AG29)-SUM('2023年'!K29:$T29),""))</f>
        <v/>
      </c>
      <c r="O29" s="58" t="str">
        <f>IF('2023年'!$AZ29&gt;(SUM('2023年'!$V29:AG29)+SUM('2023年'!K29:$T29)),'2023年'!K29,IF('2023年'!$AZ29-SUM('2023年'!$V29:AG29)-SUM('2023年'!L29:$T29)&gt;0,'2023年'!$AZ29-SUM('2023年'!$V29:AG29)-SUM('2023年'!L29:$T29),""))</f>
        <v/>
      </c>
      <c r="P29" s="58" t="str">
        <f>IF('2023年'!$AZ29&gt;(SUM(V29:AG29)+SUM('2023年'!L29:$T29)),'2023年'!L29,IF('2023年'!$AZ29-SUM(V29:AG29)-SUM('2023年'!M29:$T29)&gt;0,'2023年'!$AZ29-SUM(V29:AG29)-SUM('2023年'!M29:$T29),""))</f>
        <v/>
      </c>
      <c r="Q29" s="58" t="str">
        <f>IF('2023年'!$AZ29&gt;(SUM('2023年'!V29:AG29)+SUM('2023年'!M29:$T29)),'2023年'!M29,IF('2023年'!$AZ29-SUM('2023年'!V29:AG29)-SUM('2023年'!N29:$T29)&gt;0,'2023年'!$AZ29-SUM('2023年'!V29:AG29)-SUM('2023年'!N29:$T29),""))</f>
        <v/>
      </c>
      <c r="R29" s="58" t="str">
        <f>IF('2023年'!$AZ29&gt;(SUM('2023年'!V29:AG29)+SUM('2023年'!N29:$T29)),'2023年'!N29,IF('2023年'!$AZ29-SUM('2023年'!V29:AG29)-SUM('2023年'!O29:$T29)&gt;0,'2023年'!$AZ29-SUM('2023年'!V29:AG29)-SUM('2023年'!O29:$T29),""))</f>
        <v/>
      </c>
      <c r="S29" s="58" t="str">
        <f>IF('2023年'!$AZ29&gt;('2023年'!P29+'2023年'!Q29+'2023年'!S29+'2023年'!T29+SUM('2023年'!V29:AG29))+'2023年'!O29+'2023年'!R29,'2023年'!O29+'2023年'!R29,IF('2023年'!$AZ29-SUM('2023年'!V29:AG29)-'2023年'!T29-'2023年'!S29-'2023年'!P29-'2023年'!Q29&gt;0,'2023年'!$AZ29-SUM('2023年'!V29:AG29)-'2023年'!T29-'2023年'!S29-'2023年'!P29-'2023年'!Q29,""))</f>
        <v/>
      </c>
      <c r="T29" s="58" t="str">
        <f>IF('2023年'!$AZ29&gt;('2023年'!$T29+'2023年'!$Q29+SUM('2023年'!V29:$AG29))+'2023年'!S29+'2023年'!P29,'2023年'!P29+'2023年'!S29,IF('2023年'!$AZ29-SUM('2023年'!V29:$AG29)-'2023年'!T29-'2023年'!Q29&gt;0,'2023年'!$AZ29-SUM('2023年'!V29:$AG29)-'2023年'!T29-'2023年'!Q29,""))</f>
        <v/>
      </c>
      <c r="U29" s="58"/>
      <c r="V29" s="61">
        <f>IF('2023年'!$AZ29&gt;=SUM('2023年'!V29:$AG29),'2023年'!V29,IF('2023年'!$AZ29-SUM('2023年'!W29:$AG29)&gt;0,'2023年'!$AZ29-SUM('2023年'!W29:$AG29),0))</f>
        <v>0</v>
      </c>
      <c r="W29" s="61">
        <f>IF('2023年'!$AZ29&gt;=SUM('2023年'!W29:$AG29),'2023年'!W29,IF('2023年'!$AZ29-SUM('2023年'!X29:$AG29)&gt;0,'2023年'!$AZ29-SUM('2023年'!X29:$AG29),0))</f>
        <v>0</v>
      </c>
      <c r="X29" s="61">
        <f>IF('2023年'!$AZ29&gt;=SUM('2023年'!X29:$AG29),'2023年'!X29,IF('2023年'!$AZ29-SUM('2023年'!Y29:$AG29)&gt;0,'2023年'!$AZ29-SUM('2023年'!Y29:$AG29),0))</f>
        <v>164821.8</v>
      </c>
      <c r="Y29" s="62">
        <f>IF('2023年'!$AZ29&gt;=SUM('2023年'!Y29:$AG29),'2023年'!Y29,IF('2023年'!$AZ29-SUM('2023年'!Z29:$AG29)&gt;0,'2023年'!$AZ29-SUM('2023年'!Z29:$AG29),0))</f>
        <v>134023.65</v>
      </c>
      <c r="Z29" s="62">
        <f>IF('2023年'!$AZ29&gt;=SUM('2023年'!Z29:$AG29),'2023年'!Z29,IF('2023年'!$AZ29-SUM('2023年'!AA29:$AG29)&gt;0,'2023年'!$AZ29-SUM('2023年'!AA29:$AG29),0))</f>
        <v>0</v>
      </c>
      <c r="AA29" s="62">
        <f>IF('2023年'!$AZ29&gt;=SUM('2023年'!AA29:$AG29),'2023年'!AA29,IF('2023年'!$AZ29-SUM('2023年'!AB29:$AG29)&gt;0,'2023年'!$AZ29-SUM('2023年'!AB29:$AG29),0))</f>
        <v>0</v>
      </c>
      <c r="AB29" s="62">
        <f>IF('2023年'!$AZ29&gt;=SUM('2023年'!AB29:$AG29),'2023年'!AB29,IF('2023年'!$AZ29-SUM('2023年'!AC29:$AG29)&gt;0,'2023年'!$AZ29-SUM('2023年'!AC29:$AG29),0))</f>
        <v>0</v>
      </c>
      <c r="AC29" s="62">
        <f>IF('2023年'!$AZ29&gt;=SUM('2023年'!AC29:$AG29),'2023年'!AC29,IF('2023年'!$AZ29-SUM('2023年'!AD29:$AG29)&gt;0,'2023年'!$AZ29-SUM('2023年'!AD29:$AG29),0))</f>
        <v>0</v>
      </c>
      <c r="AD29" s="62">
        <f>IF('2023年'!$AZ29&gt;=SUM('2023年'!AD29:$AG29),'2023年'!AD29,IF('2023年'!$AZ29-SUM('2023年'!AE29:$AG29)&gt;0,'2023年'!$AZ29-SUM('2023年'!AE29:$AG29),0))</f>
        <v>0</v>
      </c>
      <c r="AE29" s="62">
        <f>IF('2023年'!$AZ29&gt;=SUM('2023年'!AE29:$AG29),'2023年'!AE29,IF('2023年'!$AZ29-SUM('2023年'!AF29:$AG29)&gt;0,'2023年'!$AZ29-SUM('2023年'!AF29:$AG29),0))</f>
        <v>0</v>
      </c>
      <c r="AF29" s="62">
        <f>IF('2023年'!$AZ29&gt;=SUM('2023年'!AF29:$AG29),'2023年'!AF29,IF('2023年'!$AZ29-SUM('2023年'!AG29:$AG29)&gt;0,'2023年'!$AZ29-SUM('2023年'!AG29:$AG29),0))</f>
        <v>0</v>
      </c>
      <c r="AG29" s="62">
        <f>IF('2023年'!$AZ29&gt;=SUM('2023年'!AG29:$AG29),'2023年'!AG29,IF('2023年'!$AZ29-SUM('2023年'!$AG29:AH29)&gt;0,'2023年'!$AZ29-SUM('2023年'!$AG29:AH29),0))</f>
        <v>0</v>
      </c>
      <c r="AH29" s="78" t="s">
        <v>77</v>
      </c>
      <c r="AI29" s="79"/>
      <c r="AJ29" s="80">
        <v>0</v>
      </c>
      <c r="AK29" s="86" t="s">
        <v>368</v>
      </c>
      <c r="AL29" s="87"/>
      <c r="AM29" s="83"/>
      <c r="AN29" s="84"/>
      <c r="AO29" s="84">
        <v>50000</v>
      </c>
    </row>
    <row r="30" s="20" customFormat="1" ht="24" hidden="1" customHeight="1" spans="2:41">
      <c r="B30" s="42" t="s">
        <v>81</v>
      </c>
      <c r="C30" s="43">
        <f>'2023年'!C30</f>
        <v>0</v>
      </c>
      <c r="D30" s="43" t="str">
        <f>'2023年'!D30</f>
        <v>西安光华荣昌汽车部件有限公司</v>
      </c>
      <c r="E30" s="47" t="s">
        <v>222</v>
      </c>
      <c r="F30" s="45">
        <f t="shared" si="16"/>
        <v>176897.18</v>
      </c>
      <c r="G30" s="46">
        <f t="shared" si="15"/>
        <v>13795.87</v>
      </c>
      <c r="H30" s="46">
        <f t="shared" si="14"/>
        <v>216958.61</v>
      </c>
      <c r="I30" s="57"/>
      <c r="J30" s="58" t="str">
        <f>IF('2023年'!$AZ30&gt;('2023年'!$W30+'2023年'!$V30+SUM('2023年'!F30:$T30)),'2023年'!F30,IF('2023年'!$AZ30-'2023年'!$V30-'2023年'!$W30-SUM('2023年'!G30:$T30)&gt;0,'2023年'!$AZ30-'2023年'!$V30-'2023年'!$W30-SUM('2023年'!G30:$T30),""))</f>
        <v/>
      </c>
      <c r="K30" s="58" t="str">
        <f>IF('2023年'!$AZ30&gt;('2023年'!$W30+'2023年'!$V30+SUM('2023年'!G30:$T30)),'2023年'!G30,IF('2023年'!$AZ30-'2023年'!$V30-'2023年'!$W30-SUM('2023年'!H30:$T30)&gt;0,'2023年'!$AZ30-'2023年'!$V30-'2023年'!$W30-SUM('2023年'!H30:$T30),""))</f>
        <v/>
      </c>
      <c r="L30" s="58" t="str">
        <f>IF('2023年'!$AZ30&gt;(SUM('2023年'!$V30:AG30)+SUM('2023年'!H30:$T30)),'2023年'!H30,IF('2023年'!$AZ30-SUM('2023年'!$V30:AG30)-SUM('2023年'!I30:$T30)&gt;0,'2023年'!$AZ30-SUM('2023年'!$V30:AG30)-SUM('2023年'!I30:$T30),""))</f>
        <v/>
      </c>
      <c r="M30" s="58" t="str">
        <f>IF('2023年'!$AZ30&gt;('2023年'!$W30+'2023年'!$V30+SUM('2023年'!I30:$T30)),'2023年'!I30,IF('2023年'!$AZ30-'2023年'!$V30-'2023年'!$W30-SUM('2023年'!J30:$T30)&gt;0,'2023年'!$AZ30-'2023年'!$V30-'2023年'!$W30-SUM('2023年'!J30:$T30),""))</f>
        <v/>
      </c>
      <c r="N30" s="58" t="str">
        <f>IF('2023年'!$AZ30&gt;(SUM('2023年'!$V30:AG30)+SUM('2023年'!J30:$T30)),'2023年'!J30,IF('2023年'!$AZ30-SUM('2023年'!$V30:AG30)-SUM('2023年'!K30:$T30)&gt;0,'2023年'!$AZ30-SUM('2023年'!$V30:AG30)-SUM('2023年'!K30:$T30),""))</f>
        <v/>
      </c>
      <c r="O30" s="58" t="str">
        <f>IF('2023年'!$AZ30&gt;('2023年'!$W30+'2023年'!$V30+SUM('2023年'!K30:$T30)),'2023年'!K30,IF('2023年'!$AZ30-'2023年'!$V30-'2023年'!$W30-SUM('2023年'!L30:$T30)&gt;0,'2023年'!$AZ30-'2023年'!$V30-'2023年'!$W30-SUM('2023年'!L30:$T30),""))</f>
        <v/>
      </c>
      <c r="P30" s="58" t="str">
        <f>IF('2023年'!$AZ30&gt;('2023年'!$W30+'2023年'!$V30+SUM('2023年'!L30:$T30)),'2023年'!L30,IF('2023年'!$AZ30-'2023年'!$V30-'2023年'!$W30-SUM('2023年'!M30:$T30)&gt;0,'2023年'!$AZ30-'2023年'!$V30-'2023年'!$W30-SUM('2023年'!M30:$T30),""))</f>
        <v/>
      </c>
      <c r="Q30" s="58" t="str">
        <f>IF('2023年'!$AZ30&gt;(SUM('2023年'!V30:AG30)+SUM('2023年'!M30:$T30)),'2023年'!M30,IF('2023年'!$AZ30-SUM('2023年'!V30:AG30)-SUM('2023年'!N30:$T30)&gt;0,'2023年'!$AZ30-SUM('2023年'!V30:AG30)-SUM('2023年'!N30:$T30),""))</f>
        <v/>
      </c>
      <c r="R30" s="58" t="str">
        <f>IF('2023年'!$AZ30&gt;(SUM('2023年'!V30:AG30)+SUM('2023年'!N30:$T30)),'2023年'!N30,IF('2023年'!$AZ30-SUM('2023年'!V30:AG30)-SUM('2023年'!O30:$T30)&gt;0,'2023年'!$AZ30-SUM('2023年'!V30:AG30)-SUM('2023年'!O30:$T30),""))</f>
        <v/>
      </c>
      <c r="S30" s="58" t="str">
        <f>IF('2023年'!$AZ30&gt;('2023年'!P30+'2023年'!Q30+'2023年'!S30+'2023年'!T30+SUM('2023年'!V30:AG30))+'2023年'!O30+'2023年'!R30,'2023年'!O30+'2023年'!R30,IF('2023年'!$AZ30-SUM('2023年'!V30:AG30)-'2023年'!T30-'2023年'!S30-'2023年'!P30-'2023年'!Q30&gt;0,'2023年'!$AZ30-SUM('2023年'!V30:AG30)-'2023年'!T30-'2023年'!S30-'2023年'!P30-'2023年'!Q30,""))</f>
        <v/>
      </c>
      <c r="T30" s="58" t="str">
        <f>IF('2023年'!$AZ30&gt;('2023年'!$T30+'2023年'!$Q30+SUM('2023年'!V30:$AG30))+'2023年'!S30+'2023年'!P30,'2023年'!P30+'2023年'!S30,IF('2023年'!$AZ30-SUM('2023年'!V30:$AG30)-'2023年'!T30-'2023年'!Q30&gt;0,'2023年'!$AZ30-SUM('2023年'!V30:X30)-'2023年'!T30-'2023年'!Q30,""))</f>
        <v/>
      </c>
      <c r="U30" s="58" t="str">
        <f>IF('2023年'!$AZ30&gt;(SUM('2023年'!V30:AG30)+'2023年'!T30+'2023年'!Q30),'2023年'!Q30+'2023年'!T30,IF('2023年'!$AZ30-SUM('2023年'!V30:AG30)&gt;0,'2023年'!$AZ30-SUM('2023年'!V30:AG30),""))</f>
        <v/>
      </c>
      <c r="V30" s="61">
        <f>IF('2023年'!$AZ30&gt;=SUM('2023年'!V30:$AG30),'2023年'!V30,IF('2023年'!$AZ30-SUM('2023年'!W30:$AG30)&gt;0,'2023年'!$AZ30-SUM('2023年'!W30:$AG30),0))</f>
        <v>13795.87</v>
      </c>
      <c r="W30" s="61">
        <f>IF('2023年'!$AZ30&gt;=SUM('2023年'!W30:$AG30),'2023年'!W30,IF('2023年'!$AZ30-SUM('2023年'!X30:$AG30)&gt;0,'2023年'!$AZ30-SUM('2023年'!X30:$AG30),0))</f>
        <v>4554.35</v>
      </c>
      <c r="X30" s="61">
        <f>IF('2023年'!$AZ30&gt;=SUM('2023年'!X30:$AG30),'2023年'!X30,IF('2023年'!$AZ30-SUM('2023年'!Y30:$AG30)&gt;0,'2023年'!$AZ30-SUM('2023年'!Y30:$AG30),0))</f>
        <v>158546.96</v>
      </c>
      <c r="Y30" s="62">
        <f>IF('2023年'!$AZ30&gt;=SUM('2023年'!Y30:$AG30),'2023年'!Y30,IF('2023年'!$AZ30-SUM('2023年'!Z30:$AG30)&gt;0,'2023年'!$AZ30-SUM('2023年'!Z30:$AG30),0))</f>
        <v>40061.43</v>
      </c>
      <c r="Z30" s="62">
        <f>IF('2023年'!$AZ30&gt;=SUM('2023年'!Z30:$AG30),'2023年'!Z30,IF('2023年'!$AZ30-SUM('2023年'!AA30:$AG30)&gt;0,'2023年'!$AZ30-SUM('2023年'!AA30:$AG30),0))</f>
        <v>0</v>
      </c>
      <c r="AA30" s="62">
        <f>IF('2023年'!$AZ30&gt;=SUM('2023年'!AA30:$AG30),'2023年'!AA30,IF('2023年'!$AZ30-SUM('2023年'!AB30:$AG30)&gt;0,'2023年'!$AZ30-SUM('2023年'!AB30:$AG30),0))</f>
        <v>0</v>
      </c>
      <c r="AB30" s="62">
        <f>IF('2023年'!$AZ30&gt;=SUM('2023年'!AB30:$AG30),'2023年'!AB30,IF('2023年'!$AZ30-SUM('2023年'!AC30:$AG30)&gt;0,'2023年'!$AZ30-SUM('2023年'!AC30:$AG30),0))</f>
        <v>0</v>
      </c>
      <c r="AC30" s="62">
        <f>IF('2023年'!$AZ30&gt;=SUM('2023年'!AC30:$AG30),'2023年'!AC30,IF('2023年'!$AZ30-SUM('2023年'!AD30:$AG30)&gt;0,'2023年'!$AZ30-SUM('2023年'!AD30:$AG30),0))</f>
        <v>0</v>
      </c>
      <c r="AD30" s="62">
        <f>IF('2023年'!$AZ30&gt;=SUM('2023年'!AD30:$AG30),'2023年'!AD30,IF('2023年'!$AZ30-SUM('2023年'!AE30:$AG30)&gt;0,'2023年'!$AZ30-SUM('2023年'!AE30:$AG30),0))</f>
        <v>0</v>
      </c>
      <c r="AE30" s="62">
        <f>IF('2023年'!$AZ30&gt;=SUM('2023年'!AE30:$AG30),'2023年'!AE30,IF('2023年'!$AZ30-SUM('2023年'!AF30:$AG30)&gt;0,'2023年'!$AZ30-SUM('2023年'!AF30:$AG30),0))</f>
        <v>0</v>
      </c>
      <c r="AF30" s="62">
        <f>IF('2023年'!$AZ30&gt;=SUM('2023年'!AF30:$AG30),'2023年'!AF30,IF('2023年'!$AZ30-SUM('2023年'!AG30:$AG30)&gt;0,'2023年'!$AZ30-SUM('2023年'!AG30:$AG30),0))</f>
        <v>0</v>
      </c>
      <c r="AG30" s="62">
        <f>IF('2023年'!$AZ30&gt;=SUM('2023年'!AG30:$AG30),'2023年'!AG30,IF('2023年'!$AZ30-SUM('2023年'!$AG30:AH30)&gt;0,'2023年'!$AZ30-SUM('2023年'!$AG30:AH30),0))</f>
        <v>0</v>
      </c>
      <c r="AH30" s="88"/>
      <c r="AI30" s="79"/>
      <c r="AJ30" s="80"/>
      <c r="AK30" s="86" t="s">
        <v>369</v>
      </c>
      <c r="AL30" s="87"/>
      <c r="AM30" s="83"/>
      <c r="AN30" s="84"/>
      <c r="AO30" s="84"/>
    </row>
    <row r="31" s="20" customFormat="1" ht="24" hidden="1" customHeight="1" spans="2:41">
      <c r="B31" s="42" t="s">
        <v>81</v>
      </c>
      <c r="C31" s="43">
        <f>'2023年'!C31</f>
        <v>0</v>
      </c>
      <c r="D31" s="43" t="str">
        <f>'2023年'!D31</f>
        <v>西安海容塑料制品有限责任公司</v>
      </c>
      <c r="E31" s="47">
        <v>90</v>
      </c>
      <c r="F31" s="45">
        <f t="shared" si="16"/>
        <v>0</v>
      </c>
      <c r="G31" s="46">
        <f>SUM(I31:T31)</f>
        <v>0</v>
      </c>
      <c r="H31" s="46">
        <f t="shared" si="14"/>
        <v>25683.29</v>
      </c>
      <c r="I31" s="57"/>
      <c r="J31" s="58" t="str">
        <f>IF('2023年'!$AZ31&gt;('2023年'!$W31+'2023年'!$V31+SUM('2023年'!F31:$T31)),'2023年'!F31,IF('2023年'!$AZ31-'2023年'!$V31-'2023年'!$W31-SUM('2023年'!G31:$T31)&gt;0,'2023年'!$AZ31-'2023年'!$V31-'2023年'!$W31-SUM('2023年'!G31:$T31),""))</f>
        <v/>
      </c>
      <c r="K31" s="58" t="str">
        <f>IF('2023年'!$AZ31&gt;('2023年'!$W31+'2023年'!$V31+SUM('2023年'!G31:$T31)),'2023年'!G31,IF('2023年'!$AZ31-'2023年'!$V31-'2023年'!$W31-SUM('2023年'!H31:$T31)&gt;0,'2023年'!$AZ31-'2023年'!$V31-'2023年'!$W31-SUM('2023年'!H31:$T31),""))</f>
        <v/>
      </c>
      <c r="L31" s="58" t="str">
        <f>IF('2023年'!$AZ31&gt;(SUM('2023年'!$V31:AG31)+SUM('2023年'!H31:$T31)),'2023年'!H31,IF('2023年'!$AZ31-SUM('2023年'!$V31:AG31)-SUM('2023年'!I31:$T31)&gt;0,'2023年'!$AZ31-SUM('2023年'!$V31:AG31)-SUM('2023年'!I31:$T31),""))</f>
        <v/>
      </c>
      <c r="M31" s="58" t="str">
        <f>IF('2023年'!$AZ31&gt;('2023年'!$W31+'2023年'!$V31+SUM('2023年'!I31:$T31)),'2023年'!I31,IF('2023年'!$AZ31-'2023年'!$V31-'2023年'!$W31-SUM('2023年'!J31:$T31)&gt;0,'2023年'!$AZ31-'2023年'!$V31-'2023年'!$W31-SUM('2023年'!J31:$T31),""))</f>
        <v/>
      </c>
      <c r="N31" s="58" t="str">
        <f>IF('2023年'!$AZ31&gt;(SUM('2023年'!$V31:AG31)+SUM('2023年'!J31:$T31)),'2023年'!J31,IF('2023年'!$AZ31-SUM('2023年'!$V31:AG31)-SUM('2023年'!K31:$T31)&gt;0,'2023年'!$AZ31-SUM('2023年'!$V31:AG31)-SUM('2023年'!K31:$T31),""))</f>
        <v/>
      </c>
      <c r="O31" s="58" t="str">
        <f>IF('2023年'!$AZ31&gt;('2023年'!$W31+'2023年'!$V31+SUM('2023年'!K31:$T31)),'2023年'!K31,IF('2023年'!$AZ31-'2023年'!$V31-'2023年'!$W31-SUM('2023年'!L31:$T31)&gt;0,'2023年'!$AZ31-'2023年'!$V31-'2023年'!$W31-SUM('2023年'!L31:$T31),""))</f>
        <v/>
      </c>
      <c r="P31" s="58" t="str">
        <f>IF('2023年'!$AZ31&gt;('2023年'!$W31+'2023年'!$V31+SUM('2023年'!L31:$T31)),'2023年'!L31,IF('2023年'!$AZ31-'2023年'!$V31-'2023年'!$W31-SUM('2023年'!M31:$T31)&gt;0,'2023年'!$AZ31-'2023年'!$V31-'2023年'!$W31-SUM('2023年'!M31:$T31),""))</f>
        <v/>
      </c>
      <c r="Q31" s="58" t="str">
        <f>IF('2023年'!$AZ31&gt;(SUM('2023年'!V31:AG31)+SUM('2023年'!M31:$T31)),'2023年'!M31,IF('2023年'!$AZ31-SUM('2023年'!V31:AG31)-SUM('2023年'!N31:$T31)&gt;0,'2023年'!$AZ31-SUM('2023年'!V31:AG31)-SUM('2023年'!N31:$T31),""))</f>
        <v/>
      </c>
      <c r="R31" s="58" t="str">
        <f>IF('2023年'!$AZ31&gt;(SUM('2023年'!V31:AG31)+SUM('2023年'!N31:$T31)),'2023年'!N31,IF('2023年'!$AZ31-SUM('2023年'!V31:AG31)-SUM('2023年'!O31:$T31)&gt;0,'2023年'!$AZ31-SUM('2023年'!V31:AG31)-SUM('2023年'!O31:$T31),""))</f>
        <v/>
      </c>
      <c r="S31" s="58" t="str">
        <f>IF('2023年'!$AZ31&gt;('2023年'!P31+'2023年'!Q31+'2023年'!S31+'2023年'!T31+SUM('2023年'!V31:AG31))+'2023年'!O31+'2023年'!R31,'2023年'!O31+'2023年'!R31,IF('2023年'!$AZ31-SUM('2023年'!V31:AG31)-'2023年'!T31-'2023年'!S31-'2023年'!P31-'2023年'!Q31&gt;0,'2023年'!$AZ31-SUM('2023年'!V31:AG31)-'2023年'!T31-'2023年'!S31-'2023年'!P31-'2023年'!Q31,""))</f>
        <v/>
      </c>
      <c r="T31" s="58" t="str">
        <f>IF('2023年'!$AZ31&gt;('2023年'!$T31+'2023年'!$Q31+SUM('2023年'!V31:$AG31))+'2023年'!S31+'2023年'!P31,'2023年'!P31+'2023年'!S31,IF('2023年'!$AZ31-SUM('2023年'!V31:$AG31)-'2023年'!T31-'2023年'!Q31&gt;0,'2023年'!$AZ31-SUM('2023年'!V31:X31)-'2023年'!T31-'2023年'!Q31,""))</f>
        <v/>
      </c>
      <c r="U31" s="58" t="str">
        <f>IF('2023年'!$AZ31&gt;(SUM('2023年'!V31:AG31)+'2023年'!T31+'2023年'!Q31),'2023年'!Q31+'2023年'!T31,IF('2023年'!$AZ31-SUM('2023年'!V31:AG31)&gt;0,'2023年'!$AZ31-SUM('2023年'!V31:AG31),""))</f>
        <v/>
      </c>
      <c r="V31" s="61">
        <f>IF('2023年'!$AZ31&gt;=SUM('2023年'!V31:$AG31),'2023年'!V31,IF('2023年'!$AZ31-SUM('2023年'!W31:$AG31)&gt;0,'2023年'!$AZ31-SUM('2023年'!W31:$AG31),0))</f>
        <v>0</v>
      </c>
      <c r="W31" s="61">
        <f>IF('2023年'!$AZ31&gt;=SUM('2023年'!W31:$AG31),'2023年'!W31,IF('2023年'!$AZ31-SUM('2023年'!X31:$AG31)&gt;0,'2023年'!$AZ31-SUM('2023年'!X31:$AG31),0))</f>
        <v>0</v>
      </c>
      <c r="X31" s="61">
        <f>IF('2023年'!$AZ31&gt;=SUM('2023年'!X31:$AG31),'2023年'!X31,IF('2023年'!$AZ31-SUM('2023年'!Y31:$AG31)&gt;0,'2023年'!$AZ31-SUM('2023年'!Y31:$AG31),0))</f>
        <v>0</v>
      </c>
      <c r="Y31" s="62">
        <f>IF('2023年'!$AZ31&gt;=SUM('2023年'!Y31:$AG31),'2023年'!Y31,IF('2023年'!$AZ31-SUM('2023年'!Z31:$AG31)&gt;0,'2023年'!$AZ31-SUM('2023年'!Z31:$AG31),0))</f>
        <v>9155.89</v>
      </c>
      <c r="Z31" s="62">
        <f>IF('2023年'!$AZ31&gt;=SUM('2023年'!Z31:$AG31),'2023年'!Z31,IF('2023年'!$AZ31-SUM('2023年'!AA31:$AG31)&gt;0,'2023年'!$AZ31-SUM('2023年'!AA31:$AG31),0))</f>
        <v>16527.4</v>
      </c>
      <c r="AA31" s="62">
        <f>IF('2023年'!$AZ31&gt;=SUM('2023年'!AA31:$AG31),'2023年'!AA31,IF('2023年'!$AZ31-SUM('2023年'!AB31:$AG31)&gt;0,'2023年'!$AZ31-SUM('2023年'!AB31:$AG31),0))</f>
        <v>0</v>
      </c>
      <c r="AB31" s="62">
        <f>IF('2023年'!$AZ31&gt;=SUM('2023年'!AB31:$AG31),'2023年'!AB31,IF('2023年'!$AZ31-SUM('2023年'!AC31:$AG31)&gt;0,'2023年'!$AZ31-SUM('2023年'!AC31:$AG31),0))</f>
        <v>0</v>
      </c>
      <c r="AC31" s="62">
        <f>IF('2023年'!$AZ31&gt;=SUM('2023年'!AC31:$AG31),'2023年'!AC31,IF('2023年'!$AZ31-SUM('2023年'!AD31:$AG31)&gt;0,'2023年'!$AZ31-SUM('2023年'!AD31:$AG31),0))</f>
        <v>0</v>
      </c>
      <c r="AD31" s="62">
        <f>IF('2023年'!$AZ31&gt;=SUM('2023年'!AD31:$AG31),'2023年'!AD31,IF('2023年'!$AZ31-SUM('2023年'!AE31:$AG31)&gt;0,'2023年'!$AZ31-SUM('2023年'!AE31:$AG31),0))</f>
        <v>0</v>
      </c>
      <c r="AE31" s="62">
        <f>IF('2023年'!$AZ31&gt;=SUM('2023年'!AE31:$AG31),'2023年'!AE31,IF('2023年'!$AZ31-SUM('2023年'!AF31:$AG31)&gt;0,'2023年'!$AZ31-SUM('2023年'!AF31:$AG31),0))</f>
        <v>0</v>
      </c>
      <c r="AF31" s="62">
        <f>IF('2023年'!$AZ31&gt;=SUM('2023年'!AF31:$AG31),'2023年'!AF31,IF('2023年'!$AZ31-SUM('2023年'!AG31:$AG31)&gt;0,'2023年'!$AZ31-SUM('2023年'!AG31:$AG31),0))</f>
        <v>0</v>
      </c>
      <c r="AG31" s="62">
        <f>IF('2023年'!$AZ31&gt;=SUM('2023年'!AG31:$AG31),'2023年'!AG31,IF('2023年'!$AZ31-SUM('2023年'!$AG31:AH31)&gt;0,'2023年'!$AZ31-SUM('2023年'!$AG31:AH31),0))</f>
        <v>0</v>
      </c>
      <c r="AH31" s="88"/>
      <c r="AI31" s="79"/>
      <c r="AJ31" s="80" t="s">
        <v>346</v>
      </c>
      <c r="AK31" s="86" t="s">
        <v>370</v>
      </c>
      <c r="AL31" s="87"/>
      <c r="AM31" s="83"/>
      <c r="AN31" s="84"/>
      <c r="AO31" s="84"/>
    </row>
    <row r="32" s="20" customFormat="1" ht="24" customHeight="1" spans="2:41">
      <c r="B32" s="42" t="s">
        <v>81</v>
      </c>
      <c r="C32" s="43" t="str">
        <f>'2023年'!C32</f>
        <v>1932034</v>
      </c>
      <c r="D32" s="43" t="str">
        <f>'2023年'!D32</f>
        <v>江苏福美汽车镜有限公司</v>
      </c>
      <c r="E32" s="47" t="s">
        <v>222</v>
      </c>
      <c r="F32" s="45">
        <f t="shared" si="16"/>
        <v>182408.67</v>
      </c>
      <c r="G32" s="46">
        <f t="shared" ref="G32:G34" si="17">SUM(I32:V32)</f>
        <v>0</v>
      </c>
      <c r="H32" s="46">
        <f t="shared" si="14"/>
        <v>182408.67</v>
      </c>
      <c r="I32" s="57"/>
      <c r="J32" s="58" t="str">
        <f>IF('2023年'!$AZ32&gt;('2023年'!$W32+'2023年'!$V32+SUM('2023年'!F32:$T32)),'2023年'!F32,IF('2023年'!$AZ32-'2023年'!$V32-'2023年'!$W32-SUM('2023年'!G32:$T32)&gt;0,'2023年'!$AZ32-'2023年'!$V32-'2023年'!$W32-SUM('2023年'!G32:$T32),""))</f>
        <v/>
      </c>
      <c r="K32" s="58" t="str">
        <f>IF('2023年'!$AZ32&gt;('2023年'!$W32+'2023年'!$V32+SUM('2023年'!G32:$T32)),'2023年'!G32,IF('2023年'!$AZ32-'2023年'!$V32-'2023年'!$W32-SUM('2023年'!H32:$T32)&gt;0,'2023年'!$AZ32-'2023年'!$V32-'2023年'!$W32-SUM('2023年'!H32:$T32),""))</f>
        <v/>
      </c>
      <c r="L32" s="58" t="str">
        <f>IF('2023年'!$AZ32&gt;(SUM('2023年'!$V32:AG32)+SUM('2023年'!H32:$T32)),'2023年'!H32,IF('2023年'!$AZ32-SUM('2023年'!$V32:AG32)-SUM('2023年'!I32:$T32)&gt;0,'2023年'!$AZ32-SUM('2023年'!$V32:AG32)-SUM('2023年'!I32:$T32),""))</f>
        <v/>
      </c>
      <c r="M32" s="58" t="str">
        <f>IF('2023年'!$AZ32&gt;('2023年'!$W32+'2023年'!$V32+SUM('2023年'!I32:$T32)),'2023年'!I32,IF('2023年'!$AZ32-'2023年'!$V32-'2023年'!$W32-SUM('2023年'!J32:$T32)&gt;0,'2023年'!$AZ32-'2023年'!$V32-'2023年'!$W32-SUM('2023年'!J32:$T32),""))</f>
        <v/>
      </c>
      <c r="N32" s="58" t="str">
        <f>IF('2023年'!$AZ32&gt;(SUM('2023年'!$V32:AG32)+SUM('2023年'!J32:$T32)),'2023年'!J32,IF('2023年'!$AZ32-SUM('2023年'!$V32:AG32)-SUM('2023年'!K32:$T32)&gt;0,'2023年'!$AZ32-SUM('2023年'!$V32:AG32)-SUM('2023年'!K32:$T32),""))</f>
        <v/>
      </c>
      <c r="O32" s="58" t="str">
        <f>IF('2023年'!$AZ32&gt;('2023年'!$W32+'2023年'!$V32+SUM('2023年'!K32:$T32)),'2023年'!K32,IF('2023年'!$AZ32-'2023年'!$V32-'2023年'!$W32-SUM('2023年'!L32:$T32)&gt;0,'2023年'!$AZ32-'2023年'!$V32-'2023年'!$W32-SUM('2023年'!L32:$T32),""))</f>
        <v/>
      </c>
      <c r="P32" s="58" t="str">
        <f>IF('2023年'!$AZ32&gt;('2023年'!$W32+'2023年'!$V32+SUM('2023年'!L32:$T32)),'2023年'!L32,IF('2023年'!$AZ32-'2023年'!$V32-'2023年'!$W32-SUM('2023年'!M32:$T32)&gt;0,'2023年'!$AZ32-'2023年'!$V32-'2023年'!$W32-SUM('2023年'!M32:$T32),""))</f>
        <v/>
      </c>
      <c r="Q32" s="58" t="str">
        <f>IF('2023年'!$AZ32&gt;(SUM('2023年'!V32:AG32)+SUM('2023年'!M32:$T32)),'2023年'!M32,IF('2023年'!$AZ32-SUM('2023年'!V32:AG32)-SUM('2023年'!N32:$T32)&gt;0,'2023年'!$AZ32-SUM('2023年'!V32:AG32)-SUM('2023年'!N32:$T32),""))</f>
        <v/>
      </c>
      <c r="R32" s="58" t="str">
        <f>IF('2023年'!$AZ32&gt;(SUM('2023年'!V32:AG32)+SUM('2023年'!N32:$T32)),'2023年'!N32,IF('2023年'!$AZ32-SUM('2023年'!V32:AG32)-SUM('2023年'!O32:$T32)&gt;0,'2023年'!$AZ32-SUM('2023年'!V32:AG32)-SUM('2023年'!O32:$T32),""))</f>
        <v/>
      </c>
      <c r="S32" s="58" t="str">
        <f>IF('2023年'!$AZ32&gt;('2023年'!P32+'2023年'!Q32+'2023年'!S32+'2023年'!T32+SUM('2023年'!V32:AG32))+'2023年'!O32+'2023年'!R32,'2023年'!O32+'2023年'!R32,IF('2023年'!$AZ32-SUM('2023年'!V32:AG32)-'2023年'!T32-'2023年'!S32-'2023年'!P32-'2023年'!Q32&gt;0,'2023年'!$AZ32-SUM('2023年'!V32:AG32)-'2023年'!T32-'2023年'!S32-'2023年'!P32-'2023年'!Q32,""))</f>
        <v/>
      </c>
      <c r="T32" s="58" t="str">
        <f>IF('2023年'!$AZ32&gt;('2023年'!$T32+'2023年'!$Q32+SUM('2023年'!V32:$AG32))+'2023年'!S32+'2023年'!P32,'2023年'!P32+'2023年'!S32,IF('2023年'!$AZ32-SUM('2023年'!V32:$AG32)-'2023年'!T32-'2023年'!Q32&gt;0,'2023年'!$AZ32-SUM('2023年'!V32:X32)-'2023年'!T32-'2023年'!Q32,""))</f>
        <v/>
      </c>
      <c r="U32" s="58" t="str">
        <f>IF('2023年'!$AZ32&gt;(SUM('2023年'!V32:AG32)+'2023年'!T32+'2023年'!Q32),'2023年'!Q32+'2023年'!T32,IF('2023年'!$AZ32-SUM('2023年'!V32:AG32)&gt;0,'2023年'!$AZ32-SUM('2023年'!V32:AG32),""))</f>
        <v/>
      </c>
      <c r="V32" s="61">
        <f>IF('2023年'!$AZ32&gt;=SUM('2023年'!V32:$AG32),'2023年'!V32,IF('2023年'!$AZ32-SUM('2023年'!W32:$AG32)&gt;0,'2023年'!$AZ32-SUM('2023年'!W32:$AG32),0))</f>
        <v>0</v>
      </c>
      <c r="W32" s="61">
        <f>IF('2023年'!$AZ32&gt;=SUM('2023年'!W32:$AG32),'2023年'!W32,IF('2023年'!$AZ32-SUM('2023年'!X32:$AG32)&gt;0,'2023年'!$AZ32-SUM('2023年'!X32:$AG32),0))</f>
        <v>182408.67</v>
      </c>
      <c r="X32" s="61">
        <f>IF('2023年'!$AZ32&gt;=SUM('2023年'!X32:$AG32),'2023年'!X32,IF('2023年'!$AZ32-SUM('2023年'!Y32:$AG32)&gt;0,'2023年'!$AZ32-SUM('2023年'!Y32:$AG32),0))</f>
        <v>0</v>
      </c>
      <c r="Y32" s="62">
        <f>IF('2023年'!$AZ32&gt;=SUM('2023年'!Y32:$AG32),'2023年'!Y32,IF('2023年'!$AZ32-SUM('2023年'!Z32:$AG32)&gt;0,'2023年'!$AZ32-SUM('2023年'!Z32:$AG32),0))</f>
        <v>0</v>
      </c>
      <c r="Z32" s="62">
        <f>IF('2023年'!$AZ32&gt;=SUM('2023年'!Z32:$AG32),'2023年'!Z32,IF('2023年'!$AZ32-SUM('2023年'!AA32:$AG32)&gt;0,'2023年'!$AZ32-SUM('2023年'!AA32:$AG32),0))</f>
        <v>0</v>
      </c>
      <c r="AA32" s="62">
        <f>IF('2023年'!$AZ32&gt;=SUM('2023年'!AA32:$AG32),'2023年'!AA32,IF('2023年'!$AZ32-SUM('2023年'!AB32:$AG32)&gt;0,'2023年'!$AZ32-SUM('2023年'!AB32:$AG32),0))</f>
        <v>0</v>
      </c>
      <c r="AB32" s="62">
        <f>IF('2023年'!$AZ32&gt;=SUM('2023年'!AB32:$AG32),'2023年'!AB32,IF('2023年'!$AZ32-SUM('2023年'!AC32:$AG32)&gt;0,'2023年'!$AZ32-SUM('2023年'!AC32:$AG32),0))</f>
        <v>0</v>
      </c>
      <c r="AC32" s="62">
        <f>IF('2023年'!$AZ32&gt;=SUM('2023年'!AC32:$AG32),'2023年'!AC32,IF('2023年'!$AZ32-SUM('2023年'!AD32:$AG32)&gt;0,'2023年'!$AZ32-SUM('2023年'!AD32:$AG32),0))</f>
        <v>0</v>
      </c>
      <c r="AD32" s="62">
        <f>IF('2023年'!$AZ32&gt;=SUM('2023年'!AD32:$AG32),'2023年'!AD32,IF('2023年'!$AZ32-SUM('2023年'!AE32:$AG32)&gt;0,'2023年'!$AZ32-SUM('2023年'!AE32:$AG32),0))</f>
        <v>0</v>
      </c>
      <c r="AE32" s="62">
        <f>IF('2023年'!$AZ32&gt;=SUM('2023年'!AE32:$AG32),'2023年'!AE32,IF('2023年'!$AZ32-SUM('2023年'!AF32:$AG32)&gt;0,'2023年'!$AZ32-SUM('2023年'!AF32:$AG32),0))</f>
        <v>0</v>
      </c>
      <c r="AF32" s="62">
        <f>IF('2023年'!$AZ32&gt;=SUM('2023年'!AF32:$AG32),'2023年'!AF32,IF('2023年'!$AZ32-SUM('2023年'!AG32:$AG32)&gt;0,'2023年'!$AZ32-SUM('2023年'!AG32:$AG32),0))</f>
        <v>0</v>
      </c>
      <c r="AG32" s="62">
        <f>IF('2023年'!$AZ32&gt;=SUM('2023年'!AG32:$AG32),'2023年'!AG32,IF('2023年'!$AZ32-SUM('2023年'!$AG32:AH32)&gt;0,'2023年'!$AZ32-SUM('2023年'!$AG32:AH32),0))</f>
        <v>0</v>
      </c>
      <c r="AH32" s="88"/>
      <c r="AI32" s="79"/>
      <c r="AJ32" s="80"/>
      <c r="AK32" s="86" t="s">
        <v>351</v>
      </c>
      <c r="AL32" s="87"/>
      <c r="AM32" s="83"/>
      <c r="AN32" s="84"/>
      <c r="AO32" s="84">
        <v>50000</v>
      </c>
    </row>
    <row r="33" s="20" customFormat="1" ht="24" hidden="1" customHeight="1" spans="2:41">
      <c r="B33" s="42" t="s">
        <v>81</v>
      </c>
      <c r="C33" s="43" t="str">
        <f>'2023年'!C33</f>
        <v>1913037</v>
      </c>
      <c r="D33" s="43" t="str">
        <f>'2023年'!D33</f>
        <v>河北光华荣昌汽车部件有限公司</v>
      </c>
      <c r="E33" s="47" t="s">
        <v>222</v>
      </c>
      <c r="F33" s="45">
        <f t="shared" si="16"/>
        <v>35144.45</v>
      </c>
      <c r="G33" s="46">
        <f t="shared" si="17"/>
        <v>0</v>
      </c>
      <c r="H33" s="46">
        <f t="shared" si="14"/>
        <v>92387.9799999999</v>
      </c>
      <c r="I33" s="57"/>
      <c r="J33" s="58" t="str">
        <f>IF('2023年'!$AZ33&gt;('2023年'!$W33+'2023年'!$V33+SUM('2023年'!F33:$T33)),'2023年'!F33,IF('2023年'!$AZ33-'2023年'!$V33-'2023年'!$W33-SUM('2023年'!F33:$T33)&gt;0,'2023年'!$AZ33-'2023年'!$V33-'2023年'!$W33-SUM('2023年'!F33:$T33),""))</f>
        <v/>
      </c>
      <c r="K33" s="58" t="str">
        <f>IF('2023年'!$AZ33&gt;('2023年'!$W33+'2023年'!$V33+SUM('2023年'!G33:$T33)),'2023年'!G33,IF('2023年'!$AZ33-'2023年'!$V33-'2023年'!$W33-SUM('2023年'!G33:$T33)&gt;0,'2023年'!$AZ33-'2023年'!$V33-'2023年'!$W33-SUM('2023年'!G33:$T33),""))</f>
        <v/>
      </c>
      <c r="L33" s="58" t="str">
        <f>IF('2023年'!$AZ33&gt;(SUM('2023年'!$V33:AG33)+SUM('2023年'!H33:$T33)),'2023年'!H33,IF('2023年'!$AZ33-SUM('2023年'!$V33:AG33)-SUM('2023年'!I33:$T33)&gt;0,'2023年'!$AZ33-SUM('2023年'!$V33:AG33)-SUM('2023年'!I33:$T33),""))</f>
        <v/>
      </c>
      <c r="M33" s="58" t="str">
        <f>IF('2023年'!$AZ33&gt;('2023年'!$W33+'2023年'!$V33+SUM('2023年'!I33:$T33)),'2023年'!I33,IF('2023年'!$AZ33-'2023年'!$V33-'2023年'!$W33-SUM('2023年'!I33:$T33)&gt;0,'2023年'!$AZ33-'2023年'!$V33-'2023年'!$W33-SUM('2023年'!I33:$T33),""))</f>
        <v/>
      </c>
      <c r="N33" s="58" t="str">
        <f>IF('2023年'!$AZ33&gt;(SUM('2023年'!$V33:AG33)+SUM('2023年'!J33:$T33)),'2023年'!J33,IF('2023年'!$AZ33-SUM('2023年'!$V33:AG33)-SUM('2023年'!K33:$T33)&gt;0,'2023年'!$AZ33-SUM('2023年'!$V33:AG33)-SUM('2023年'!K33:$T33),""))</f>
        <v/>
      </c>
      <c r="O33" s="58" t="str">
        <f>IF('2023年'!$AZ33&gt;(SUM('2023年'!$V33:AG33)+SUM('2023年'!K33:$T33)),'2023年'!K33,IF('2023年'!$AZ33-SUM('2023年'!$V33:AG33)-SUM('2023年'!L33:$T33)&gt;0,'2023年'!$AZ33-SUM('2023年'!$V33:AG33)-SUM('2023年'!L33:$T33),""))</f>
        <v/>
      </c>
      <c r="P33" s="58" t="str">
        <f>IF('2023年'!$AZ33&gt;(SUM(V33:AG33)+SUM('2023年'!L33:$T33)),'2023年'!L33,IF('2023年'!$AZ33-SUM(V33:AG33)-SUM('2023年'!M33:$T33)&gt;0,'2023年'!$AZ33-SUM(V33:AG33)-SUM('2023年'!M33:$T33),""))</f>
        <v/>
      </c>
      <c r="Q33" s="58" t="str">
        <f>IF('2023年'!$AZ33&gt;(SUM('2023年'!V33:AG33)+SUM('2023年'!M33:$T33)),'2023年'!M33,IF('2023年'!$AZ33-SUM('2023年'!V33:AG33)-SUM('2023年'!N33:$T33)&gt;0,'2023年'!$AZ33-SUM('2023年'!V33:AG33)-SUM('2023年'!N33:$T33),""))</f>
        <v/>
      </c>
      <c r="R33" s="58">
        <v>0</v>
      </c>
      <c r="S33" s="58">
        <v>0</v>
      </c>
      <c r="T33" s="58" t="str">
        <f>IF('2023年'!$AZ33&gt;('2023年'!$T33+'2023年'!$Q33+SUM('2023年'!V33:$AG33))+'2023年'!S33+'2023年'!P33,'2023年'!P33+'2023年'!S33,IF('2023年'!$AZ33-SUM('2023年'!V33:$AG33)-'2023年'!T33-'2023年'!Q33&gt;0,'2023年'!$AZ33-SUM('2023年'!V33:$AG33)-'2023年'!T33-'2023年'!Q33,""))</f>
        <v/>
      </c>
      <c r="U33" s="58" t="str">
        <f>IF('2023年'!$AZ33&gt;(SUM('2023年'!V33:AG33)+'2023年'!T33+'2023年'!Q33),'2023年'!Q33+'2023年'!T33,IF('2023年'!$AZ33-SUM('2023年'!V33:AG33)&gt;0,'2023年'!$AZ33-SUM('2023年'!V33:AG33),""))</f>
        <v/>
      </c>
      <c r="V33" s="61">
        <f>IF('2023年'!$AZ33&gt;=SUM('2023年'!V33:$AG33),'2023年'!V33,IF('2023年'!$AZ33-SUM('2023年'!W33:$AG33)&gt;0,'2023年'!$AZ33-SUM('2023年'!W33:$AG33),0))</f>
        <v>0</v>
      </c>
      <c r="W33" s="61">
        <f>IF('2023年'!$AZ33&gt;=SUM('2023年'!W33:$AG33),'2023年'!W33,IF('2023年'!$AZ33-SUM('2023年'!X33:$AG33)&gt;0,'2023年'!$AZ33-SUM('2023年'!X33:$AG33),0))</f>
        <v>35144.45</v>
      </c>
      <c r="X33" s="61">
        <f>IF('2023年'!$AZ33&gt;=SUM('2023年'!X33:$AG33),'2023年'!X33,IF('2023年'!$AZ33-SUM('2023年'!Y33:$AG33)&gt;0,'2023年'!$AZ33-SUM('2023年'!Y33:$AG33),0))</f>
        <v>0</v>
      </c>
      <c r="Y33" s="62">
        <f>IF('2023年'!$AZ33&gt;=SUM('2023年'!Y33:$AG33),'2023年'!Y33,IF('2023年'!$AZ33-SUM('2023年'!Z33:$AG33)&gt;0,'2023年'!$AZ33-SUM('2023年'!Z33:$AG33),0))</f>
        <v>690585.84</v>
      </c>
      <c r="Z33" s="62">
        <f>IF('2023年'!$AZ33&gt;=SUM('2023年'!Z33:$AG33),'2023年'!Z33,IF('2023年'!$AZ33-SUM('2023年'!AA33:$AG33)&gt;0,'2023年'!$AZ33-SUM('2023年'!AA33:$AG33),0))</f>
        <v>-633342.31</v>
      </c>
      <c r="AA33" s="62">
        <f>IF('2023年'!$AZ33&gt;=SUM('2023年'!AA33:$AG33),'2023年'!AA33,IF('2023年'!$AZ33-SUM('2023年'!AB33:$AG33)&gt;0,'2023年'!$AZ33-SUM('2023年'!AB33:$AG33),0))</f>
        <v>0</v>
      </c>
      <c r="AB33" s="62">
        <f>IF('2023年'!$AZ33&gt;=SUM('2023年'!AB33:$AG33),'2023年'!AB33,IF('2023年'!$AZ33-SUM('2023年'!AC33:$AG33)&gt;0,'2023年'!$AZ33-SUM('2023年'!AC33:$AG33),0))</f>
        <v>0</v>
      </c>
      <c r="AC33" s="62">
        <f>IF('2023年'!$AZ33&gt;=SUM('2023年'!AC33:$AG33),'2023年'!AC33,IF('2023年'!$AZ33-SUM('2023年'!AD33:$AG33)&gt;0,'2023年'!$AZ33-SUM('2023年'!AD33:$AG33),0))</f>
        <v>0</v>
      </c>
      <c r="AD33" s="62">
        <f>IF('2023年'!$AZ33&gt;=SUM('2023年'!AD33:$AG33),'2023年'!AD33,IF('2023年'!$AZ33-SUM('2023年'!AE33:$AG33)&gt;0,'2023年'!$AZ33-SUM('2023年'!AE33:$AG33),0))</f>
        <v>0</v>
      </c>
      <c r="AE33" s="62">
        <f>IF('2023年'!$AZ33&gt;=SUM('2023年'!AE33:$AG33),'2023年'!AE33,IF('2023年'!$AZ33-SUM('2023年'!AF33:$AG33)&gt;0,'2023年'!$AZ33-SUM('2023年'!AF33:$AG33),0))</f>
        <v>0</v>
      </c>
      <c r="AF33" s="62">
        <f>IF('2023年'!$AZ33&gt;=SUM('2023年'!AF33:$AG33),'2023年'!AF33,IF('2023年'!$AZ33-SUM('2023年'!AG33:$AG33)&gt;0,'2023年'!$AZ33-SUM('2023年'!AG33:$AG33),0))</f>
        <v>0</v>
      </c>
      <c r="AG33" s="62">
        <f>IF('2023年'!$AZ33&gt;=SUM('2023年'!AG33:$AG33),'2023年'!AG33,IF('2023年'!$AZ33-SUM('2023年'!$AG33:AH33)&gt;0,'2023年'!$AZ33-SUM('2023年'!$AG33:AH33),0))</f>
        <v>0</v>
      </c>
      <c r="AH33" s="88"/>
      <c r="AI33" s="79" t="s">
        <v>84</v>
      </c>
      <c r="AJ33" s="80" t="s">
        <v>84</v>
      </c>
      <c r="AK33" s="86" t="s">
        <v>371</v>
      </c>
      <c r="AL33" s="87"/>
      <c r="AM33" s="83"/>
      <c r="AN33" s="84"/>
      <c r="AO33" s="84"/>
    </row>
    <row r="34" s="20" customFormat="1" ht="24" hidden="1" customHeight="1" spans="2:41">
      <c r="B34" s="42" t="s">
        <v>81</v>
      </c>
      <c r="C34" s="43"/>
      <c r="D34" s="43" t="str">
        <f>'2023年'!D34</f>
        <v>文安县恒德汽车座椅制造有限公</v>
      </c>
      <c r="E34" s="47" t="s">
        <v>222</v>
      </c>
      <c r="F34" s="45">
        <f t="shared" si="16"/>
        <v>0</v>
      </c>
      <c r="G34" s="46">
        <f t="shared" si="17"/>
        <v>0</v>
      </c>
      <c r="H34" s="46">
        <f t="shared" ref="H34:H35" si="18">SUM(I34:AG34)</f>
        <v>0</v>
      </c>
      <c r="I34" s="57"/>
      <c r="J34" s="58" t="str">
        <f>IF('2023年'!$AZ34&gt;('2023年'!$W34+'2023年'!$V34+SUM('2023年'!F34:$T34)),'2023年'!F34,IF('2023年'!$AZ34-'2023年'!$V34-'2023年'!$W34-SUM('2023年'!F34:$T34)&gt;0,'2023年'!$AZ34-'2023年'!$V34-'2023年'!$W34-SUM('2023年'!F34:$T34),""))</f>
        <v/>
      </c>
      <c r="K34" s="58" t="str">
        <f>IF('2023年'!$AZ34&gt;('2023年'!$W34+'2023年'!$V34+SUM('2023年'!G34:$T34)),'2023年'!G34,IF('2023年'!$AZ34-'2023年'!$V34-'2023年'!$W34-SUM('2023年'!G34:$T34)&gt;0,'2023年'!$AZ34-'2023年'!$V34-'2023年'!$W34-SUM('2023年'!G34:$T34),""))</f>
        <v/>
      </c>
      <c r="L34" s="58" t="str">
        <f>IF('2023年'!$AZ34&gt;(SUM('2023年'!$V34:AG34)+SUM('2023年'!H34:$T34)),'2023年'!H34,IF('2023年'!$AZ34-SUM('2023年'!$V34:AG34)-SUM('2023年'!I34:$T34)&gt;0,'2023年'!$AZ34-SUM('2023年'!$V34:AG34)-SUM('2023年'!I34:$T34),""))</f>
        <v/>
      </c>
      <c r="M34" s="58" t="str">
        <f>IF('2023年'!$AZ34&gt;('2023年'!$W34+'2023年'!$V34+SUM('2023年'!I34:$T34)),'2023年'!I34,IF('2023年'!$AZ34-'2023年'!$V34-'2023年'!$W34-SUM('2023年'!I34:$T34)&gt;0,'2023年'!$AZ34-'2023年'!$V34-'2023年'!$W34-SUM('2023年'!I34:$T34),""))</f>
        <v/>
      </c>
      <c r="N34" s="58" t="str">
        <f>IF('2023年'!$AZ34&gt;(SUM('2023年'!$V34:AG34)+SUM('2023年'!J34:$T34)),'2023年'!J34,IF('2023年'!$AZ34-SUM('2023年'!$V34:AG34)-SUM('2023年'!K34:$T34)&gt;0,'2023年'!$AZ34-SUM('2023年'!$V34:AG34)-SUM('2023年'!K34:$T34),""))</f>
        <v/>
      </c>
      <c r="O34" s="58" t="str">
        <f>IF('2023年'!$AZ34&gt;(SUM('2023年'!$V34:AG34)+SUM('2023年'!K34:$T34)),'2023年'!K34,IF('2023年'!$AZ34-SUM('2023年'!$V34:AG34)-SUM('2023年'!L34:$T34)&gt;0,'2023年'!$AZ34-SUM('2023年'!$V34:AG34)-SUM('2023年'!L34:$T34),""))</f>
        <v/>
      </c>
      <c r="P34" s="58" t="str">
        <f>IF('2023年'!$AZ34&gt;(SUM(V34:AG34)+SUM('2023年'!L34:$T34)),'2023年'!L34,IF('2023年'!$AZ34-SUM(V34:AG34)-SUM('2023年'!M34:$T34)&gt;0,'2023年'!$AZ34-SUM(V34:AG34)-SUM('2023年'!M34:$T34),""))</f>
        <v/>
      </c>
      <c r="Q34" s="58" t="str">
        <f>IF('2023年'!$AZ34&gt;('2023年'!$W34+'2023年'!$V34+SUM('2023年'!M34:$T34)),'2023年'!M34,IF('2023年'!$AZ34-'2023年'!$V34-'2023年'!$W34-SUM('2023年'!N34:$T34)&gt;0,'2023年'!$AZ34-'2023年'!$V34-'2023年'!$W34-SUM('2023年'!N34:$T34),""))</f>
        <v/>
      </c>
      <c r="R34" s="58" t="str">
        <f>IF('2023年'!$AZ34&gt;(SUM('2023年'!V34:AG34)+SUM('2023年'!N34:$T34)),'2023年'!N34,IF('2023年'!$AZ34-SUM('2023年'!V34:AG34)-SUM('2023年'!O34:$T34)&gt;0,'2023年'!$AZ34-SUM('2023年'!V34:AG34)-SUM('2023年'!O34:$T34),""))</f>
        <v/>
      </c>
      <c r="S34" s="58" t="str">
        <f>IF('2023年'!$AZ34&gt;('2023年'!P34+'2023年'!Q34+'2023年'!S34+'2023年'!T34+SUM('2023年'!V34:AG34))+'2023年'!O34+'2023年'!R34,'2023年'!O34+'2023年'!R34,IF('2023年'!$AZ34-SUM('2023年'!V34:AG34)-'2023年'!T34-'2023年'!S34-'2023年'!P34-'2023年'!Q34&gt;0,'2023年'!$AZ34-SUM('2023年'!V34:AG34)-'2023年'!T34-'2023年'!S34-'2023年'!P34-'2023年'!Q34,""))</f>
        <v/>
      </c>
      <c r="T34" s="58" t="str">
        <f>IF('2023年'!$AZ34&gt;('2023年'!$T34+'2023年'!$Q34+SUM('2023年'!V34:$AG34))+'2023年'!S34+'2023年'!P34,'2023年'!P34+'2023年'!S34,IF('2023年'!$AZ34-SUM('2023年'!V34:$AG34)-'2023年'!T34-'2023年'!Q34&gt;0,'2023年'!$AZ34-SUM('2023年'!V34:X34)-'2023年'!T34-'2023年'!Q34,""))</f>
        <v/>
      </c>
      <c r="U34" s="58" t="str">
        <f>IF('2023年'!$AZ34&gt;(SUM('2023年'!V34:AG34)+'2023年'!T34+'2023年'!Q34),'2023年'!Q34+'2023年'!T34,IF('2023年'!$AZ34-SUM('2023年'!V34:AG34)&gt;0,'2023年'!$AZ34-SUM('2023年'!V34:AG34),""))</f>
        <v/>
      </c>
      <c r="V34" s="61">
        <f>IF('2023年'!$AZ34&gt;=SUM('2023年'!V34:$AG34),'2023年'!V34,IF('2023年'!$AZ34-SUM('2023年'!W34:$AG34)&gt;0,'2023年'!$AZ34-SUM('2023年'!W34:$AG34),0))</f>
        <v>0</v>
      </c>
      <c r="W34" s="61">
        <f>IF('2023年'!$AZ34&gt;=SUM('2023年'!W34:$AG34),'2023年'!W34,IF('2023年'!$AZ34-SUM('2023年'!X34:$AG34)&gt;0,'2023年'!$AZ34-SUM('2023年'!X34:$AG34),0))</f>
        <v>0</v>
      </c>
      <c r="X34" s="61">
        <f>IF('2023年'!$AZ34&gt;=SUM('2023年'!X34:$AG34),'2023年'!X34,IF('2023年'!$AZ34-SUM('2023年'!Y34:$AG34)&gt;0,'2023年'!$AZ34-SUM('2023年'!Y34:$AG34),0))</f>
        <v>0</v>
      </c>
      <c r="Y34" s="62">
        <f>IF('2023年'!$AZ34&gt;=SUM('2023年'!Y34:$AG34),'2023年'!Y34,IF('2023年'!$AZ34-SUM('2023年'!Z34:$AG34)&gt;0,'2023年'!$AZ34-SUM('2023年'!Z34:$AG34),0))</f>
        <v>0</v>
      </c>
      <c r="Z34" s="62">
        <f>IF('2023年'!$AZ34&gt;=SUM('2023年'!Z34:$AG34),'2023年'!Z34,IF('2023年'!$AZ34-SUM('2023年'!AA34:$AG34)&gt;0,'2023年'!$AZ34-SUM('2023年'!AA34:$AG34),0))</f>
        <v>0</v>
      </c>
      <c r="AA34" s="62"/>
      <c r="AB34" s="62"/>
      <c r="AC34" s="62"/>
      <c r="AD34" s="62"/>
      <c r="AE34" s="62"/>
      <c r="AF34" s="62"/>
      <c r="AG34" s="62"/>
      <c r="AH34" s="88" t="s">
        <v>372</v>
      </c>
      <c r="AI34" s="79" t="s">
        <v>373</v>
      </c>
      <c r="AJ34" s="80" t="s">
        <v>374</v>
      </c>
      <c r="AK34" s="86" t="s">
        <v>375</v>
      </c>
      <c r="AL34" s="87"/>
      <c r="AM34" s="83"/>
      <c r="AN34" s="84"/>
      <c r="AO34" s="84"/>
    </row>
    <row r="35" s="20" customFormat="1" ht="24" hidden="1" customHeight="1" spans="2:41">
      <c r="B35" s="42" t="s">
        <v>81</v>
      </c>
      <c r="C35" s="43"/>
      <c r="D35" s="43" t="str">
        <f>'2023年'!D35</f>
        <v>北京美好生活家居用品有限公司</v>
      </c>
      <c r="E35" s="47" t="s">
        <v>85</v>
      </c>
      <c r="F35" s="45">
        <f>SUM(I35:Y35)</f>
        <v>0</v>
      </c>
      <c r="G35" s="46">
        <f>SUM(I35:W35)</f>
        <v>0</v>
      </c>
      <c r="H35" s="46">
        <f t="shared" si="18"/>
        <v>0</v>
      </c>
      <c r="I35" s="57"/>
      <c r="J35" s="58" t="str">
        <f>IF('2023年'!$AZ35&gt;('2023年'!$W35+'2023年'!$V35+SUM('2023年'!F35:$T35)),'2023年'!F35,IF('2023年'!$AZ35-'2023年'!$V35-'2023年'!$W35-SUM('2023年'!F35:$T35)&gt;0,'2023年'!$AZ35-'2023年'!$V35-'2023年'!$W35-SUM('2023年'!F35:$T35),""))</f>
        <v/>
      </c>
      <c r="K35" s="58" t="str">
        <f>IF('2023年'!$AZ35&gt;('2023年'!$W35+'2023年'!$V35+SUM('2023年'!G35:$T35)),'2023年'!G35,IF('2023年'!$AZ35-'2023年'!$V35-'2023年'!$W35-SUM('2023年'!G35:$T35)&gt;0,'2023年'!$AZ35-'2023年'!$V35-'2023年'!$W35-SUM('2023年'!G35:$T35),""))</f>
        <v/>
      </c>
      <c r="L35" s="58" t="str">
        <f>IF('2023年'!$AZ35&gt;(SUM('2023年'!$V35:AG35)+SUM('2023年'!H35:$T35)),'2023年'!H35,IF('2023年'!$AZ35-SUM('2023年'!$V35:AG35)-SUM('2023年'!I35:$T35)&gt;0,'2023年'!$AZ35-SUM('2023年'!$V35:AG35)-SUM('2023年'!I35:$T35),""))</f>
        <v/>
      </c>
      <c r="M35" s="58" t="str">
        <f>IF('2023年'!$AZ35&gt;('2023年'!$W35+'2023年'!$V35+SUM('2023年'!I35:$T35)),'2023年'!I35,IF('2023年'!$AZ35-'2023年'!$V35-'2023年'!$W35-SUM('2023年'!I35:$T35)&gt;0,'2023年'!$AZ35-'2023年'!$V35-'2023年'!$W35-SUM('2023年'!I35:$T35),""))</f>
        <v/>
      </c>
      <c r="N35" s="58" t="str">
        <f>IF('2023年'!$AZ35&gt;(SUM('2023年'!$V35:AG35)+SUM('2023年'!J35:$T35)),'2023年'!J35,IF('2023年'!$AZ35-SUM('2023年'!$V35:AG35)-SUM('2023年'!K35:$T35)&gt;0,'2023年'!$AZ35-SUM('2023年'!$V35:AG35)-SUM('2023年'!K35:$T35),""))</f>
        <v/>
      </c>
      <c r="O35" s="58" t="str">
        <f>IF('2023年'!$AZ35&gt;('2023年'!$W35+'2023年'!$V35+SUM('2023年'!K35:$T35)),'2023年'!K35,IF('2023年'!$AZ35-'2023年'!$V35-'2023年'!$W35-SUM('2023年'!K35:$T35)&gt;0,'2023年'!$AZ35-'2023年'!$V35-'2023年'!$W35-SUM('2023年'!K35:$T35),""))</f>
        <v/>
      </c>
      <c r="P35" s="58" t="str">
        <f>IF('2023年'!$AZ35&gt;('2023年'!$W35+'2023年'!$V35+SUM('2023年'!L35:$T35)),'2023年'!L35,IF('2023年'!$AZ35-'2023年'!$V35-'2023年'!$W35-SUM('2023年'!L35:$T35)&gt;0,'2023年'!$AZ35-'2023年'!$V35-'2023年'!$W35-SUM('2023年'!L35:$T35),""))</f>
        <v/>
      </c>
      <c r="Q35" s="58" t="str">
        <f>IF('2023年'!$AZ35&gt;('2023年'!$W35+'2023年'!$V35+SUM('2023年'!M35:$T35)),'2023年'!M35,IF('2023年'!$AZ35-'2023年'!$V35-'2023年'!$W35-SUM('2023年'!N35:$T35)&gt;0,'2023年'!$AZ35-'2023年'!$V35-'2023年'!$W35-SUM('2023年'!N35:$T35),""))</f>
        <v/>
      </c>
      <c r="R35" s="58" t="str">
        <f>IF('2023年'!$AZ35&gt;(SUM('2023年'!V35:AG35)+SUM('2023年'!N35:$T35)),'2023年'!N35,IF('2023年'!$AZ35-SUM('2023年'!V35:AG35)-SUM('2023年'!O35:$T35)&gt;0,'2023年'!$AZ35-SUM('2023年'!V35:AG35)-SUM('2023年'!O35:$T35),""))</f>
        <v/>
      </c>
      <c r="S35" s="58" t="str">
        <f>IF('2023年'!$AZ35&gt;('2023年'!P35+'2023年'!Q35+'2023年'!S35+'2023年'!T35+SUM('2023年'!V35:AG35))+'2023年'!O35+'2023年'!R35,'2023年'!O35+'2023年'!R35,IF('2023年'!$AZ35-SUM('2023年'!V35:AG35)-'2023年'!T35-'2023年'!S35-'2023年'!P35-'2023年'!Q35&gt;0,'2023年'!$AZ35-SUM('2023年'!V35:AG35)-'2023年'!T35-'2023年'!S35-'2023年'!P35-'2023年'!Q35,""))</f>
        <v/>
      </c>
      <c r="T35" s="58" t="str">
        <f>IF('2023年'!$AZ35&gt;('2023年'!$T35+'2023年'!$Q35+SUM('2023年'!V35:$AG35))+'2023年'!S35+'2023年'!P35,'2023年'!P35+'2023年'!S35,IF('2023年'!$AZ35-SUM('2023年'!V35:$AG35)-'2023年'!T35-'2023年'!Q35&gt;0,'2023年'!$AZ35-SUM('2023年'!V35:X35)-'2023年'!T35-'2023年'!Q35,""))</f>
        <v/>
      </c>
      <c r="U35" s="58" t="str">
        <f>IF('2023年'!$AZ35&gt;(SUM('2023年'!V35:AG35)+'2023年'!T35+'2023年'!Q35),'2023年'!Q35+'2023年'!T35,IF('2023年'!$AZ35-SUM('2023年'!V35:AG35)&gt;0,'2023年'!$AZ35-SUM('2023年'!V35:AG35),""))</f>
        <v/>
      </c>
      <c r="V35" s="61">
        <f>IF('2023年'!$AZ35&gt;=SUM('2023年'!V35:$AG35),'2023年'!V35,IF('2023年'!$AZ35-SUM('2023年'!W35:$AG35)&gt;0,'2023年'!$AZ35-SUM('2023年'!W35:$AG35),0))</f>
        <v>0</v>
      </c>
      <c r="W35" s="61">
        <f>IF('2023年'!$AZ35&gt;=SUM('2023年'!W35:$AG35),'2023年'!W35,IF('2023年'!$AZ35-SUM('2023年'!X35:$AG35)&gt;0,'2023年'!$AZ35-SUM('2023年'!X35:$AG35),0))</f>
        <v>0</v>
      </c>
      <c r="X35" s="61">
        <f>IF('2023年'!$AZ35&gt;=SUM('2023年'!X35:$AG35),'2023年'!X35,IF('2023年'!$AZ35-SUM('2023年'!Y35:$AG35)&gt;0,'2023年'!$AZ35-SUM('2023年'!Y35:$AG35),0))</f>
        <v>0</v>
      </c>
      <c r="Y35" s="62">
        <f>IF('2023年'!$AZ35&gt;=SUM('2023年'!Y35:$AG35),'2023年'!Y35,IF('2023年'!$AZ35-SUM('2023年'!Z35:$AG35)&gt;0,'2023年'!$AZ35-SUM('2023年'!Z35:$AG35),0))</f>
        <v>0</v>
      </c>
      <c r="Z35" s="62">
        <f>IF('2023年'!$AZ35&gt;=SUM('2023年'!Z35:$AG35),'2023年'!Z35,IF('2023年'!$AZ35-SUM('2023年'!AA35:$AG35)&gt;0,'2023年'!$AZ35-SUM('2023年'!AA35:$AG35),0))</f>
        <v>0</v>
      </c>
      <c r="AA35" s="62"/>
      <c r="AB35" s="62"/>
      <c r="AC35" s="62"/>
      <c r="AD35" s="62"/>
      <c r="AE35" s="62"/>
      <c r="AF35" s="62"/>
      <c r="AG35" s="62"/>
      <c r="AH35" s="88" t="s">
        <v>376</v>
      </c>
      <c r="AI35" s="79" t="s">
        <v>377</v>
      </c>
      <c r="AJ35" s="80" t="s">
        <v>346</v>
      </c>
      <c r="AK35" s="86" t="s">
        <v>378</v>
      </c>
      <c r="AL35" s="87"/>
      <c r="AM35" s="83"/>
      <c r="AN35" s="84"/>
      <c r="AO35" s="84"/>
    </row>
    <row r="36" s="20" customFormat="1" ht="24" hidden="1" customHeight="1" spans="2:41">
      <c r="B36" s="42" t="s">
        <v>81</v>
      </c>
      <c r="C36" s="43"/>
      <c r="D36" s="43" t="str">
        <f>'2023年'!D36</f>
        <v>北京浦东三浦标准件有限公司</v>
      </c>
      <c r="E36" s="47" t="s">
        <v>222</v>
      </c>
      <c r="F36" s="45">
        <f t="shared" ref="F36:F41" si="19">SUM(I36:X36)</f>
        <v>0</v>
      </c>
      <c r="G36" s="46">
        <f t="shared" ref="G36:G41" si="20">SUM(I36:V36)</f>
        <v>0</v>
      </c>
      <c r="H36" s="46">
        <f t="shared" ref="H36:H42" si="21">SUM(I36:AG36)</f>
        <v>0</v>
      </c>
      <c r="I36" s="57"/>
      <c r="J36" s="58" t="str">
        <f>IF('2023年'!$AZ36&gt;('2023年'!$W36+'2023年'!$V36+SUM('2023年'!F36:$T36)),'2023年'!F36,IF('2023年'!$AZ36-'2023年'!$V36-'2023年'!$W36-SUM('2023年'!F36:$T36)&gt;0,'2023年'!$AZ36-'2023年'!$V36-'2023年'!$W36-SUM('2023年'!F36:$T36),""))</f>
        <v/>
      </c>
      <c r="K36" s="58" t="str">
        <f>IF('2023年'!$AZ36&gt;('2023年'!$W36+'2023年'!$V36+SUM('2023年'!G36:$T36)),'2023年'!G36,IF('2023年'!$AZ36-'2023年'!$V36-'2023年'!$W36-SUM('2023年'!G36:$T36)&gt;0,'2023年'!$AZ36-'2023年'!$V36-'2023年'!$W36-SUM('2023年'!G36:$T36),""))</f>
        <v/>
      </c>
      <c r="L36" s="58" t="str">
        <f>IF('2023年'!$AZ36&gt;(SUM('2023年'!$V36:AG36)+SUM('2023年'!H36:$T36)),'2023年'!H36,IF('2023年'!$AZ36-SUM('2023年'!$V36:AG36)-SUM('2023年'!I36:$T36)&gt;0,'2023年'!$AZ36-SUM('2023年'!$V36:AG36)-SUM('2023年'!I36:$T36),""))</f>
        <v/>
      </c>
      <c r="M36" s="58" t="str">
        <f>IF('2023年'!$AZ36&gt;('2023年'!$W36+'2023年'!$V36+SUM('2023年'!I36:$T36)),'2023年'!I36,IF('2023年'!$AZ36-'2023年'!$V36-'2023年'!$W36-SUM('2023年'!I36:$T36)&gt;0,'2023年'!$AZ36-'2023年'!$V36-'2023年'!$W36-SUM('2023年'!I36:$T36),""))</f>
        <v/>
      </c>
      <c r="N36" s="58" t="str">
        <f>IF('2023年'!$AZ36&gt;(SUM('2023年'!$V36:AG36)+SUM('2023年'!J36:$T36)),'2023年'!J36,IF('2023年'!$AZ36-SUM('2023年'!$V36:AG36)-SUM('2023年'!K36:$T36)&gt;0,'2023年'!$AZ36-SUM('2023年'!$V36:AG36)-SUM('2023年'!K36:$T36),""))</f>
        <v/>
      </c>
      <c r="O36" s="58" t="str">
        <f>IF('2023年'!$AZ36&gt;('2023年'!$W36+'2023年'!$V36+SUM('2023年'!K36:$T36)),'2023年'!K36,IF('2023年'!$AZ36-'2023年'!$V36-'2023年'!$W36-SUM('2023年'!K36:$T36)&gt;0,'2023年'!$AZ36-'2023年'!$V36-'2023年'!$W36-SUM('2023年'!K36:$T36),""))</f>
        <v/>
      </c>
      <c r="P36" s="58" t="str">
        <f>IF('2023年'!$AZ36&gt;('2023年'!$W36+'2023年'!$V36+SUM('2023年'!L36:$T36)),'2023年'!L36,IF('2023年'!$AZ36-'2023年'!$V36-'2023年'!$W36-SUM('2023年'!L36:$T36)&gt;0,'2023年'!$AZ36-'2023年'!$V36-'2023年'!$W36-SUM('2023年'!L36:$T36),""))</f>
        <v/>
      </c>
      <c r="Q36" s="58" t="str">
        <f>IF('2023年'!$AZ36&gt;('2023年'!$W36+'2023年'!$V36+SUM('2023年'!M36:$T36)),'2023年'!M36,IF('2023年'!$AZ36-'2023年'!$V36-'2023年'!$W36-SUM('2023年'!N36:$T36)&gt;0,'2023年'!$AZ36-'2023年'!$V36-'2023年'!$W36-SUM('2023年'!N36:$T36),""))</f>
        <v/>
      </c>
      <c r="R36" s="58" t="str">
        <f>IF('2023年'!$AZ36&gt;(SUM('2023年'!V36:AG36)+SUM('2023年'!N36:$T36)),'2023年'!N36,IF('2023年'!$AZ36-SUM('2023年'!V36:AG36)-SUM('2023年'!O36:$T36)&gt;0,'2023年'!$AZ36-SUM('2023年'!V36:AG36)-SUM('2023年'!O36:$T36),""))</f>
        <v/>
      </c>
      <c r="S36" s="58" t="str">
        <f>IF('2023年'!$AZ36&gt;('2023年'!P36+'2023年'!Q36+'2023年'!S36+'2023年'!T36+SUM('2023年'!V36:AG36))+'2023年'!O36+'2023年'!R36,'2023年'!O36+'2023年'!R36,IF('2023年'!$AZ36-SUM('2023年'!V36:AG36)-'2023年'!T36-'2023年'!S36-'2023年'!P36-'2023年'!Q36&gt;0,'2023年'!$AZ36-SUM('2023年'!V36:AG36)-'2023年'!T36-'2023年'!S36-'2023年'!P36-'2023年'!Q36,""))</f>
        <v/>
      </c>
      <c r="T36" s="58" t="str">
        <f>IF('2023年'!$AZ36&gt;('2023年'!$T36+'2023年'!$Q36+SUM('2023年'!V36:$AG36))+'2023年'!S36+'2023年'!P36,'2023年'!P36+'2023年'!S36,IF('2023年'!$AZ36-SUM('2023年'!V36:$AG36)-'2023年'!T36-'2023年'!Q36&gt;0,'2023年'!$AZ36-SUM('2023年'!V36:X36)-'2023年'!T36-'2023年'!Q36,""))</f>
        <v/>
      </c>
      <c r="U36" s="58" t="str">
        <f>IF('2023年'!$AZ36&gt;(SUM('2023年'!V36:AG36)+'2023年'!T36+'2023年'!Q36),'2023年'!Q36+'2023年'!T36,IF('2023年'!$AZ36-SUM('2023年'!V36:AG36)&gt;0,'2023年'!$AZ36-SUM('2023年'!V36:AG36),""))</f>
        <v/>
      </c>
      <c r="V36" s="61">
        <f>IF('2023年'!$AZ36&gt;=SUM('2023年'!V36:$AG36),'2023年'!V36,IF('2023年'!$AZ36-SUM('2023年'!W36:$AG36)&gt;0,'2023年'!$AZ36-SUM('2023年'!W36:$AG36),0))</f>
        <v>0</v>
      </c>
      <c r="W36" s="61">
        <f>IF('2023年'!$AZ36&gt;=SUM('2023年'!W36:$AG36),'2023年'!W36,IF('2023年'!$AZ36-SUM('2023年'!X36:$AG36)&gt;0,'2023年'!$AZ36-SUM('2023年'!X36:$AG36),0))</f>
        <v>0</v>
      </c>
      <c r="X36" s="61">
        <f>IF('2023年'!$AZ36&gt;=SUM('2023年'!X36:$AG36),'2023年'!X36,IF('2023年'!$AZ36-SUM('2023年'!Y36:$AG36)&gt;0,'2023年'!$AZ36-SUM('2023年'!Y36:$AG36),0))</f>
        <v>0</v>
      </c>
      <c r="Y36" s="62">
        <f>IF('2023年'!$AZ36&gt;=SUM('2023年'!Y36:$AG36),'2023年'!Y36,IF('2023年'!$AZ36-SUM('2023年'!Z36:$AG36)&gt;0,'2023年'!$AZ36-SUM('2023年'!Z36:$AG36),0))</f>
        <v>0</v>
      </c>
      <c r="Z36" s="62">
        <f>IF('2023年'!$AZ36&gt;=SUM('2023年'!Z36:$AG36),'2023年'!Z36,IF('2023年'!$AZ36-SUM('2023年'!AA36:$AG36)&gt;0,'2023年'!$AZ36-SUM('2023年'!AA36:$AG36),0))</f>
        <v>0</v>
      </c>
      <c r="AA36" s="62"/>
      <c r="AB36" s="62"/>
      <c r="AC36" s="62"/>
      <c r="AD36" s="62"/>
      <c r="AE36" s="62"/>
      <c r="AF36" s="62"/>
      <c r="AG36" s="62"/>
      <c r="AH36" s="88" t="s">
        <v>379</v>
      </c>
      <c r="AI36" s="79">
        <v>0.03</v>
      </c>
      <c r="AJ36" s="80" t="s">
        <v>374</v>
      </c>
      <c r="AK36" s="86" t="s">
        <v>380</v>
      </c>
      <c r="AL36" s="87"/>
      <c r="AM36" s="83"/>
      <c r="AN36" s="84"/>
      <c r="AO36" s="84"/>
    </row>
    <row r="37" s="20" customFormat="1" ht="24" hidden="1" customHeight="1" spans="2:41">
      <c r="B37" s="42" t="s">
        <v>81</v>
      </c>
      <c r="C37" s="43"/>
      <c r="D37" s="43" t="str">
        <f>'2023年'!D37</f>
        <v>北京瑞隆祥模具有限公司</v>
      </c>
      <c r="E37" s="47" t="s">
        <v>222</v>
      </c>
      <c r="F37" s="45">
        <f t="shared" si="19"/>
        <v>0</v>
      </c>
      <c r="G37" s="46">
        <f t="shared" si="20"/>
        <v>0</v>
      </c>
      <c r="H37" s="46">
        <f t="shared" si="21"/>
        <v>0</v>
      </c>
      <c r="I37" s="57"/>
      <c r="J37" s="58" t="str">
        <f>IF('2023年'!$AZ37&gt;('2023年'!$W37+'2023年'!$V37+SUM('2023年'!F37:$T37)),'2023年'!F37,IF('2023年'!$AZ37-'2023年'!$V37-'2023年'!$W37-SUM('2023年'!F37:$T37)&gt;0,'2023年'!$AZ37-'2023年'!$V37-'2023年'!$W37-SUM('2023年'!F37:$T37),""))</f>
        <v/>
      </c>
      <c r="K37" s="58" t="str">
        <f>IF('2023年'!$AZ37&gt;('2023年'!$W37+'2023年'!$V37+SUM('2023年'!G37:$T37)),'2023年'!G37,IF('2023年'!$AZ37-'2023年'!$V37-'2023年'!$W37-SUM('2023年'!G37:$T37)&gt;0,'2023年'!$AZ37-'2023年'!$V37-'2023年'!$W37-SUM('2023年'!G37:$T37),""))</f>
        <v/>
      </c>
      <c r="L37" s="58" t="str">
        <f>IF('2023年'!$AZ37&gt;(SUM('2023年'!$V37:AG37)+SUM('2023年'!H37:$T37)),'2023年'!H37,IF('2023年'!$AZ37-SUM('2023年'!$V37:AG37)-SUM('2023年'!I37:$T37)&gt;0,'2023年'!$AZ37-SUM('2023年'!$V37:AG37)-SUM('2023年'!I37:$T37),""))</f>
        <v/>
      </c>
      <c r="M37" s="58" t="str">
        <f>IF('2023年'!$AZ37&gt;('2023年'!$W37+'2023年'!$V37+SUM('2023年'!I37:$T37)),'2023年'!I37,IF('2023年'!$AZ37-'2023年'!$V37-'2023年'!$W37-SUM('2023年'!I37:$T37)&gt;0,'2023年'!$AZ37-'2023年'!$V37-'2023年'!$W37-SUM('2023年'!I37:$T37),""))</f>
        <v/>
      </c>
      <c r="N37" s="58" t="str">
        <f>IF('2023年'!$AZ37&gt;(SUM('2023年'!$V37:AG37)+SUM('2023年'!J37:$T37)),'2023年'!J37,IF('2023年'!$AZ37-SUM('2023年'!$V37:AG37)-SUM('2023年'!K37:$T37)&gt;0,'2023年'!$AZ37-SUM('2023年'!$V37:AG37)-SUM('2023年'!K37:$T37),""))</f>
        <v/>
      </c>
      <c r="O37" s="58" t="str">
        <f>IF('2023年'!$AZ37&gt;('2023年'!$W37+'2023年'!$V37+SUM('2023年'!K37:$T37)),'2023年'!K37,IF('2023年'!$AZ37-'2023年'!$V37-'2023年'!$W37-SUM('2023年'!K37:$T37)&gt;0,'2023年'!$AZ37-'2023年'!$V37-'2023年'!$W37-SUM('2023年'!K37:$T37),""))</f>
        <v/>
      </c>
      <c r="P37" s="58" t="str">
        <f>IF('2023年'!$AZ37&gt;('2023年'!$W37+'2023年'!$V37+SUM('2023年'!L37:$T37)),'2023年'!L37,IF('2023年'!$AZ37-'2023年'!$V37-'2023年'!$W37-SUM('2023年'!L37:$T37)&gt;0,'2023年'!$AZ37-'2023年'!$V37-'2023年'!$W37-SUM('2023年'!L37:$T37),""))</f>
        <v/>
      </c>
      <c r="Q37" s="58" t="str">
        <f>IF('2023年'!$AZ37&gt;('2023年'!$W37+'2023年'!$V37+SUM('2023年'!M37:$T37)),'2023年'!M37,IF('2023年'!$AZ37-'2023年'!$V37-'2023年'!$W37-SUM('2023年'!N37:$T37)&gt;0,'2023年'!$AZ37-'2023年'!$V37-'2023年'!$W37-SUM('2023年'!N37:$T37),""))</f>
        <v/>
      </c>
      <c r="R37" s="58" t="str">
        <f>IF('2023年'!$AZ37&gt;(SUM('2023年'!V37:AG37)+SUM('2023年'!N37:$T37)),'2023年'!N37,IF('2023年'!$AZ37-SUM('2023年'!V37:AG37)-SUM('2023年'!O37:$T37)&gt;0,'2023年'!$AZ37-SUM('2023年'!V37:AG37)-SUM('2023年'!O37:$T37),""))</f>
        <v/>
      </c>
      <c r="S37" s="58" t="str">
        <f>IF('2023年'!$AZ37&gt;('2023年'!P37+'2023年'!Q37+'2023年'!S37+'2023年'!T37+SUM('2023年'!V37:AG37))+'2023年'!O37+'2023年'!R37,'2023年'!O37+'2023年'!R37,IF('2023年'!$AZ37-SUM('2023年'!V37:AG37)-'2023年'!T37-'2023年'!S37-'2023年'!P37-'2023年'!Q37&gt;0,'2023年'!$AZ37-SUM('2023年'!V37:AG37)-'2023年'!T37-'2023年'!S37-'2023年'!P37-'2023年'!Q37,""))</f>
        <v/>
      </c>
      <c r="T37" s="58" t="str">
        <f>IF('2023年'!$AZ37&gt;('2023年'!$T37+'2023年'!$Q37+SUM('2023年'!V37:$AG37))+'2023年'!S37+'2023年'!P37,'2023年'!P37+'2023年'!S37,IF('2023年'!$AZ37-SUM('2023年'!V37:$AG37)-'2023年'!T37-'2023年'!Q37&gt;0,'2023年'!$AZ37-SUM('2023年'!V37:X37)-'2023年'!T37-'2023年'!Q37,""))</f>
        <v/>
      </c>
      <c r="U37" s="58" t="str">
        <f>IF('2023年'!$AZ37&gt;(SUM('2023年'!V37:AG37)+'2023年'!T37+'2023年'!Q37),'2023年'!Q37+'2023年'!T37,IF('2023年'!$AZ37-SUM('2023年'!V37:AG37)&gt;0,'2023年'!$AZ37-SUM('2023年'!V37:AG37),""))</f>
        <v/>
      </c>
      <c r="V37" s="61">
        <f>IF('2023年'!$AZ37&gt;=SUM('2023年'!V37:$AG37),'2023年'!V37,IF('2023年'!$AZ37-SUM('2023年'!W37:$AG37)&gt;0,'2023年'!$AZ37-SUM('2023年'!W37:$AG37),0))</f>
        <v>0</v>
      </c>
      <c r="W37" s="61">
        <f>IF('2023年'!$AZ37&gt;=SUM('2023年'!W37:$AG37),'2023年'!W37,IF('2023年'!$AZ37-SUM('2023年'!X37:$AG37)&gt;0,'2023年'!$AZ37-SUM('2023年'!X37:$AG37),0))</f>
        <v>0</v>
      </c>
      <c r="X37" s="61">
        <f>IF('2023年'!$AZ37&gt;=SUM('2023年'!X37:$AG37),'2023年'!X37,IF('2023年'!$AZ37-SUM('2023年'!Y37:$AG37)&gt;0,'2023年'!$AZ37-SUM('2023年'!Y37:$AG37),0))</f>
        <v>0</v>
      </c>
      <c r="Y37" s="62">
        <f>IF('2023年'!$AZ37&gt;=SUM('2023年'!Y37:$AG37),'2023年'!Y37,IF('2023年'!$AZ37-SUM('2023年'!Z37:$AG37)&gt;0,'2023年'!$AZ37-SUM('2023年'!Z37:$AG37),0))</f>
        <v>0</v>
      </c>
      <c r="Z37" s="62">
        <f>IF('2023年'!$AZ37&gt;=SUM('2023年'!Z37:$AG37),'2023年'!Z37,IF('2023年'!$AZ37-SUM('2023年'!AA37:$AG37)&gt;0,'2023年'!$AZ37-SUM('2023年'!AA37:$AG37),0))</f>
        <v>0</v>
      </c>
      <c r="AA37" s="62"/>
      <c r="AB37" s="62"/>
      <c r="AC37" s="62"/>
      <c r="AD37" s="62"/>
      <c r="AE37" s="62"/>
      <c r="AF37" s="62"/>
      <c r="AG37" s="62"/>
      <c r="AH37" s="88" t="s">
        <v>379</v>
      </c>
      <c r="AI37" s="79">
        <v>0.03</v>
      </c>
      <c r="AJ37" s="80" t="s">
        <v>374</v>
      </c>
      <c r="AK37" s="86" t="s">
        <v>381</v>
      </c>
      <c r="AL37" s="87"/>
      <c r="AM37" s="83"/>
      <c r="AN37" s="84"/>
      <c r="AO37" s="84"/>
    </row>
    <row r="38" s="20" customFormat="1" ht="24" hidden="1" customHeight="1" spans="2:41">
      <c r="B38" s="42" t="s">
        <v>81</v>
      </c>
      <c r="C38" s="43"/>
      <c r="D38" s="43" t="str">
        <f>'2023年'!D38</f>
        <v>杭州阳晨聚氨酯制品有限公司</v>
      </c>
      <c r="E38" s="47" t="s">
        <v>222</v>
      </c>
      <c r="F38" s="45">
        <f t="shared" si="19"/>
        <v>0</v>
      </c>
      <c r="G38" s="46">
        <f t="shared" si="20"/>
        <v>0</v>
      </c>
      <c r="H38" s="46">
        <f t="shared" si="21"/>
        <v>0</v>
      </c>
      <c r="I38" s="57"/>
      <c r="J38" s="58" t="str">
        <f>IF('2023年'!$AZ38&gt;('2023年'!$W38+'2023年'!$V38+SUM('2023年'!F38:$T38)),'2023年'!F38,IF('2023年'!$AZ38-'2023年'!$V38-'2023年'!$W38-SUM('2023年'!F38:$T38)&gt;0,'2023年'!$AZ38-'2023年'!$V38-'2023年'!$W38-SUM('2023年'!F38:$T38),""))</f>
        <v/>
      </c>
      <c r="K38" s="58" t="str">
        <f>IF('2023年'!$AZ38&gt;('2023年'!$W38+'2023年'!$V38+SUM('2023年'!G38:$T38)),'2023年'!G38,IF('2023年'!$AZ38-'2023年'!$V38-'2023年'!$W38-SUM('2023年'!G38:$T38)&gt;0,'2023年'!$AZ38-'2023年'!$V38-'2023年'!$W38-SUM('2023年'!G38:$T38),""))</f>
        <v/>
      </c>
      <c r="L38" s="58" t="str">
        <f>IF('2023年'!$AZ38&gt;(SUM('2023年'!$V38:AG38)+SUM('2023年'!H38:$T38)),'2023年'!H38,IF('2023年'!$AZ38-SUM('2023年'!$V38:AG38)-SUM('2023年'!I38:$T38)&gt;0,'2023年'!$AZ38-SUM('2023年'!$V38:AG38)-SUM('2023年'!I38:$T38),""))</f>
        <v/>
      </c>
      <c r="M38" s="58" t="str">
        <f>IF('2023年'!$AZ38&gt;('2023年'!$W38+'2023年'!$V38+SUM('2023年'!I38:$T38)),'2023年'!I38,IF('2023年'!$AZ38-'2023年'!$V38-'2023年'!$W38-SUM('2023年'!I38:$T38)&gt;0,'2023年'!$AZ38-'2023年'!$V38-'2023年'!$W38-SUM('2023年'!I38:$T38),""))</f>
        <v/>
      </c>
      <c r="N38" s="58" t="str">
        <f>IF('2023年'!$AZ38&gt;(SUM('2023年'!$V38:AG38)+SUM('2023年'!J38:$T38)),'2023年'!J38,IF('2023年'!$AZ38-SUM('2023年'!$V38:AG38)-SUM('2023年'!K38:$T38)&gt;0,'2023年'!$AZ38-SUM('2023年'!$V38:AG38)-SUM('2023年'!K38:$T38),""))</f>
        <v/>
      </c>
      <c r="O38" s="58" t="str">
        <f>IF('2023年'!$AZ38&gt;('2023年'!$W38+'2023年'!$V38+SUM('2023年'!K38:$T38)),'2023年'!K38,IF('2023年'!$AZ38-'2023年'!$V38-'2023年'!$W38-SUM('2023年'!K38:$T38)&gt;0,'2023年'!$AZ38-'2023年'!$V38-'2023年'!$W38-SUM('2023年'!K38:$T38),""))</f>
        <v/>
      </c>
      <c r="P38" s="58" t="str">
        <f>IF('2023年'!$AZ38&gt;('2023年'!$W38+'2023年'!$V38+SUM('2023年'!L38:$T38)),'2023年'!L38,IF('2023年'!$AZ38-'2023年'!$V38-'2023年'!$W38-SUM('2023年'!L38:$T38)&gt;0,'2023年'!$AZ38-'2023年'!$V38-'2023年'!$W38-SUM('2023年'!L38:$T38),""))</f>
        <v/>
      </c>
      <c r="Q38" s="58" t="str">
        <f>IF('2023年'!$AZ38&gt;('2023年'!$W38+'2023年'!$V38+SUM('2023年'!M38:$T38)),'2023年'!M38,IF('2023年'!$AZ38-'2023年'!$V38-'2023年'!$W38-SUM('2023年'!N38:$T38)&gt;0,'2023年'!$AZ38-'2023年'!$V38-'2023年'!$W38-SUM('2023年'!N38:$T38),""))</f>
        <v/>
      </c>
      <c r="R38" s="58" t="str">
        <f>IF('2023年'!$AZ38&gt;(SUM('2023年'!V38:AG38)+SUM('2023年'!N38:$T38)),'2023年'!N38,IF('2023年'!$AZ38-SUM('2023年'!V38:AG38)-SUM('2023年'!O38:$T38)&gt;0,'2023年'!$AZ38-SUM('2023年'!V38:AG38)-SUM('2023年'!O38:$T38),""))</f>
        <v/>
      </c>
      <c r="S38" s="58" t="str">
        <f>IF('2023年'!$AZ38&gt;('2023年'!P38+'2023年'!Q38+'2023年'!S38+'2023年'!T38+SUM('2023年'!V38:AG38))+'2023年'!O38+'2023年'!R38,'2023年'!O38+'2023年'!R38,IF('2023年'!$AZ38-SUM('2023年'!V38:AG38)-'2023年'!T38-'2023年'!S38-'2023年'!P38-'2023年'!Q38&gt;0,'2023年'!$AZ38-SUM('2023年'!V38:AG38)-'2023年'!T38-'2023年'!S38-'2023年'!P38-'2023年'!Q38,""))</f>
        <v/>
      </c>
      <c r="T38" s="58" t="str">
        <f>IF('2023年'!$AZ38&gt;('2023年'!$T38+'2023年'!$Q38+SUM('2023年'!V38:$AG38))+'2023年'!S38+'2023年'!P38,'2023年'!P38+'2023年'!S38,IF('2023年'!$AZ38-SUM('2023年'!V38:$AG38)-'2023年'!T38-'2023年'!Q38&gt;0,'2023年'!$AZ38-SUM('2023年'!V38:X38)-'2023年'!T38-'2023年'!Q38,""))</f>
        <v/>
      </c>
      <c r="U38" s="58" t="str">
        <f>IF('2023年'!$AZ38&gt;(SUM('2023年'!V38:AG38)+'2023年'!T38+'2023年'!Q38),'2023年'!Q38+'2023年'!T38,IF('2023年'!$AZ38-SUM('2023年'!V38:AG38)&gt;0,'2023年'!$AZ38-SUM('2023年'!V38:AG38),""))</f>
        <v/>
      </c>
      <c r="V38" s="61">
        <f>IF('2023年'!$AZ38&gt;=SUM('2023年'!V38:$AG38),'2023年'!V38,IF('2023年'!$AZ38-SUM('2023年'!W38:$AG38)&gt;0,'2023年'!$AZ38-SUM('2023年'!W38:$AG38),0))</f>
        <v>0</v>
      </c>
      <c r="W38" s="61">
        <f>IF('2023年'!$AZ38&gt;=SUM('2023年'!W38:$AG38),'2023年'!W38,IF('2023年'!$AZ38-SUM('2023年'!X38:$AG38)&gt;0,'2023年'!$AZ38-SUM('2023年'!X38:$AG38),0))</f>
        <v>0</v>
      </c>
      <c r="X38" s="61">
        <f>IF('2023年'!$AZ38&gt;=SUM('2023年'!X38:$AG38),'2023年'!X38,IF('2023年'!$AZ38-SUM('2023年'!Y38:$AG38)&gt;0,'2023年'!$AZ38-SUM('2023年'!Y38:$AG38),0))</f>
        <v>0</v>
      </c>
      <c r="Y38" s="62">
        <f>IF('2023年'!$AZ38&gt;=SUM('2023年'!Y38:$AG38),'2023年'!Y38,IF('2023年'!$AZ38-SUM('2023年'!Z38:$AG38)&gt;0,'2023年'!$AZ38-SUM('2023年'!Z38:$AG38),0))</f>
        <v>0</v>
      </c>
      <c r="Z38" s="62">
        <f>IF('2023年'!$AZ38&gt;=SUM('2023年'!Z38:$AG38),'2023年'!Z38,IF('2023年'!$AZ38-SUM('2023年'!AA38:$AG38)&gt;0,'2023年'!$AZ38-SUM('2023年'!AA38:$AG38),0))</f>
        <v>0</v>
      </c>
      <c r="AA38" s="62"/>
      <c r="AB38" s="62"/>
      <c r="AC38" s="62"/>
      <c r="AD38" s="62"/>
      <c r="AE38" s="62"/>
      <c r="AF38" s="62"/>
      <c r="AG38" s="62"/>
      <c r="AH38" s="88" t="s">
        <v>379</v>
      </c>
      <c r="AI38" s="79"/>
      <c r="AJ38" s="80" t="s">
        <v>346</v>
      </c>
      <c r="AK38" s="86" t="s">
        <v>382</v>
      </c>
      <c r="AL38" s="87"/>
      <c r="AM38" s="83"/>
      <c r="AN38" s="84"/>
      <c r="AO38" s="84"/>
    </row>
    <row r="39" s="20" customFormat="1" ht="24" hidden="1" customHeight="1" spans="2:41">
      <c r="B39" s="42" t="s">
        <v>81</v>
      </c>
      <c r="C39" s="43"/>
      <c r="D39" s="43" t="str">
        <f>'2023年'!D39</f>
        <v>河北新强力机械制造有限公司</v>
      </c>
      <c r="E39" s="47" t="s">
        <v>222</v>
      </c>
      <c r="F39" s="45">
        <f t="shared" si="19"/>
        <v>37229.28</v>
      </c>
      <c r="G39" s="46">
        <f t="shared" si="20"/>
        <v>0</v>
      </c>
      <c r="H39" s="46">
        <f t="shared" si="21"/>
        <v>192223.08</v>
      </c>
      <c r="I39" s="57"/>
      <c r="J39" s="58">
        <f>IF('2023年'!$AZ39&gt;('2023年'!$W39+'2023年'!$V39+SUM('2023年'!F39:$T39)),'2023年'!F39,IF('2023年'!$AZ39-'2023年'!$V39-'2023年'!$W39-SUM('2023年'!F39:$T39)&gt;0,'2023年'!$AZ39-'2023年'!$V39-'2023年'!$W39-SUM('2023年'!F39:$T39),""))</f>
        <v>0</v>
      </c>
      <c r="K39" s="58">
        <f>IF('2023年'!$AZ39&gt;('2023年'!$W39+'2023年'!$V39+SUM('2023年'!G39:$T39)),'2023年'!G39,IF('2023年'!$AZ39-'2023年'!$V39-'2023年'!$W39-SUM('2023年'!G39:$T39)&gt;0,'2023年'!$AZ39-'2023年'!$V39-'2023年'!$W39-SUM('2023年'!G39:$T39),""))</f>
        <v>0</v>
      </c>
      <c r="L39" s="58" t="str">
        <f>IF('2023年'!$AZ39&gt;(SUM('2023年'!$V39:AG39)+SUM('2023年'!H39:$T39)),'2023年'!H39,IF('2023年'!$AZ39-SUM('2023年'!$V39:AG39)-SUM('2023年'!I39:$T39)&gt;0,'2023年'!$AZ39-SUM('2023年'!$V39:AG39)-SUM('2023年'!I39:$T39),""))</f>
        <v/>
      </c>
      <c r="M39" s="58">
        <f>IF('2023年'!$AZ39&gt;('2023年'!$W39+'2023年'!$V39+SUM('2023年'!I39:$T39)),'2023年'!I39,IF('2023年'!$AZ39-'2023年'!$V39-'2023年'!$W39-SUM('2023年'!I39:$T39)&gt;0,'2023年'!$AZ39-'2023年'!$V39-'2023年'!$W39-SUM('2023年'!I39:$T39),""))</f>
        <v>0</v>
      </c>
      <c r="N39" s="58" t="str">
        <f>IF('2023年'!$AZ39&gt;(SUM('2023年'!$V39:AG39)+SUM('2023年'!J39:$T39)),'2023年'!J39,IF('2023年'!$AZ39-SUM('2023年'!$V39:AG39)-SUM('2023年'!K39:$T39)&gt;0,'2023年'!$AZ39-SUM('2023年'!$V39:AG39)-SUM('2023年'!K39:$T39),""))</f>
        <v/>
      </c>
      <c r="O39" s="58">
        <f>IF('2023年'!$AZ39&gt;('2023年'!$W39+'2023年'!$V39+SUM('2023年'!K39:$T39)),'2023年'!K39,IF('2023年'!$AZ39-'2023年'!$V39-'2023年'!$W39-SUM('2023年'!K39:$T39)&gt;0,'2023年'!$AZ39-'2023年'!$V39-'2023年'!$W39-SUM('2023年'!K39:$T39),""))</f>
        <v>0</v>
      </c>
      <c r="P39" s="58">
        <f>IF('2023年'!$AZ39&gt;('2023年'!$W39+'2023年'!$V39+SUM('2023年'!L39:$T39)),'2023年'!L39,IF('2023年'!$AZ39-'2023年'!$V39-'2023年'!$W39-SUM('2023年'!L39:$T39)&gt;0,'2023年'!$AZ39-'2023年'!$V39-'2023年'!$W39-SUM('2023年'!L39:$T39),""))</f>
        <v>0</v>
      </c>
      <c r="Q39" s="58">
        <f>IF('2023年'!$AZ39&gt;('2023年'!$W39+'2023年'!$V39+SUM('2023年'!M39:$T39)),'2023年'!M39,IF('2023年'!$AZ39-'2023年'!$V39-'2023年'!$W39-SUM('2023年'!N39:$T39)&gt;0,'2023年'!$AZ39-'2023年'!$V39-'2023年'!$W39-SUM('2023年'!N39:$T39),""))</f>
        <v>0</v>
      </c>
      <c r="R39" s="58" t="str">
        <f>IF('2023年'!$AZ39&gt;(SUM('2023年'!V39:AG39)+SUM('2023年'!N39:$T39)),'2023年'!N39,IF('2023年'!$AZ39-SUM('2023年'!V39:AG39)-SUM('2023年'!O39:$T39)&gt;0,'2023年'!$AZ39-SUM('2023年'!V39:AG39)-SUM('2023年'!O39:$T39),""))</f>
        <v/>
      </c>
      <c r="S39" s="58" t="str">
        <f>IF('2023年'!$AZ39&gt;('2023年'!P39+'2023年'!Q39+'2023年'!S39+'2023年'!T39+SUM('2023年'!V39:AG39))+'2023年'!O39+'2023年'!R39,'2023年'!O39+'2023年'!R39,IF('2023年'!$AZ39-SUM('2023年'!V39:AG39)-'2023年'!T39-'2023年'!S39-'2023年'!P39-'2023年'!Q39&gt;0,'2023年'!$AZ39-SUM('2023年'!V39:AG39)-'2023年'!T39-'2023年'!S39-'2023年'!P39-'2023年'!Q39,""))</f>
        <v/>
      </c>
      <c r="T39" s="58" t="str">
        <f>IF('2023年'!$AZ39&gt;('2023年'!$T39+'2023年'!$Q39+SUM('2023年'!V39:$AG39))+'2023年'!S39+'2023年'!P39,'2023年'!P39+'2023年'!S39,IF('2023年'!$AZ39-SUM('2023年'!V39:$AG39)-'2023年'!T39-'2023年'!Q39&gt;0,'2023年'!$AZ39-SUM('2023年'!V39:X39)-'2023年'!T39-'2023年'!Q39,""))</f>
        <v/>
      </c>
      <c r="U39" s="58" t="str">
        <f>IF('2023年'!$AZ39&gt;(SUM('2023年'!V39:AG39)+'2023年'!T39+'2023年'!Q39),'2023年'!Q39+'2023年'!T39,IF('2023年'!$AZ39-SUM('2023年'!V39:AG39)&gt;0,'2023年'!$AZ39-SUM('2023年'!V39:AG39),""))</f>
        <v/>
      </c>
      <c r="V39" s="61">
        <f>IF('2023年'!$AZ39&gt;=SUM('2023年'!V39:$AG39),'2023年'!V39,IF('2023年'!$AZ39-SUM('2023年'!W39:$AG39)&gt;0,'2023年'!$AZ39-SUM('2023年'!W39:$AG39),0))</f>
        <v>0</v>
      </c>
      <c r="W39" s="61">
        <f>IF('2023年'!$AZ39&gt;=SUM('2023年'!W39:$AG39),'2023年'!W39,IF('2023年'!$AZ39-SUM('2023年'!X39:$AG39)&gt;0,'2023年'!$AZ39-SUM('2023年'!X39:$AG39),0))</f>
        <v>0</v>
      </c>
      <c r="X39" s="61">
        <f>IF('2023年'!$AZ39&gt;=SUM('2023年'!X39:$AG39),'2023年'!X39,IF('2023年'!$AZ39-SUM('2023年'!Y39:$AG39)&gt;0,'2023年'!$AZ39-SUM('2023年'!Y39:$AG39),0))</f>
        <v>37229.28</v>
      </c>
      <c r="Y39" s="62">
        <f>IF('2023年'!$AZ39&gt;=SUM('2023年'!Y39:$AG39),'2023年'!Y39,IF('2023年'!$AZ39-SUM('2023年'!Z39:$AG39)&gt;0,'2023年'!$AZ39-SUM('2023年'!Z39:$AG39),0))</f>
        <v>0</v>
      </c>
      <c r="Z39" s="62">
        <f>IF('2023年'!$AZ39&gt;=SUM('2023年'!Z39:$AG39),'2023年'!Z39,IF('2023年'!$AZ39-SUM('2023年'!AA39:$AG39)&gt;0,'2023年'!$AZ39-SUM('2023年'!AA39:$AG39),0))</f>
        <v>154993.8</v>
      </c>
      <c r="AA39" s="62"/>
      <c r="AB39" s="62"/>
      <c r="AC39" s="62"/>
      <c r="AD39" s="62"/>
      <c r="AE39" s="62"/>
      <c r="AF39" s="62"/>
      <c r="AG39" s="62"/>
      <c r="AH39" s="88" t="s">
        <v>372</v>
      </c>
      <c r="AI39" s="79">
        <v>0.03</v>
      </c>
      <c r="AJ39" s="80" t="s">
        <v>374</v>
      </c>
      <c r="AK39" s="86" t="s">
        <v>383</v>
      </c>
      <c r="AL39" s="87"/>
      <c r="AM39" s="83"/>
      <c r="AN39" s="84"/>
      <c r="AO39" s="84"/>
    </row>
    <row r="40" s="20" customFormat="1" ht="24" hidden="1" customHeight="1" spans="2:41">
      <c r="B40" s="42" t="s">
        <v>81</v>
      </c>
      <c r="C40" s="43"/>
      <c r="D40" s="43" t="str">
        <f>'2023年'!D40</f>
        <v>黄骅市汇铭汽车部件有限公司</v>
      </c>
      <c r="E40" s="47" t="s">
        <v>222</v>
      </c>
      <c r="F40" s="45">
        <f t="shared" si="19"/>
        <v>0</v>
      </c>
      <c r="G40" s="46">
        <f t="shared" si="20"/>
        <v>0</v>
      </c>
      <c r="H40" s="46">
        <f t="shared" si="21"/>
        <v>0</v>
      </c>
      <c r="I40" s="57"/>
      <c r="J40" s="58" t="str">
        <f>IF('2023年'!$AZ40&gt;('2023年'!$W40+'2023年'!$V40+SUM('2023年'!F40:$T40)),'2023年'!F40,IF('2023年'!$AZ40-'2023年'!$V40-'2023年'!$W40-SUM('2023年'!F40:$T40)&gt;0,'2023年'!$AZ40-'2023年'!$V40-'2023年'!$W40-SUM('2023年'!F40:$T40),""))</f>
        <v/>
      </c>
      <c r="K40" s="58" t="str">
        <f>IF('2023年'!$AZ40&gt;('2023年'!$W40+'2023年'!$V40+SUM('2023年'!G40:$T40)),'2023年'!G40,IF('2023年'!$AZ40-'2023年'!$V40-'2023年'!$W40-SUM('2023年'!G40:$T40)&gt;0,'2023年'!$AZ40-'2023年'!$V40-'2023年'!$W40-SUM('2023年'!G40:$T40),""))</f>
        <v/>
      </c>
      <c r="L40" s="58" t="str">
        <f>IF('2023年'!$AZ40&gt;(SUM('2023年'!$V40:AG40)+SUM('2023年'!H40:$T40)),'2023年'!H40,IF('2023年'!$AZ40-SUM('2023年'!$V40:AG40)-SUM('2023年'!I40:$T40)&gt;0,'2023年'!$AZ40-SUM('2023年'!$V40:AG40)-SUM('2023年'!I40:$T40),""))</f>
        <v/>
      </c>
      <c r="M40" s="58" t="str">
        <f>IF('2023年'!$AZ40&gt;('2023年'!$W40+'2023年'!$V40+SUM('2023年'!I40:$T40)),'2023年'!I40,IF('2023年'!$AZ40-'2023年'!$V40-'2023年'!$W40-SUM('2023年'!I40:$T40)&gt;0,'2023年'!$AZ40-'2023年'!$V40-'2023年'!$W40-SUM('2023年'!I40:$T40),""))</f>
        <v/>
      </c>
      <c r="N40" s="58" t="str">
        <f>IF('2023年'!$AZ40&gt;(SUM('2023年'!$V40:AG40)+SUM('2023年'!J40:$T40)),'2023年'!J40,IF('2023年'!$AZ40-SUM('2023年'!$V40:AG40)-SUM('2023年'!K40:$T40)&gt;0,'2023年'!$AZ40-SUM('2023年'!$V40:AG40)-SUM('2023年'!K40:$T40),""))</f>
        <v/>
      </c>
      <c r="O40" s="58" t="str">
        <f>IF('2023年'!$AZ40&gt;('2023年'!$W40+'2023年'!$V40+SUM('2023年'!K40:$T40)),'2023年'!K40,IF('2023年'!$AZ40-'2023年'!$V40-'2023年'!$W40-SUM('2023年'!K40:$T40)&gt;0,'2023年'!$AZ40-'2023年'!$V40-'2023年'!$W40-SUM('2023年'!K40:$T40),""))</f>
        <v/>
      </c>
      <c r="P40" s="58" t="str">
        <f>IF('2023年'!$AZ40&gt;('2023年'!$W40+'2023年'!$V40+SUM('2023年'!L40:$T40)),'2023年'!L40,IF('2023年'!$AZ40-'2023年'!$V40-'2023年'!$W40-SUM('2023年'!L40:$T40)&gt;0,'2023年'!$AZ40-'2023年'!$V40-'2023年'!$W40-SUM('2023年'!L40:$T40),""))</f>
        <v/>
      </c>
      <c r="Q40" s="58" t="str">
        <f>IF('2023年'!$AZ40&gt;('2023年'!$W40+'2023年'!$V40+SUM('2023年'!M40:$T40)),'2023年'!M40,IF('2023年'!$AZ40-'2023年'!$V40-'2023年'!$W40-SUM('2023年'!N40:$T40)&gt;0,'2023年'!$AZ40-'2023年'!$V40-'2023年'!$W40-SUM('2023年'!N40:$T40),""))</f>
        <v/>
      </c>
      <c r="R40" s="58" t="str">
        <f>IF('2023年'!$AZ40&gt;(SUM('2023年'!V40:AG40)+SUM('2023年'!N40:$T40)),'2023年'!N40,IF('2023年'!$AZ40-SUM('2023年'!V40:AG40)-SUM('2023年'!O40:$T40)&gt;0,'2023年'!$AZ40-SUM('2023年'!V40:AG40)-SUM('2023年'!O40:$T40),""))</f>
        <v/>
      </c>
      <c r="S40" s="58" t="str">
        <f>IF('2023年'!$AZ40&gt;('2023年'!P40+'2023年'!Q40+'2023年'!S40+'2023年'!T40+SUM('2023年'!V40:AG40))+'2023年'!O40+'2023年'!R40,'2023年'!O40+'2023年'!R40,IF('2023年'!$AZ40-SUM('2023年'!V40:AG40)-'2023年'!T40-'2023年'!S40-'2023年'!P40-'2023年'!Q40&gt;0,'2023年'!$AZ40-SUM('2023年'!V40:AG40)-'2023年'!T40-'2023年'!S40-'2023年'!P40-'2023年'!Q40,""))</f>
        <v/>
      </c>
      <c r="T40" s="58" t="str">
        <f>IF('2023年'!$AZ40&gt;('2023年'!$T40+'2023年'!$Q40+SUM('2023年'!V40:$AG40))+'2023年'!S40+'2023年'!P40,'2023年'!P40+'2023年'!S40,IF('2023年'!$AZ40-SUM('2023年'!V40:$AG40)-'2023年'!T40-'2023年'!Q40&gt;0,'2023年'!$AZ40-SUM('2023年'!V40:X40)-'2023年'!T40-'2023年'!Q40,""))</f>
        <v/>
      </c>
      <c r="U40" s="58" t="str">
        <f>IF('2023年'!$AZ40&gt;(SUM('2023年'!V40:AG40)+'2023年'!T40+'2023年'!Q40),'2023年'!Q40+'2023年'!T40,IF('2023年'!$AZ40-SUM('2023年'!V40:AG40)&gt;0,'2023年'!$AZ40-SUM('2023年'!V40:AG40),""))</f>
        <v/>
      </c>
      <c r="V40" s="61">
        <f>IF('2023年'!$AZ40&gt;=SUM('2023年'!V40:$AG40),'2023年'!V40,IF('2023年'!$AZ40-SUM('2023年'!W40:$AG40)&gt;0,'2023年'!$AZ40-SUM('2023年'!W40:$AG40),0))</f>
        <v>0</v>
      </c>
      <c r="W40" s="61">
        <f>IF('2023年'!$AZ40&gt;=SUM('2023年'!W40:$AG40),'2023年'!W40,IF('2023年'!$AZ40-SUM('2023年'!X40:$AG40)&gt;0,'2023年'!$AZ40-SUM('2023年'!X40:$AG40),0))</f>
        <v>0</v>
      </c>
      <c r="X40" s="61">
        <f>IF('2023年'!$AZ40&gt;=SUM('2023年'!X40:$AG40),'2023年'!X40,IF('2023年'!$AZ40-SUM('2023年'!Y40:$AG40)&gt;0,'2023年'!$AZ40-SUM('2023年'!Y40:$AG40),0))</f>
        <v>0</v>
      </c>
      <c r="Y40" s="62">
        <f>IF('2023年'!$AZ40&gt;=SUM('2023年'!Y40:$AG40),'2023年'!Y40,IF('2023年'!$AZ40-SUM('2023年'!Z40:$AG40)&gt;0,'2023年'!$AZ40-SUM('2023年'!Z40:$AG40),0))</f>
        <v>0</v>
      </c>
      <c r="Z40" s="62">
        <f>IF('2023年'!$AZ40&gt;=SUM('2023年'!Z40:$AG40),'2023年'!Z40,IF('2023年'!$AZ40-SUM('2023年'!AA40:$AG40)&gt;0,'2023年'!$AZ40-SUM('2023年'!AA40:$AG40),0))</f>
        <v>0</v>
      </c>
      <c r="AA40" s="62"/>
      <c r="AB40" s="62"/>
      <c r="AC40" s="62"/>
      <c r="AD40" s="62"/>
      <c r="AE40" s="62"/>
      <c r="AF40" s="62"/>
      <c r="AG40" s="62"/>
      <c r="AH40" s="88" t="s">
        <v>372</v>
      </c>
      <c r="AI40" s="79">
        <v>0.03</v>
      </c>
      <c r="AJ40" s="80" t="s">
        <v>374</v>
      </c>
      <c r="AK40" s="86"/>
      <c r="AL40" s="87"/>
      <c r="AM40" s="83"/>
      <c r="AN40" s="84"/>
      <c r="AO40" s="84"/>
    </row>
    <row r="41" s="20" customFormat="1" ht="24" hidden="1" customHeight="1" spans="2:41">
      <c r="B41" s="42" t="s">
        <v>81</v>
      </c>
      <c r="C41" s="43"/>
      <c r="D41" s="43" t="str">
        <f>'2023年'!D41</f>
        <v>黄骅市建昌塑料制品有限公司</v>
      </c>
      <c r="E41" s="47" t="s">
        <v>222</v>
      </c>
      <c r="F41" s="45">
        <f t="shared" si="19"/>
        <v>0</v>
      </c>
      <c r="G41" s="46">
        <f t="shared" si="20"/>
        <v>0</v>
      </c>
      <c r="H41" s="46">
        <f t="shared" si="21"/>
        <v>0</v>
      </c>
      <c r="I41" s="57"/>
      <c r="J41" s="58" t="str">
        <f>IF('2023年'!$AZ41&gt;('2023年'!$W41+'2023年'!$V41+SUM('2023年'!F41:$T41)),'2023年'!F41,IF('2023年'!$AZ41-'2023年'!$V41-'2023年'!$W41-SUM('2023年'!F41:$T41)&gt;0,'2023年'!$AZ41-'2023年'!$V41-'2023年'!$W41-SUM('2023年'!F41:$T41),""))</f>
        <v/>
      </c>
      <c r="K41" s="58" t="str">
        <f>IF('2023年'!$AZ41&gt;('2023年'!$W41+'2023年'!$V41+SUM('2023年'!G41:$T41)),'2023年'!G41,IF('2023年'!$AZ41-'2023年'!$V41-'2023年'!$W41-SUM('2023年'!G41:$T41)&gt;0,'2023年'!$AZ41-'2023年'!$V41-'2023年'!$W41-SUM('2023年'!G41:$T41),""))</f>
        <v/>
      </c>
      <c r="L41" s="58" t="str">
        <f>IF('2023年'!$AZ41&gt;(SUM('2023年'!$V41:AG41)+SUM('2023年'!H41:$T41)),'2023年'!H41,IF('2023年'!$AZ41-SUM('2023年'!$V41:AG41)-SUM('2023年'!I41:$T41)&gt;0,'2023年'!$AZ41-SUM('2023年'!$V41:AG41)-SUM('2023年'!I41:$T41),""))</f>
        <v/>
      </c>
      <c r="M41" s="58" t="str">
        <f>IF('2023年'!$AZ41&gt;('2023年'!$W41+'2023年'!$V41+SUM('2023年'!I41:$T41)),'2023年'!I41,IF('2023年'!$AZ41-'2023年'!$V41-'2023年'!$W41-SUM('2023年'!I41:$T41)&gt;0,'2023年'!$AZ41-'2023年'!$V41-'2023年'!$W41-SUM('2023年'!I41:$T41),""))</f>
        <v/>
      </c>
      <c r="N41" s="58" t="str">
        <f>IF('2023年'!$AZ41&gt;(SUM('2023年'!$V41:AG41)+SUM('2023年'!J41:$T41)),'2023年'!J41,IF('2023年'!$AZ41-SUM('2023年'!$V41:AG41)-SUM('2023年'!K41:$T41)&gt;0,'2023年'!$AZ41-SUM('2023年'!$V41:AG41)-SUM('2023年'!K41:$T41),""))</f>
        <v/>
      </c>
      <c r="O41" s="58" t="str">
        <f>IF('2023年'!$AZ41&gt;('2023年'!$W41+'2023年'!$V41+SUM('2023年'!K41:$T41)),'2023年'!K41,IF('2023年'!$AZ41-'2023年'!$V41-'2023年'!$W41-SUM('2023年'!K41:$T41)&gt;0,'2023年'!$AZ41-'2023年'!$V41-'2023年'!$W41-SUM('2023年'!K41:$T41),""))</f>
        <v/>
      </c>
      <c r="P41" s="58" t="str">
        <f>IF('2023年'!$AZ41&gt;('2023年'!$W41+'2023年'!$V41+SUM('2023年'!L41:$T41)),'2023年'!L41,IF('2023年'!$AZ41-'2023年'!$V41-'2023年'!$W41-SUM('2023年'!L41:$T41)&gt;0,'2023年'!$AZ41-'2023年'!$V41-'2023年'!$W41-SUM('2023年'!L41:$T41),""))</f>
        <v/>
      </c>
      <c r="Q41" s="58" t="str">
        <f>IF('2023年'!$AZ41&gt;('2023年'!$W41+'2023年'!$V41+SUM('2023年'!M41:$T41)),'2023年'!M41,IF('2023年'!$AZ41-'2023年'!$V41-'2023年'!$W41-SUM('2023年'!N41:$T41)&gt;0,'2023年'!$AZ41-'2023年'!$V41-'2023年'!$W41-SUM('2023年'!N41:$T41),""))</f>
        <v/>
      </c>
      <c r="R41" s="58" t="str">
        <f>IF('2023年'!$AZ41&gt;(SUM('2023年'!V41:AG41)+SUM('2023年'!N41:$T41)),'2023年'!N41,IF('2023年'!$AZ41-SUM('2023年'!V41:AG41)-SUM('2023年'!O41:$T41)&gt;0,'2023年'!$AZ41-SUM('2023年'!V41:AG41)-SUM('2023年'!O41:$T41),""))</f>
        <v/>
      </c>
      <c r="S41" s="58" t="str">
        <f>IF('2023年'!$AZ41&gt;('2023年'!P41+'2023年'!Q41+'2023年'!S41+'2023年'!T41+SUM('2023年'!V41:AG41))+'2023年'!O41+'2023年'!R41,'2023年'!O41+'2023年'!R41,IF('2023年'!$AZ41-SUM('2023年'!V41:AG41)-'2023年'!T41-'2023年'!S41-'2023年'!P41-'2023年'!Q41&gt;0,'2023年'!$AZ41-SUM('2023年'!V41:AG41)-'2023年'!T41-'2023年'!S41-'2023年'!P41-'2023年'!Q41,""))</f>
        <v/>
      </c>
      <c r="T41" s="58" t="str">
        <f>IF('2023年'!$AZ41&gt;('2023年'!$T41+'2023年'!$Q41+SUM('2023年'!V41:$AG41))+'2023年'!S41+'2023年'!P41,'2023年'!P41+'2023年'!S41,IF('2023年'!$AZ41-SUM('2023年'!V41:$AG41)-'2023年'!T41-'2023年'!Q41&gt;0,'2023年'!$AZ41-SUM('2023年'!V41:X41)-'2023年'!T41-'2023年'!Q41,""))</f>
        <v/>
      </c>
      <c r="U41" s="58" t="str">
        <f>IF('2023年'!$AZ41&gt;(SUM('2023年'!V41:AG41)+'2023年'!T41+'2023年'!Q41),'2023年'!Q41+'2023年'!T41,IF('2023年'!$AZ41-SUM('2023年'!V41:AG41)&gt;0,'2023年'!$AZ41-SUM('2023年'!V41:AG41),""))</f>
        <v/>
      </c>
      <c r="V41" s="61">
        <f>IF('2023年'!$AZ41&gt;=SUM('2023年'!V41:$AG41),'2023年'!V41,IF('2023年'!$AZ41-SUM('2023年'!W41:$AG41)&gt;0,'2023年'!$AZ41-SUM('2023年'!W41:$AG41),0))</f>
        <v>0</v>
      </c>
      <c r="W41" s="61">
        <f>IF('2023年'!$AZ41&gt;=SUM('2023年'!W41:$AG41),'2023年'!W41,IF('2023年'!$AZ41-SUM('2023年'!X41:$AG41)&gt;0,'2023年'!$AZ41-SUM('2023年'!X41:$AG41),0))</f>
        <v>0</v>
      </c>
      <c r="X41" s="61">
        <f>IF('2023年'!$AZ41&gt;=SUM('2023年'!X41:$AG41),'2023年'!X41,IF('2023年'!$AZ41-SUM('2023年'!Y41:$AG41)&gt;0,'2023年'!$AZ41-SUM('2023年'!Y41:$AG41),0))</f>
        <v>0</v>
      </c>
      <c r="Y41" s="62">
        <f>IF('2023年'!$AZ41&gt;=SUM('2023年'!Y41:$AG41),'2023年'!Y41,IF('2023年'!$AZ41-SUM('2023年'!Z41:$AG41)&gt;0,'2023年'!$AZ41-SUM('2023年'!Z41:$AG41),0))</f>
        <v>0</v>
      </c>
      <c r="Z41" s="62">
        <f>IF('2023年'!$AZ41&gt;=SUM('2023年'!Z41:$AG41),'2023年'!Z41,IF('2023年'!$AZ41-SUM('2023年'!AA41:$AG41)&gt;0,'2023年'!$AZ41-SUM('2023年'!AA41:$AG41),0))</f>
        <v>0</v>
      </c>
      <c r="AA41" s="62"/>
      <c r="AB41" s="62"/>
      <c r="AC41" s="62"/>
      <c r="AD41" s="62"/>
      <c r="AE41" s="62"/>
      <c r="AF41" s="62"/>
      <c r="AG41" s="62"/>
      <c r="AH41" s="88" t="s">
        <v>372</v>
      </c>
      <c r="AI41" s="79">
        <v>0.03</v>
      </c>
      <c r="AJ41" s="80" t="s">
        <v>374</v>
      </c>
      <c r="AK41" s="86" t="s">
        <v>384</v>
      </c>
      <c r="AL41" s="87"/>
      <c r="AM41" s="83"/>
      <c r="AN41" s="84"/>
      <c r="AO41" s="84"/>
    </row>
    <row r="42" s="20" customFormat="1" ht="24" hidden="1" customHeight="1" spans="2:41">
      <c r="B42" s="42" t="s">
        <v>81</v>
      </c>
      <c r="C42" s="43"/>
      <c r="D42" s="43" t="str">
        <f>'2023年'!D42</f>
        <v>黄骅市旗锐塑料制品有限公司</v>
      </c>
      <c r="E42" s="47"/>
      <c r="F42" s="45">
        <f>SUM(I42:V42)</f>
        <v>0</v>
      </c>
      <c r="G42" s="46">
        <f>SUM(I42:U42)</f>
        <v>0</v>
      </c>
      <c r="H42" s="46">
        <f t="shared" si="21"/>
        <v>0</v>
      </c>
      <c r="I42" s="57"/>
      <c r="J42" s="58" t="str">
        <f>IF('2023年'!$AZ42&gt;('2023年'!$W42+'2023年'!$V42+SUM('2023年'!F42:$T42)),'2023年'!F42,IF('2023年'!$AZ42-'2023年'!$V42-'2023年'!$W42-SUM('2023年'!F42:$T42)&gt;0,'2023年'!$AZ42-'2023年'!$V42-'2023年'!$W42-SUM('2023年'!F42:$T42),""))</f>
        <v/>
      </c>
      <c r="K42" s="58" t="str">
        <f>IF('2023年'!$AZ42&gt;('2023年'!$W42+'2023年'!$V42+SUM('2023年'!G42:$T42)),'2023年'!G42,IF('2023年'!$AZ42-'2023年'!$V42-'2023年'!$W42-SUM('2023年'!G42:$T42)&gt;0,'2023年'!$AZ42-'2023年'!$V42-'2023年'!$W42-SUM('2023年'!G42:$T42),""))</f>
        <v/>
      </c>
      <c r="L42" s="58" t="str">
        <f>IF('2023年'!$AZ42&gt;(SUM('2023年'!$V42:AG42)+SUM('2023年'!H42:$T42)),'2023年'!H42,IF('2023年'!$AZ42-SUM('2023年'!$V42:AG42)-SUM('2023年'!I42:$T42)&gt;0,'2023年'!$AZ42-SUM('2023年'!$V42:AG42)-SUM('2023年'!I42:$T42),""))</f>
        <v/>
      </c>
      <c r="M42" s="58" t="str">
        <f>IF('2023年'!$AZ42&gt;('2023年'!$W42+'2023年'!$V42+SUM('2023年'!I42:$T42)),'2023年'!I42,IF('2023年'!$AZ42-'2023年'!$V42-'2023年'!$W42-SUM('2023年'!I42:$T42)&gt;0,'2023年'!$AZ42-'2023年'!$V42-'2023年'!$W42-SUM('2023年'!I42:$T42),""))</f>
        <v/>
      </c>
      <c r="N42" s="58" t="str">
        <f>IF('2023年'!$AZ42&gt;(SUM('2023年'!$V42:AG42)+SUM('2023年'!J42:$T42)),'2023年'!J42,IF('2023年'!$AZ42-SUM('2023年'!$V42:AG42)-SUM('2023年'!K42:$T42)&gt;0,'2023年'!$AZ42-SUM('2023年'!$V42:AG42)-SUM('2023年'!K42:$T42),""))</f>
        <v/>
      </c>
      <c r="O42" s="58" t="str">
        <f>IF('2023年'!$AZ42&gt;('2023年'!$W42+'2023年'!$V42+SUM('2023年'!K42:$T42)),'2023年'!K42,IF('2023年'!$AZ42-'2023年'!$V42-'2023年'!$W42-SUM('2023年'!K42:$T42)&gt;0,'2023年'!$AZ42-'2023年'!$V42-'2023年'!$W42-SUM('2023年'!K42:$T42),""))</f>
        <v/>
      </c>
      <c r="P42" s="58" t="str">
        <f>IF('2023年'!$AZ42&gt;('2023年'!$W42+'2023年'!$V42+SUM('2023年'!L42:$T42)),'2023年'!L42,IF('2023年'!$AZ42-'2023年'!$V42-'2023年'!$W42-SUM('2023年'!L42:$T42)&gt;0,'2023年'!$AZ42-'2023年'!$V42-'2023年'!$W42-SUM('2023年'!L42:$T42),""))</f>
        <v/>
      </c>
      <c r="Q42" s="58" t="str">
        <f>IF('2023年'!$AZ42&gt;('2023年'!$W42+'2023年'!$V42+SUM('2023年'!M42:$T42)),'2023年'!M42,IF('2023年'!$AZ42-'2023年'!$V42-'2023年'!$W42-SUM('2023年'!N42:$T42)&gt;0,'2023年'!$AZ42-'2023年'!$V42-'2023年'!$W42-SUM('2023年'!N42:$T42),""))</f>
        <v/>
      </c>
      <c r="R42" s="58" t="str">
        <f>IF('2023年'!$AZ42&gt;(SUM('2023年'!V42:AG42)+SUM('2023年'!N42:$T42)),'2023年'!N42,IF('2023年'!$AZ42-SUM('2023年'!V42:AG42)-SUM('2023年'!O42:$T42)&gt;0,'2023年'!$AZ42-SUM('2023年'!V42:AG42)-SUM('2023年'!O42:$T42),""))</f>
        <v/>
      </c>
      <c r="S42" s="58" t="str">
        <f>IF('2023年'!$AZ42&gt;('2023年'!P42+'2023年'!Q42+'2023年'!S42+'2023年'!T42+SUM('2023年'!V42:AG42))+'2023年'!O42+'2023年'!R42,'2023年'!O42+'2023年'!R42,IF('2023年'!$AZ42-SUM('2023年'!V42:AG42)-'2023年'!T42-'2023年'!S42-'2023年'!P42-'2023年'!Q42&gt;0,'2023年'!$AZ42-SUM('2023年'!V42:AG42)-'2023年'!T42-'2023年'!S42-'2023年'!P42-'2023年'!Q42,""))</f>
        <v/>
      </c>
      <c r="T42" s="58" t="str">
        <f>IF('2023年'!$AZ42&gt;('2023年'!$T42+'2023年'!$Q42+SUM('2023年'!V42:$AG42))+'2023年'!S42+'2023年'!P42,'2023年'!P42+'2023年'!S42,IF('2023年'!$AZ42-SUM('2023年'!V42:$AG42)-'2023年'!T42-'2023年'!Q42&gt;0,'2023年'!$AZ42-SUM('2023年'!V42:X42)-'2023年'!T42-'2023年'!Q42,""))</f>
        <v/>
      </c>
      <c r="U42" s="58" t="str">
        <f>IF('2023年'!$AZ42&gt;(SUM('2023年'!V42:AG42)+'2023年'!T42+'2023年'!Q42),'2023年'!Q42+'2023年'!T42,IF('2023年'!$AZ42-SUM('2023年'!V42:AG42)&gt;0,'2023年'!$AZ42-SUM('2023年'!V42:AG42),""))</f>
        <v/>
      </c>
      <c r="V42" s="61">
        <f>IF('2023年'!$AZ42&gt;=SUM('2023年'!V42:$AG42),'2023年'!V42,IF('2023年'!$AZ42-SUM('2023年'!W42:$AG42)&gt;0,'2023年'!$AZ42-SUM('2023年'!W42:$AG42),0))</f>
        <v>0</v>
      </c>
      <c r="W42" s="61">
        <f>IF('2023年'!$AZ42&gt;=SUM('2023年'!W42:$AG42),'2023年'!W42,IF('2023年'!$AZ42-SUM('2023年'!X42:$AG42)&gt;0,'2023年'!$AZ42-SUM('2023年'!X42:$AG42),0))</f>
        <v>0</v>
      </c>
      <c r="X42" s="61">
        <f>IF('2023年'!$AZ42&gt;=SUM('2023年'!X42:$AG42),'2023年'!X42,IF('2023年'!$AZ42-SUM('2023年'!Y42:$AG42)&gt;0,'2023年'!$AZ42-SUM('2023年'!Y42:$AG42),0))</f>
        <v>0</v>
      </c>
      <c r="Y42" s="62">
        <f>IF('2023年'!$AZ42&gt;=SUM('2023年'!Y42:$AG42),'2023年'!Y42,IF('2023年'!$AZ42-SUM('2023年'!Z42:$AG42)&gt;0,'2023年'!$AZ42-SUM('2023年'!Z42:$AG42),0))</f>
        <v>0</v>
      </c>
      <c r="Z42" s="62">
        <f>IF('2023年'!$AZ42&gt;=SUM('2023年'!Z42:$AG42),'2023年'!Z42,IF('2023年'!$AZ42-SUM('2023年'!AA42:$AG42)&gt;0,'2023年'!$AZ42-SUM('2023年'!AA42:$AG42),0))</f>
        <v>0</v>
      </c>
      <c r="AA42" s="62"/>
      <c r="AB42" s="62"/>
      <c r="AC42" s="62"/>
      <c r="AD42" s="62"/>
      <c r="AE42" s="62"/>
      <c r="AF42" s="62"/>
      <c r="AG42" s="62"/>
      <c r="AH42" s="88" t="s">
        <v>376</v>
      </c>
      <c r="AI42" s="79"/>
      <c r="AJ42" s="80"/>
      <c r="AK42" s="86" t="s">
        <v>385</v>
      </c>
      <c r="AL42" s="87"/>
      <c r="AM42" s="83"/>
      <c r="AN42" s="84"/>
      <c r="AO42" s="84"/>
    </row>
    <row r="43" s="20" customFormat="1" ht="24" hidden="1" customHeight="1" spans="2:41">
      <c r="B43" s="42" t="s">
        <v>81</v>
      </c>
      <c r="C43" s="43"/>
      <c r="D43" s="43" t="str">
        <f>'2023年'!D43</f>
        <v>黄骅市鑫祺汽车配件有限公司</v>
      </c>
      <c r="E43" s="47" t="s">
        <v>222</v>
      </c>
      <c r="F43" s="45">
        <f t="shared" ref="F43:F46" si="22">SUM(I43:X43)</f>
        <v>0</v>
      </c>
      <c r="G43" s="46">
        <f t="shared" ref="G43:G46" si="23">SUM(I43:V43)</f>
        <v>0</v>
      </c>
      <c r="H43" s="46">
        <f t="shared" ref="H43:H48" si="24">SUM(I43:AG43)</f>
        <v>0</v>
      </c>
      <c r="I43" s="57"/>
      <c r="J43" s="58" t="str">
        <f>IF('2023年'!$AZ43&gt;('2023年'!$W43+'2023年'!$V43+SUM('2023年'!F43:$T43)),'2023年'!F43,IF('2023年'!$AZ43-'2023年'!$V43-'2023年'!$W43-SUM('2023年'!F43:$T43)&gt;0,'2023年'!$AZ43-'2023年'!$V43-'2023年'!$W43-SUM('2023年'!F43:$T43),""))</f>
        <v/>
      </c>
      <c r="K43" s="58" t="str">
        <f>IF('2023年'!$AZ43&gt;('2023年'!$W43+'2023年'!$V43+SUM('2023年'!G43:$T43)),'2023年'!G43,IF('2023年'!$AZ43-'2023年'!$V43-'2023年'!$W43-SUM('2023年'!G43:$T43)&gt;0,'2023年'!$AZ43-'2023年'!$V43-'2023年'!$W43-SUM('2023年'!G43:$T43),""))</f>
        <v/>
      </c>
      <c r="L43" s="58" t="str">
        <f>IF('2023年'!$AZ43&gt;(SUM('2023年'!$V43:AG43)+SUM('2023年'!H43:$T43)),'2023年'!H43,IF('2023年'!$AZ43-SUM('2023年'!$V43:AG43)-SUM('2023年'!I43:$T43)&gt;0,'2023年'!$AZ43-SUM('2023年'!$V43:AG43)-SUM('2023年'!I43:$T43),""))</f>
        <v/>
      </c>
      <c r="M43" s="58" t="str">
        <f>IF('2023年'!$AZ43&gt;('2023年'!$W43+'2023年'!$V43+SUM('2023年'!I43:$T43)),'2023年'!I43,IF('2023年'!$AZ43-'2023年'!$V43-'2023年'!$W43-SUM('2023年'!I43:$T43)&gt;0,'2023年'!$AZ43-'2023年'!$V43-'2023年'!$W43-SUM('2023年'!I43:$T43),""))</f>
        <v/>
      </c>
      <c r="N43" s="58" t="str">
        <f>IF('2023年'!$AZ43&gt;(SUM('2023年'!$V43:AG43)+SUM('2023年'!J43:$T43)),'2023年'!J43,IF('2023年'!$AZ43-SUM('2023年'!$V43:AG43)-SUM('2023年'!K43:$T43)&gt;0,'2023年'!$AZ43-SUM('2023年'!$V43:AG43)-SUM('2023年'!K43:$T43),""))</f>
        <v/>
      </c>
      <c r="O43" s="58" t="str">
        <f>IF('2023年'!$AZ43&gt;('2023年'!$W43+'2023年'!$V43+SUM('2023年'!K43:$T43)),'2023年'!K43,IF('2023年'!$AZ43-'2023年'!$V43-'2023年'!$W43-SUM('2023年'!K43:$T43)&gt;0,'2023年'!$AZ43-'2023年'!$V43-'2023年'!$W43-SUM('2023年'!K43:$T43),""))</f>
        <v/>
      </c>
      <c r="P43" s="58" t="str">
        <f>IF('2023年'!$AZ43&gt;('2023年'!$W43+'2023年'!$V43+SUM('2023年'!L43:$T43)),'2023年'!L43,IF('2023年'!$AZ43-'2023年'!$V43-'2023年'!$W43-SUM('2023年'!L43:$T43)&gt;0,'2023年'!$AZ43-'2023年'!$V43-'2023年'!$W43-SUM('2023年'!L43:$T43),""))</f>
        <v/>
      </c>
      <c r="Q43" s="58" t="str">
        <f>IF('2023年'!$AZ43&gt;('2023年'!$W43+'2023年'!$V43+SUM('2023年'!M43:$T43)),'2023年'!M43,IF('2023年'!$AZ43-'2023年'!$V43-'2023年'!$W43-SUM('2023年'!N43:$T43)&gt;0,'2023年'!$AZ43-'2023年'!$V43-'2023年'!$W43-SUM('2023年'!N43:$T43),""))</f>
        <v/>
      </c>
      <c r="R43" s="58" t="str">
        <f>IF('2023年'!$AZ43&gt;(SUM('2023年'!V43:AG43)+SUM('2023年'!N43:$T43)),'2023年'!N43,IF('2023年'!$AZ43-SUM('2023年'!V43:AG43)-SUM('2023年'!O43:$T43)&gt;0,'2023年'!$AZ43-SUM('2023年'!V43:AG43)-SUM('2023年'!O43:$T43),""))</f>
        <v/>
      </c>
      <c r="S43" s="58" t="str">
        <f>IF('2023年'!$AZ43&gt;('2023年'!P43+'2023年'!Q43+'2023年'!S43+'2023年'!T43+SUM('2023年'!V43:AG43))+'2023年'!O43+'2023年'!R43,'2023年'!O43+'2023年'!R43,IF('2023年'!$AZ43-SUM('2023年'!V43:AG43)-'2023年'!T43-'2023年'!S43-'2023年'!P43-'2023年'!Q43&gt;0,'2023年'!$AZ43-SUM('2023年'!V43:AG43)-'2023年'!T43-'2023年'!S43-'2023年'!P43-'2023年'!Q43,""))</f>
        <v/>
      </c>
      <c r="T43" s="58" t="str">
        <f>IF('2023年'!$AZ43&gt;('2023年'!$T43+'2023年'!$Q43+SUM('2023年'!V43:$AG43))+'2023年'!S43+'2023年'!P43,'2023年'!P43+'2023年'!S43,IF('2023年'!$AZ43-SUM('2023年'!V43:$AG43)-'2023年'!T43-'2023年'!Q43&gt;0,'2023年'!$AZ43-SUM('2023年'!V43:X43)-'2023年'!T43-'2023年'!Q43,""))</f>
        <v/>
      </c>
      <c r="U43" s="58" t="str">
        <f>IF('2023年'!$AZ43&gt;(SUM('2023年'!V43:AG43)+'2023年'!T43+'2023年'!Q43),'2023年'!Q43+'2023年'!T43,IF('2023年'!$AZ43-SUM('2023年'!V43:AG43)&gt;0,'2023年'!$AZ43-SUM('2023年'!V43:AG43),""))</f>
        <v/>
      </c>
      <c r="V43" s="61">
        <f>IF('2023年'!$AZ43&gt;=SUM('2023年'!V43:$AG43),'2023年'!V43,IF('2023年'!$AZ43-SUM('2023年'!W43:$AG43)&gt;0,'2023年'!$AZ43-SUM('2023年'!W43:$AG43),0))</f>
        <v>0</v>
      </c>
      <c r="W43" s="61">
        <f>IF('2023年'!$AZ43&gt;=SUM('2023年'!W43:$AG43),'2023年'!W43,IF('2023年'!$AZ43-SUM('2023年'!X43:$AG43)&gt;0,'2023年'!$AZ43-SUM('2023年'!X43:$AG43),0))</f>
        <v>0</v>
      </c>
      <c r="X43" s="61">
        <f>IF('2023年'!$AZ43&gt;=SUM('2023年'!X43:$AG43),'2023年'!X43,IF('2023年'!$AZ43-SUM('2023年'!Y43:$AG43)&gt;0,'2023年'!$AZ43-SUM('2023年'!Y43:$AG43),0))</f>
        <v>0</v>
      </c>
      <c r="Y43" s="62">
        <f>IF('2023年'!$AZ43&gt;=SUM('2023年'!Y43:$AG43),'2023年'!Y43,IF('2023年'!$AZ43-SUM('2023年'!Z43:$AG43)&gt;0,'2023年'!$AZ43-SUM('2023年'!Z43:$AG43),0))</f>
        <v>0</v>
      </c>
      <c r="Z43" s="62">
        <f>IF('2023年'!$AZ43&gt;=SUM('2023年'!Z43:$AG43),'2023年'!Z43,IF('2023年'!$AZ43-SUM('2023年'!AA43:$AG43)&gt;0,'2023年'!$AZ43-SUM('2023年'!AA43:$AG43),0))</f>
        <v>0</v>
      </c>
      <c r="AA43" s="62"/>
      <c r="AB43" s="62"/>
      <c r="AC43" s="62"/>
      <c r="AD43" s="62"/>
      <c r="AE43" s="62"/>
      <c r="AF43" s="62"/>
      <c r="AG43" s="62"/>
      <c r="AH43" s="88" t="s">
        <v>372</v>
      </c>
      <c r="AI43" s="79">
        <v>0.03</v>
      </c>
      <c r="AJ43" s="80" t="s">
        <v>374</v>
      </c>
      <c r="AK43" s="86" t="s">
        <v>386</v>
      </c>
      <c r="AL43" s="87"/>
      <c r="AM43" s="83"/>
      <c r="AN43" s="84"/>
      <c r="AO43" s="84"/>
    </row>
    <row r="44" s="20" customFormat="1" ht="24" hidden="1" customHeight="1" spans="2:41">
      <c r="B44" s="42" t="s">
        <v>81</v>
      </c>
      <c r="C44" s="43"/>
      <c r="D44" s="43" t="str">
        <f>'2023年'!D44</f>
        <v>黄骅市长生汽车灯镜有限公司</v>
      </c>
      <c r="E44" s="47">
        <v>30</v>
      </c>
      <c r="F44" s="45">
        <f>SUM(I44:Z44)</f>
        <v>114204.12</v>
      </c>
      <c r="G44" s="46">
        <f>SUM(I44:X44)</f>
        <v>0</v>
      </c>
      <c r="H44" s="46">
        <f t="shared" si="24"/>
        <v>114204.12</v>
      </c>
      <c r="I44" s="57"/>
      <c r="J44" s="58">
        <f>IF('2023年'!$AZ44&gt;('2023年'!$W44+'2023年'!$V44+SUM('2023年'!F44:$T44)),'2023年'!F44,IF('2023年'!$AZ44-'2023年'!$V44-'2023年'!$W44-SUM('2023年'!F44:$T44)&gt;0,'2023年'!$AZ44-'2023年'!$V44-'2023年'!$W44-SUM('2023年'!F44:$T44),""))</f>
        <v>0</v>
      </c>
      <c r="K44" s="58">
        <f>IF('2023年'!$AZ44&gt;('2023年'!$W44+'2023年'!$V44+SUM('2023年'!G44:$T44)),'2023年'!G44,IF('2023年'!$AZ44-'2023年'!$V44-'2023年'!$W44-SUM('2023年'!G44:$T44)&gt;0,'2023年'!$AZ44-'2023年'!$V44-'2023年'!$W44-SUM('2023年'!G44:$T44),""))</f>
        <v>0</v>
      </c>
      <c r="L44" s="58" t="str">
        <f>IF('2023年'!$AZ44&gt;(SUM('2023年'!$V44:AG44)+SUM('2023年'!H44:$T44)),'2023年'!H44,IF('2023年'!$AZ44-SUM('2023年'!$V44:AG44)-SUM('2023年'!I44:$T44)&gt;0,'2023年'!$AZ44-SUM('2023年'!$V44:AG44)-SUM('2023年'!I44:$T44),""))</f>
        <v/>
      </c>
      <c r="M44" s="58">
        <f>IF('2023年'!$AZ44&gt;('2023年'!$W44+'2023年'!$V44+SUM('2023年'!I44:$T44)),'2023年'!I44,IF('2023年'!$AZ44-'2023年'!$V44-'2023年'!$W44-SUM('2023年'!I44:$T44)&gt;0,'2023年'!$AZ44-'2023年'!$V44-'2023年'!$W44-SUM('2023年'!I44:$T44),""))</f>
        <v>0</v>
      </c>
      <c r="N44" s="58" t="str">
        <f>IF('2023年'!$AZ44&gt;(SUM('2023年'!$V44:AG44)+SUM('2023年'!J44:$T44)),'2023年'!J44,IF('2023年'!$AZ44-SUM('2023年'!$V44:AG44)-SUM('2023年'!K44:$T44)&gt;0,'2023年'!$AZ44-SUM('2023年'!$V44:AG44)-SUM('2023年'!K44:$T44),""))</f>
        <v/>
      </c>
      <c r="O44" s="58">
        <f>IF('2023年'!$AZ44&gt;('2023年'!$W44+'2023年'!$V44+SUM('2023年'!K44:$T44)),'2023年'!K44,IF('2023年'!$AZ44-'2023年'!$V44-'2023年'!$W44-SUM('2023年'!K44:$T44)&gt;0,'2023年'!$AZ44-'2023年'!$V44-'2023年'!$W44-SUM('2023年'!K44:$T44),""))</f>
        <v>0</v>
      </c>
      <c r="P44" s="58">
        <f>IF('2023年'!$AZ44&gt;('2023年'!$W44+'2023年'!$V44+SUM('2023年'!L44:$T44)),'2023年'!L44,IF('2023年'!$AZ44-'2023年'!$V44-'2023年'!$W44-SUM('2023年'!L44:$T44)&gt;0,'2023年'!$AZ44-'2023年'!$V44-'2023年'!$W44-SUM('2023年'!L44:$T44),""))</f>
        <v>0</v>
      </c>
      <c r="Q44" s="58">
        <f>IF('2023年'!$AZ44&gt;('2023年'!$W44+'2023年'!$V44+SUM('2023年'!M44:$T44)),'2023年'!M44,IF('2023年'!$AZ44-'2023年'!$V44-'2023年'!$W44-SUM('2023年'!N44:$T44)&gt;0,'2023年'!$AZ44-'2023年'!$V44-'2023年'!$W44-SUM('2023年'!N44:$T44),""))</f>
        <v>0</v>
      </c>
      <c r="R44" s="58" t="str">
        <f>IF('2023年'!$AZ44&gt;(SUM('2023年'!V44:AG44)+SUM('2023年'!N44:$T44)),'2023年'!N44,IF('2023年'!$AZ44-SUM('2023年'!V44:AG44)-SUM('2023年'!O44:$T44)&gt;0,'2023年'!$AZ44-SUM('2023年'!V44:AG44)-SUM('2023年'!O44:$T44),""))</f>
        <v/>
      </c>
      <c r="S44" s="58" t="str">
        <f>IF('2023年'!$AZ44&gt;('2023年'!P44+'2023年'!Q44+'2023年'!S44+'2023年'!T44+SUM('2023年'!V44:AG44))+'2023年'!O44+'2023年'!R44,'2023年'!O44+'2023年'!R44,IF('2023年'!$AZ44-SUM('2023年'!V44:AG44)-'2023年'!T44-'2023年'!S44-'2023年'!P44-'2023年'!Q44&gt;0,'2023年'!$AZ44-SUM('2023年'!V44:AG44)-'2023年'!T44-'2023年'!S44-'2023年'!P44-'2023年'!Q44,""))</f>
        <v/>
      </c>
      <c r="T44" s="58" t="str">
        <f>IF('2023年'!$AZ44&gt;('2023年'!$T44+'2023年'!$Q44+SUM('2023年'!V44:$AG44))+'2023年'!S44+'2023年'!P44,'2023年'!P44+'2023年'!S44,IF('2023年'!$AZ44-SUM('2023年'!V44:$AG44)-'2023年'!T44-'2023年'!Q44&gt;0,'2023年'!$AZ44-SUM('2023年'!V44:X44)-'2023年'!T44-'2023年'!Q44,""))</f>
        <v/>
      </c>
      <c r="U44" s="58" t="str">
        <f>IF('2023年'!$AZ44&gt;(SUM('2023年'!V44:AG44)+'2023年'!T44+'2023年'!Q44),'2023年'!Q44+'2023年'!T44,IF('2023年'!$AZ44-SUM('2023年'!V44:AG44)&gt;0,'2023年'!$AZ44-SUM('2023年'!V44:AG44),""))</f>
        <v/>
      </c>
      <c r="V44" s="61">
        <f>IF('2023年'!$AZ44&gt;=SUM('2023年'!V44:$AG44),'2023年'!V44,IF('2023年'!$AZ44-SUM('2023年'!W44:$AG44)&gt;0,'2023年'!$AZ44-SUM('2023年'!W44:$AG44),0))</f>
        <v>0</v>
      </c>
      <c r="W44" s="61">
        <f>IF('2023年'!$AZ44&gt;=SUM('2023年'!W44:$AG44),'2023年'!W44,IF('2023年'!$AZ44-SUM('2023年'!X44:$AG44)&gt;0,'2023年'!$AZ44-SUM('2023年'!X44:$AG44),0))</f>
        <v>0</v>
      </c>
      <c r="X44" s="61">
        <f>IF('2023年'!$AZ44&gt;=SUM('2023年'!X44:$AG44),'2023年'!X44,IF('2023年'!$AZ44-SUM('2023年'!Y44:$AG44)&gt;0,'2023年'!$AZ44-SUM('2023年'!Y44:$AG44),0))</f>
        <v>0</v>
      </c>
      <c r="Y44" s="62">
        <f>IF('2023年'!$AZ44&gt;=SUM('2023年'!Y44:$AG44),'2023年'!Y44,IF('2023年'!$AZ44-SUM('2023年'!Z44:$AG44)&gt;0,'2023年'!$AZ44-SUM('2023年'!Z44:$AG44),0))</f>
        <v>68907.04</v>
      </c>
      <c r="Z44" s="62">
        <f>IF('2023年'!$AZ44&gt;=SUM('2023年'!Z44:$AG44),'2023年'!Z44,IF('2023年'!$AZ44-SUM('2023年'!AA44:$AG44)&gt;0,'2023年'!$AZ44-SUM('2023年'!AA44:$AG44),0))</f>
        <v>45297.08</v>
      </c>
      <c r="AA44" s="62"/>
      <c r="AB44" s="62"/>
      <c r="AC44" s="62"/>
      <c r="AD44" s="62"/>
      <c r="AE44" s="62"/>
      <c r="AF44" s="62"/>
      <c r="AG44" s="62"/>
      <c r="AH44" s="88" t="s">
        <v>372</v>
      </c>
      <c r="AI44" s="79">
        <v>0.03</v>
      </c>
      <c r="AJ44" s="80" t="s">
        <v>374</v>
      </c>
      <c r="AK44" s="86" t="s">
        <v>387</v>
      </c>
      <c r="AL44" s="87"/>
      <c r="AM44" s="83"/>
      <c r="AN44" s="84"/>
      <c r="AO44" s="84"/>
    </row>
    <row r="45" s="20" customFormat="1" ht="24" hidden="1" customHeight="1" spans="2:41">
      <c r="B45" s="42" t="s">
        <v>81</v>
      </c>
      <c r="C45" s="43"/>
      <c r="D45" s="43" t="str">
        <f>'2023年'!D45</f>
        <v>厦门市鑫荣飞工贸有限公司</v>
      </c>
      <c r="E45" s="47" t="s">
        <v>222</v>
      </c>
      <c r="F45" s="45">
        <f t="shared" si="22"/>
        <v>0</v>
      </c>
      <c r="G45" s="46">
        <f t="shared" si="23"/>
        <v>0</v>
      </c>
      <c r="H45" s="46">
        <f t="shared" si="24"/>
        <v>175285.6</v>
      </c>
      <c r="I45" s="57"/>
      <c r="J45" s="58">
        <f>IF('2023年'!$AZ45&gt;('2023年'!$W45+'2023年'!$V45+SUM('2023年'!F45:$T45)),'2023年'!F45,IF('2023年'!$AZ45-'2023年'!$V45-'2023年'!$W45-SUM('2023年'!F45:$T45)&gt;0,'2023年'!$AZ45-'2023年'!$V45-'2023年'!$W45-SUM('2023年'!F45:$T45),""))</f>
        <v>0</v>
      </c>
      <c r="K45" s="58">
        <f>IF('2023年'!$AZ45&gt;('2023年'!$W45+'2023年'!$V45+SUM('2023年'!G45:$T45)),'2023年'!G45,IF('2023年'!$AZ45-'2023年'!$V45-'2023年'!$W45-SUM('2023年'!G45:$T45)&gt;0,'2023年'!$AZ45-'2023年'!$V45-'2023年'!$W45-SUM('2023年'!G45:$T45),""))</f>
        <v>0</v>
      </c>
      <c r="L45" s="58" t="str">
        <f>IF('2023年'!$AZ45&gt;(SUM('2023年'!$V45:AG45)+SUM('2023年'!H45:$T45)),'2023年'!H45,IF('2023年'!$AZ45-SUM('2023年'!$V45:AG45)-SUM('2023年'!I45:$T45)&gt;0,'2023年'!$AZ45-SUM('2023年'!$V45:AG45)-SUM('2023年'!I45:$T45),""))</f>
        <v/>
      </c>
      <c r="M45" s="58">
        <f>IF('2023年'!$AZ45&gt;('2023年'!$W45+'2023年'!$V45+SUM('2023年'!I45:$T45)),'2023年'!I45,IF('2023年'!$AZ45-'2023年'!$V45-'2023年'!$W45-SUM('2023年'!I45:$T45)&gt;0,'2023年'!$AZ45-'2023年'!$V45-'2023年'!$W45-SUM('2023年'!I45:$T45),""))</f>
        <v>0</v>
      </c>
      <c r="N45" s="58" t="str">
        <f>IF('2023年'!$AZ45&gt;(SUM('2023年'!$V45:AG45)+SUM('2023年'!J45:$T45)),'2023年'!J45,IF('2023年'!$AZ45-SUM('2023年'!$V45:AG45)-SUM('2023年'!K45:$T45)&gt;0,'2023年'!$AZ45-SUM('2023年'!$V45:AG45)-SUM('2023年'!K45:$T45),""))</f>
        <v/>
      </c>
      <c r="O45" s="58">
        <f>IF('2023年'!$AZ45&gt;('2023年'!$W45+'2023年'!$V45+SUM('2023年'!K45:$T45)),'2023年'!K45,IF('2023年'!$AZ45-'2023年'!$V45-'2023年'!$W45-SUM('2023年'!K45:$T45)&gt;0,'2023年'!$AZ45-'2023年'!$V45-'2023年'!$W45-SUM('2023年'!K45:$T45),""))</f>
        <v>0</v>
      </c>
      <c r="P45" s="58">
        <f>IF('2023年'!$AZ45&gt;('2023年'!$W45+'2023年'!$V45+SUM('2023年'!L45:$T45)),'2023年'!L45,IF('2023年'!$AZ45-'2023年'!$V45-'2023年'!$W45-SUM('2023年'!L45:$T45)&gt;0,'2023年'!$AZ45-'2023年'!$V45-'2023年'!$W45-SUM('2023年'!L45:$T45),""))</f>
        <v>0</v>
      </c>
      <c r="Q45" s="58">
        <f>IF('2023年'!$AZ45&gt;('2023年'!$W45+'2023年'!$V45+SUM('2023年'!M45:$T45)),'2023年'!M45,IF('2023年'!$AZ45-'2023年'!$V45-'2023年'!$W45-SUM('2023年'!N45:$T45)&gt;0,'2023年'!$AZ45-'2023年'!$V45-'2023年'!$W45-SUM('2023年'!N45:$T45),""))</f>
        <v>0</v>
      </c>
      <c r="R45" s="58" t="str">
        <f>IF('2023年'!$AZ45&gt;(SUM('2023年'!V45:AG45)+SUM('2023年'!N45:$T45)),'2023年'!N45,IF('2023年'!$AZ45-SUM('2023年'!V45:AG45)-SUM('2023年'!O45:$T45)&gt;0,'2023年'!$AZ45-SUM('2023年'!V45:AG45)-SUM('2023年'!O45:$T45),""))</f>
        <v/>
      </c>
      <c r="S45" s="58" t="str">
        <f>IF('2023年'!$AZ45&gt;('2023年'!P45+'2023年'!Q45+'2023年'!S45+'2023年'!T45+SUM('2023年'!V45:AG45))+'2023年'!O45+'2023年'!R45,'2023年'!O45+'2023年'!R45,IF('2023年'!$AZ45-SUM('2023年'!V45:AG45)-'2023年'!T45-'2023年'!S45-'2023年'!P45-'2023年'!Q45&gt;0,'2023年'!$AZ45-SUM('2023年'!V45:AG45)-'2023年'!T45-'2023年'!S45-'2023年'!P45-'2023年'!Q45,""))</f>
        <v/>
      </c>
      <c r="T45" s="58" t="str">
        <f>IF('2023年'!$AZ45&gt;('2023年'!$T45+'2023年'!$Q45+SUM('2023年'!V45:$AG45))+'2023年'!S45+'2023年'!P45,'2023年'!P45+'2023年'!S45,IF('2023年'!$AZ45-SUM('2023年'!V45:$AG45)-'2023年'!T45-'2023年'!Q45&gt;0,'2023年'!$AZ45-SUM('2023年'!V45:X45)-'2023年'!T45-'2023年'!Q45,""))</f>
        <v/>
      </c>
      <c r="U45" s="58" t="str">
        <f>IF('2023年'!$AZ45&gt;(SUM('2023年'!V45:AG45)+'2023年'!T45+'2023年'!Q45),'2023年'!Q45+'2023年'!T45,IF('2023年'!$AZ45-SUM('2023年'!V45:AG45)&gt;0,'2023年'!$AZ45-SUM('2023年'!V45:AG45),""))</f>
        <v/>
      </c>
      <c r="V45" s="61">
        <f>IF('2023年'!$AZ45&gt;=SUM('2023年'!V45:$AG45),'2023年'!V45,IF('2023年'!$AZ45-SUM('2023年'!W45:$AG45)&gt;0,'2023年'!$AZ45-SUM('2023年'!W45:$AG45),0))</f>
        <v>0</v>
      </c>
      <c r="W45" s="61">
        <f>IF('2023年'!$AZ45&gt;=SUM('2023年'!W45:$AG45),'2023年'!W45,IF('2023年'!$AZ45-SUM('2023年'!X45:$AG45)&gt;0,'2023年'!$AZ45-SUM('2023年'!X45:$AG45),0))</f>
        <v>0</v>
      </c>
      <c r="X45" s="61">
        <f>IF('2023年'!$AZ45&gt;=SUM('2023年'!X45:$AG45),'2023年'!X45,IF('2023年'!$AZ45-SUM('2023年'!Y45:$AG45)&gt;0,'2023年'!$AZ45-SUM('2023年'!Y45:$AG45),0))</f>
        <v>0</v>
      </c>
      <c r="Y45" s="62">
        <f>IF('2023年'!$AZ45&gt;=SUM('2023年'!Y45:$AG45),'2023年'!Y45,IF('2023年'!$AZ45-SUM('2023年'!Z45:$AG45)&gt;0,'2023年'!$AZ45-SUM('2023年'!Z45:$AG45),0))</f>
        <v>62773.76</v>
      </c>
      <c r="Z45" s="62">
        <f>IF('2023年'!$AZ45&gt;=SUM('2023年'!Z45:$AG45),'2023年'!Z45,IF('2023年'!$AZ45-SUM('2023年'!AA45:$AG45)&gt;0,'2023年'!$AZ45-SUM('2023年'!AA45:$AG45),0))</f>
        <v>112511.84</v>
      </c>
      <c r="AA45" s="62"/>
      <c r="AB45" s="62"/>
      <c r="AC45" s="62"/>
      <c r="AD45" s="62"/>
      <c r="AE45" s="62"/>
      <c r="AF45" s="62"/>
      <c r="AG45" s="62"/>
      <c r="AH45" s="88" t="s">
        <v>372</v>
      </c>
      <c r="AI45" s="79" t="s">
        <v>377</v>
      </c>
      <c r="AJ45" s="80"/>
      <c r="AK45" s="86" t="s">
        <v>388</v>
      </c>
      <c r="AL45" s="87"/>
      <c r="AM45" s="83"/>
      <c r="AN45" s="84"/>
      <c r="AO45" s="84"/>
    </row>
    <row r="46" s="20" customFormat="1" ht="24" hidden="1" customHeight="1" spans="2:41">
      <c r="B46" s="42" t="s">
        <v>81</v>
      </c>
      <c r="C46" s="43"/>
      <c r="D46" s="43" t="str">
        <f>'2023年'!D46</f>
        <v>上海绽奇汽车部件有限公司</v>
      </c>
      <c r="E46" s="47" t="s">
        <v>222</v>
      </c>
      <c r="F46" s="45">
        <f t="shared" si="22"/>
        <v>0</v>
      </c>
      <c r="G46" s="46">
        <f t="shared" si="23"/>
        <v>0</v>
      </c>
      <c r="H46" s="46">
        <f t="shared" si="24"/>
        <v>0</v>
      </c>
      <c r="I46" s="57"/>
      <c r="J46" s="58" t="str">
        <f>IF('2023年'!$AZ46&gt;('2023年'!$W46+'2023年'!$V46+SUM('2023年'!F46:$T46)),'2023年'!F46,IF('2023年'!$AZ46-'2023年'!$V46-'2023年'!$W46-SUM('2023年'!F46:$T46)&gt;0,'2023年'!$AZ46-'2023年'!$V46-'2023年'!$W46-SUM('2023年'!F46:$T46),""))</f>
        <v/>
      </c>
      <c r="K46" s="58" t="str">
        <f>IF('2023年'!$AZ46&gt;('2023年'!$W46+'2023年'!$V46+SUM('2023年'!G46:$T46)),'2023年'!G46,IF('2023年'!$AZ46-'2023年'!$V46-'2023年'!$W46-SUM('2023年'!G46:$T46)&gt;0,'2023年'!$AZ46-'2023年'!$V46-'2023年'!$W46-SUM('2023年'!G46:$T46),""))</f>
        <v/>
      </c>
      <c r="L46" s="58" t="str">
        <f>IF('2023年'!$AZ46&gt;('2023年'!$W46+'2023年'!$V46+SUM('2023年'!H46:$T46)),'2023年'!H46,IF('2023年'!$AZ46-'2023年'!$V46-'2023年'!$W46-SUM('2023年'!H46:$T46)&gt;0,'2023年'!$AZ46-'2023年'!$V46-'2023年'!$W46-SUM('2023年'!H46:$T46),""))</f>
        <v/>
      </c>
      <c r="M46" s="58" t="str">
        <f>IF('2023年'!$AZ46&gt;('2023年'!$W46+'2023年'!$V46+SUM('2023年'!I46:$T46)),'2023年'!I46,IF('2023年'!$AZ46-'2023年'!$V46-'2023年'!$W46-SUM('2023年'!I46:$T46)&gt;0,'2023年'!$AZ46-'2023年'!$V46-'2023年'!$W46-SUM('2023年'!I46:$T46),""))</f>
        <v/>
      </c>
      <c r="N46" s="58" t="str">
        <f>IF('2023年'!$AZ46&gt;(SUM('2023年'!$V46:AG46)+SUM('2023年'!J46:$T46)),'2023年'!J46,IF('2023年'!$AZ46-SUM('2023年'!$V46:AG46)-SUM('2023年'!K46:$T46)&gt;0,'2023年'!$AZ46-SUM('2023年'!$V46:AG46)-SUM('2023年'!K46:$T46),""))</f>
        <v/>
      </c>
      <c r="O46" s="58" t="str">
        <f>IF('2023年'!$AZ46&gt;('2023年'!$W46+'2023年'!$V46+SUM('2023年'!K46:$T46)),'2023年'!K46,IF('2023年'!$AZ46-'2023年'!$V46-'2023年'!$W46-SUM('2023年'!K46:$T46)&gt;0,'2023年'!$AZ46-'2023年'!$V46-'2023年'!$W46-SUM('2023年'!K46:$T46),""))</f>
        <v/>
      </c>
      <c r="P46" s="58" t="str">
        <f>IF('2023年'!$AZ46&gt;('2023年'!$W46+'2023年'!$V46+SUM('2023年'!L46:$T46)),'2023年'!L46,IF('2023年'!$AZ46-'2023年'!$V46-'2023年'!$W46-SUM('2023年'!L46:$T46)&gt;0,'2023年'!$AZ46-'2023年'!$V46-'2023年'!$W46-SUM('2023年'!L46:$T46),""))</f>
        <v/>
      </c>
      <c r="Q46" s="58" t="str">
        <f>IF('2023年'!$AZ46&gt;('2023年'!$W46+'2023年'!$V46+SUM('2023年'!M46:$T46)),'2023年'!M46,IF('2023年'!$AZ46-'2023年'!$V46-'2023年'!$W46-SUM('2023年'!N46:$T46)&gt;0,'2023年'!$AZ46-'2023年'!$V46-'2023年'!$W46-SUM('2023年'!N46:$T46),""))</f>
        <v/>
      </c>
      <c r="R46" s="58" t="str">
        <f>IF('2023年'!$AZ46&gt;(SUM('2023年'!V46:AG46)+SUM('2023年'!N46:$T46)),'2023年'!N46,IF('2023年'!$AZ46-SUM('2023年'!V46:AG46)-SUM('2023年'!O46:$T46)&gt;0,'2023年'!$AZ46-SUM('2023年'!V46:AG46)-SUM('2023年'!O46:$T46),""))</f>
        <v/>
      </c>
      <c r="S46" s="58" t="str">
        <f>IF('2023年'!$AZ46&gt;('2023年'!P46+'2023年'!Q46+'2023年'!S46+'2023年'!T46+SUM('2023年'!V46:AG46))+'2023年'!O46+'2023年'!R46,'2023年'!O46+'2023年'!R46,IF('2023年'!$AZ46-SUM('2023年'!V46:AG46)-'2023年'!T46-'2023年'!S46-'2023年'!P46-'2023年'!Q46&gt;0,'2023年'!$AZ46-SUM('2023年'!V46:AG46)-'2023年'!T46-'2023年'!S46-'2023年'!P46-'2023年'!Q46,""))</f>
        <v/>
      </c>
      <c r="T46" s="58" t="str">
        <f>IF('2023年'!$AZ46&gt;('2023年'!$T46+'2023年'!$Q46+SUM('2023年'!V46:$AG46))+'2023年'!S46+'2023年'!P46,'2023年'!P46+'2023年'!S46,IF('2023年'!$AZ46-SUM('2023年'!V46:$AG46)-'2023年'!T46-'2023年'!Q46&gt;0,'2023年'!$AZ46-SUM('2023年'!V46:X46)-'2023年'!T46-'2023年'!Q46,""))</f>
        <v/>
      </c>
      <c r="U46" s="58" t="str">
        <f>IF('2023年'!$AZ46&gt;(SUM('2023年'!V46:AG46)+'2023年'!T46+'2023年'!Q46),'2023年'!Q46+'2023年'!T46,IF('2023年'!$AZ46-SUM('2023年'!V46:AG46)&gt;0,'2023年'!$AZ46-SUM('2023年'!V46:AG46),""))</f>
        <v/>
      </c>
      <c r="V46" s="61">
        <f>IF('2023年'!$AZ46&gt;=SUM('2023年'!V46:$AG46),'2023年'!V46,IF('2023年'!$AZ46-SUM('2023年'!W46:$AG46)&gt;0,'2023年'!$AZ46-SUM('2023年'!W46:$AG46),0))</f>
        <v>0</v>
      </c>
      <c r="W46" s="61">
        <f>IF('2023年'!$AZ46&gt;=SUM('2023年'!W46:$AG46),'2023年'!W46,IF('2023年'!$AZ46-SUM('2023年'!X46:$AG46)&gt;0,'2023年'!$AZ46-SUM('2023年'!X46:$AG46),0))</f>
        <v>0</v>
      </c>
      <c r="X46" s="61">
        <f>IF('2023年'!$AZ46&gt;=SUM('2023年'!X46:$AG46),'2023年'!X46,IF('2023年'!$AZ46-SUM('2023年'!Y46:$AG46)&gt;0,'2023年'!$AZ46-SUM('2023年'!Y46:$AG46),0))</f>
        <v>0</v>
      </c>
      <c r="Y46" s="62">
        <f>IF('2023年'!$AZ46&gt;=SUM('2023年'!Y46:$AG46),'2023年'!Y46,IF('2023年'!$AZ46-SUM('2023年'!Z46:$AG46)&gt;0,'2023年'!$AZ46-SUM('2023年'!Z46:$AG46),0))</f>
        <v>0</v>
      </c>
      <c r="Z46" s="62">
        <f>IF('2023年'!$AZ46&gt;=SUM('2023年'!Z46:$AG46),'2023年'!Z46,IF('2023年'!$AZ46-SUM('2023年'!AA46:$AG46)&gt;0,'2023年'!$AZ46-SUM('2023年'!AA46:$AG46),0))</f>
        <v>0</v>
      </c>
      <c r="AA46" s="62"/>
      <c r="AB46" s="62"/>
      <c r="AC46" s="62"/>
      <c r="AD46" s="62"/>
      <c r="AE46" s="62"/>
      <c r="AF46" s="62"/>
      <c r="AG46" s="62"/>
      <c r="AH46" s="88" t="s">
        <v>376</v>
      </c>
      <c r="AI46" s="79" t="s">
        <v>377</v>
      </c>
      <c r="AJ46" s="80" t="s">
        <v>374</v>
      </c>
      <c r="AK46" s="86" t="s">
        <v>389</v>
      </c>
      <c r="AL46" s="87"/>
      <c r="AM46" s="83"/>
      <c r="AN46" s="84"/>
      <c r="AO46" s="84"/>
    </row>
    <row r="47" s="20" customFormat="1" ht="24" customHeight="1" spans="2:41">
      <c r="B47" s="42" t="s">
        <v>81</v>
      </c>
      <c r="C47" s="43"/>
      <c r="D47" s="43" t="str">
        <f>'2023年'!D47</f>
        <v>上锐（常州）供应链管理有限公</v>
      </c>
      <c r="E47" s="47" t="s">
        <v>85</v>
      </c>
      <c r="F47" s="45">
        <f>SUM(I47:Y47)</f>
        <v>1658.84</v>
      </c>
      <c r="G47" s="46">
        <f t="shared" ref="G47:G53" si="25">SUM(I47:W47)</f>
        <v>0</v>
      </c>
      <c r="H47" s="46">
        <f t="shared" si="24"/>
        <v>1658.84</v>
      </c>
      <c r="I47" s="57"/>
      <c r="J47" s="58">
        <f>IF('2023年'!$AZ47&gt;('2023年'!$W47+'2023年'!$V47+SUM('2023年'!F47:$T47)),'2023年'!F47,IF('2023年'!$AZ47-'2023年'!$V47-'2023年'!$W47-SUM('2023年'!F47:$T47)&gt;0,'2023年'!$AZ47-'2023年'!$V47-'2023年'!$W47-SUM('2023年'!F47:$T47),""))</f>
        <v>0</v>
      </c>
      <c r="K47" s="58">
        <f>IF('2023年'!$AZ47&gt;('2023年'!$W47+'2023年'!$V47+SUM('2023年'!G47:$T47)),'2023年'!G47,IF('2023年'!$AZ47-'2023年'!$V47-'2023年'!$W47-SUM('2023年'!G47:$T47)&gt;0,'2023年'!$AZ47-'2023年'!$V47-'2023年'!$W47-SUM('2023年'!G47:$T47),""))</f>
        <v>0</v>
      </c>
      <c r="L47" s="58">
        <f>IF('2023年'!$AZ47&gt;('2023年'!$W47+'2023年'!$V47+SUM('2023年'!H47:$T47)),'2023年'!H47,IF('2023年'!$AZ47-'2023年'!$V47-'2023年'!$W47-SUM('2023年'!H47:$T47)&gt;0,'2023年'!$AZ47-'2023年'!$V47-'2023年'!$W47-SUM('2023年'!H47:$T47),""))</f>
        <v>0</v>
      </c>
      <c r="M47" s="58">
        <f>IF('2023年'!$AZ47&gt;('2023年'!$W47+'2023年'!$V47+SUM('2023年'!I47:$T47)),'2023年'!I47,IF('2023年'!$AZ47-'2023年'!$V47-'2023年'!$W47-SUM('2023年'!I47:$T47)&gt;0,'2023年'!$AZ47-'2023年'!$V47-'2023年'!$W47-SUM('2023年'!I47:$T47),""))</f>
        <v>0</v>
      </c>
      <c r="N47" s="58" t="str">
        <f>IF('2023年'!$AZ47&gt;(SUM('2023年'!$V47:AG47)+SUM('2023年'!J47:$T47)),'2023年'!J47,IF('2023年'!$AZ47-SUM('2023年'!$V47:AG47)-SUM('2023年'!K47:$T47)&gt;0,'2023年'!$AZ47-SUM('2023年'!$V47:AG47)-SUM('2023年'!K47:$T47),""))</f>
        <v/>
      </c>
      <c r="O47" s="58">
        <f>IF('2023年'!$AZ47&gt;('2023年'!$W47+'2023年'!$V47+SUM('2023年'!K47:$T47)),'2023年'!K47,IF('2023年'!$AZ47-'2023年'!$V47-'2023年'!$W47-SUM('2023年'!K47:$T47)&gt;0,'2023年'!$AZ47-'2023年'!$V47-'2023年'!$W47-SUM('2023年'!K47:$T47),""))</f>
        <v>0</v>
      </c>
      <c r="P47" s="58">
        <f>IF('2023年'!$AZ47&gt;('2023年'!$W47+'2023年'!$V47+SUM('2023年'!L47:$T47)),'2023年'!L47,IF('2023年'!$AZ47-'2023年'!$V47-'2023年'!$W47-SUM('2023年'!L47:$T47)&gt;0,'2023年'!$AZ47-'2023年'!$V47-'2023年'!$W47-SUM('2023年'!L47:$T47),""))</f>
        <v>0</v>
      </c>
      <c r="Q47" s="58">
        <f>IF('2023年'!$AZ47&gt;('2023年'!$W47+'2023年'!$V47+SUM('2023年'!M47:$T47)),'2023年'!M47,IF('2023年'!$AZ47-'2023年'!$V47-'2023年'!$W47-SUM('2023年'!N47:$T47)&gt;0,'2023年'!$AZ47-'2023年'!$V47-'2023年'!$W47-SUM('2023年'!N47:$T47),""))</f>
        <v>0</v>
      </c>
      <c r="R47" s="58" t="str">
        <f>IF('2023年'!$AZ47&gt;(SUM('2023年'!V47:AG47)+SUM('2023年'!N47:$T47)),'2023年'!N47,IF('2023年'!$AZ47-SUM('2023年'!V47:AG47)-SUM('2023年'!O47:$T47)&gt;0,'2023年'!$AZ47-SUM('2023年'!V47:AG47)-SUM('2023年'!O47:$T47),""))</f>
        <v/>
      </c>
      <c r="S47" s="58" t="str">
        <f>IF('2023年'!$AZ47&gt;('2023年'!P47+'2023年'!Q47+'2023年'!S47+'2023年'!T47+SUM('2023年'!V47:AG47))+'2023年'!O47+'2023年'!R47,'2023年'!O47+'2023年'!R47,IF('2023年'!$AZ47-SUM('2023年'!V47:AG47)-'2023年'!T47-'2023年'!S47-'2023年'!P47-'2023年'!Q47&gt;0,'2023年'!$AZ47-SUM('2023年'!V47:AG47)-'2023年'!T47-'2023年'!S47-'2023年'!P47-'2023年'!Q47,""))</f>
        <v/>
      </c>
      <c r="T47" s="58" t="str">
        <f>IF('2023年'!$AZ47&gt;('2023年'!$T47+'2023年'!$Q47+SUM('2023年'!V47:$AG47))+'2023年'!S47+'2023年'!P47,'2023年'!P47+'2023年'!S47,IF('2023年'!$AZ47-SUM('2023年'!V47:$AG47)-'2023年'!T47-'2023年'!Q47&gt;0,'2023年'!$AZ47-SUM('2023年'!V47:X47)-'2023年'!T47-'2023年'!Q47,""))</f>
        <v/>
      </c>
      <c r="U47" s="58" t="str">
        <f>IF('2023年'!$AZ47&gt;(SUM('2023年'!V47:AG47)+'2023年'!T47+'2023年'!Q47),'2023年'!Q47+'2023年'!T47,IF('2023年'!$AZ47-SUM('2023年'!V47:AG47)&gt;0,'2023年'!$AZ47-SUM('2023年'!V47:AG47),""))</f>
        <v/>
      </c>
      <c r="V47" s="61">
        <f>IF('2023年'!$AZ47&gt;=SUM('2023年'!V47:$AG47),'2023年'!V47,IF('2023年'!$AZ47-SUM('2023年'!W47:$AG47)&gt;0,'2023年'!$AZ47-SUM('2023年'!W47:$AG47),0))</f>
        <v>0</v>
      </c>
      <c r="W47" s="61">
        <f>IF('2023年'!$AZ47&gt;=SUM('2023年'!W47:$AG47),'2023年'!W47,IF('2023年'!$AZ47-SUM('2023年'!X47:$AG47)&gt;0,'2023年'!$AZ47-SUM('2023年'!X47:$AG47),0))</f>
        <v>0</v>
      </c>
      <c r="X47" s="61">
        <f>IF('2023年'!$AZ47&gt;=SUM('2023年'!X47:$AG47),'2023年'!X47,IF('2023年'!$AZ47-SUM('2023年'!Y47:$AG47)&gt;0,'2023年'!$AZ47-SUM('2023年'!Y47:$AG47),0))</f>
        <v>375.16</v>
      </c>
      <c r="Y47" s="62">
        <f>IF('2023年'!$AZ47&gt;=SUM('2023年'!Y47:$AG47),'2023年'!Y47,IF('2023年'!$AZ47-SUM('2023年'!Z47:$AG47)&gt;0,'2023年'!$AZ47-SUM('2023年'!Z47:$AG47),0))</f>
        <v>1283.68</v>
      </c>
      <c r="Z47" s="62">
        <f>IF('2023年'!$AZ47&gt;=SUM('2023年'!Z47:$AG47),'2023年'!Z47,IF('2023年'!$AZ47-SUM('2023年'!AA47:$AG47)&gt;0,'2023年'!$AZ47-SUM('2023年'!AA47:$AG47),0))</f>
        <v>0</v>
      </c>
      <c r="AA47" s="62"/>
      <c r="AB47" s="62"/>
      <c r="AC47" s="62"/>
      <c r="AD47" s="62"/>
      <c r="AE47" s="62"/>
      <c r="AF47" s="62"/>
      <c r="AG47" s="62"/>
      <c r="AH47" s="88" t="s">
        <v>376</v>
      </c>
      <c r="AI47" s="79" t="s">
        <v>377</v>
      </c>
      <c r="AJ47" s="80"/>
      <c r="AK47" s="86" t="s">
        <v>390</v>
      </c>
      <c r="AL47" s="87"/>
      <c r="AM47" s="83">
        <f>F47</f>
        <v>1658.84</v>
      </c>
      <c r="AN47" s="84"/>
      <c r="AO47" s="84"/>
    </row>
    <row r="48" s="20" customFormat="1" ht="24" hidden="1" customHeight="1" spans="2:41">
      <c r="B48" s="42" t="s">
        <v>81</v>
      </c>
      <c r="C48" s="43"/>
      <c r="D48" s="43" t="str">
        <f>'2023年'!D48</f>
        <v>天津生隆纤维材料股份有限公司</v>
      </c>
      <c r="E48" s="47"/>
      <c r="F48" s="45">
        <f>SUM(I48:V48)</f>
        <v>0</v>
      </c>
      <c r="G48" s="46">
        <f>SUM(I48:U48)</f>
        <v>0</v>
      </c>
      <c r="H48" s="46">
        <f t="shared" si="24"/>
        <v>0</v>
      </c>
      <c r="I48" s="57"/>
      <c r="J48" s="58" t="str">
        <f>IF('2023年'!$AZ48&gt;('2023年'!$W48+'2023年'!$V48+SUM('2023年'!F48:$T48)),'2023年'!F48,IF('2023年'!$AZ48-'2023年'!$V48-'2023年'!$W48-SUM('2023年'!F48:$T48)&gt;0,'2023年'!$AZ48-'2023年'!$V48-'2023年'!$W48-SUM('2023年'!F48:$T48),""))</f>
        <v/>
      </c>
      <c r="K48" s="58" t="str">
        <f>IF('2023年'!$AZ48&gt;('2023年'!$W48+'2023年'!$V48+SUM('2023年'!G48:$T48)),'2023年'!G48,IF('2023年'!$AZ48-'2023年'!$V48-'2023年'!$W48-SUM('2023年'!G48:$T48)&gt;0,'2023年'!$AZ48-'2023年'!$V48-'2023年'!$W48-SUM('2023年'!G48:$T48),""))</f>
        <v/>
      </c>
      <c r="L48" s="58" t="str">
        <f>IF('2023年'!$AZ48&gt;('2023年'!$W48+'2023年'!$V48+SUM('2023年'!H48:$T48)),'2023年'!H48,IF('2023年'!$AZ48-'2023年'!$V48-'2023年'!$W48-SUM('2023年'!H48:$T48)&gt;0,'2023年'!$AZ48-'2023年'!$V48-'2023年'!$W48-SUM('2023年'!H48:$T48),""))</f>
        <v/>
      </c>
      <c r="M48" s="58" t="str">
        <f>IF('2023年'!$AZ48&gt;('2023年'!$W48+'2023年'!$V48+SUM('2023年'!I48:$T48)),'2023年'!I48,IF('2023年'!$AZ48-'2023年'!$V48-'2023年'!$W48-SUM('2023年'!I48:$T48)&gt;0,'2023年'!$AZ48-'2023年'!$V48-'2023年'!$W48-SUM('2023年'!I48:$T48),""))</f>
        <v/>
      </c>
      <c r="N48" s="58" t="str">
        <f>IF('2023年'!$AZ48&gt;(SUM('2023年'!$V48:AG48)+SUM('2023年'!J48:$T48)),'2023年'!J48,IF('2023年'!$AZ48-SUM('2023年'!$V48:AG48)-SUM('2023年'!K48:$T48)&gt;0,'2023年'!$AZ48-SUM('2023年'!$V48:AG48)-SUM('2023年'!K48:$T48),""))</f>
        <v/>
      </c>
      <c r="O48" s="58" t="str">
        <f>IF('2023年'!$AZ48&gt;('2023年'!$W48+'2023年'!$V48+SUM('2023年'!K48:$T48)),'2023年'!K48,IF('2023年'!$AZ48-'2023年'!$V48-'2023年'!$W48-SUM('2023年'!K48:$T48)&gt;0,'2023年'!$AZ48-'2023年'!$V48-'2023年'!$W48-SUM('2023年'!K48:$T48),""))</f>
        <v/>
      </c>
      <c r="P48" s="58" t="str">
        <f>IF('2023年'!$AZ48&gt;('2023年'!$W48+'2023年'!$V48+SUM('2023年'!L48:$T48)),'2023年'!L48,IF('2023年'!$AZ48-'2023年'!$V48-'2023年'!$W48-SUM('2023年'!L48:$T48)&gt;0,'2023年'!$AZ48-'2023年'!$V48-'2023年'!$W48-SUM('2023年'!L48:$T48),""))</f>
        <v/>
      </c>
      <c r="Q48" s="58" t="str">
        <f>IF('2023年'!$AZ48&gt;('2023年'!$W48+'2023年'!$V48+SUM('2023年'!M48:$T48)),'2023年'!M48,IF('2023年'!$AZ48-'2023年'!$V48-'2023年'!$W48-SUM('2023年'!N48:$T48)&gt;0,'2023年'!$AZ48-'2023年'!$V48-'2023年'!$W48-SUM('2023年'!N48:$T48),""))</f>
        <v/>
      </c>
      <c r="R48" s="58" t="str">
        <f>IF('2023年'!$AZ48&gt;(SUM('2023年'!V48:AG48)+SUM('2023年'!N48:$T48)),'2023年'!N48,IF('2023年'!$AZ48-SUM('2023年'!V48:AG48)-SUM('2023年'!O48:$T48)&gt;0,'2023年'!$AZ48-SUM('2023年'!V48:AG48)-SUM('2023年'!O48:$T48),""))</f>
        <v/>
      </c>
      <c r="S48" s="58" t="str">
        <f>IF('2023年'!$AZ48&gt;('2023年'!P48+'2023年'!Q48+'2023年'!S48+'2023年'!T48+SUM('2023年'!V48:AG48))+'2023年'!O48+'2023年'!R48,'2023年'!O48+'2023年'!R48,IF('2023年'!$AZ48-SUM('2023年'!V48:AG48)-'2023年'!T48-'2023年'!S48-'2023年'!P48-'2023年'!Q48&gt;0,'2023年'!$AZ48-SUM('2023年'!V48:AG48)-'2023年'!T48-'2023年'!S48-'2023年'!P48-'2023年'!Q48,""))</f>
        <v/>
      </c>
      <c r="T48" s="58" t="str">
        <f>IF('2023年'!$AZ48&gt;('2023年'!$T48+'2023年'!$Q48+SUM('2023年'!V48:$AG48))+'2023年'!S48+'2023年'!P48,'2023年'!P48+'2023年'!S48,IF('2023年'!$AZ48-SUM('2023年'!V48:$AG48)-'2023年'!T48-'2023年'!Q48&gt;0,'2023年'!$AZ48-SUM('2023年'!V48:X48)-'2023年'!T48-'2023年'!Q48,""))</f>
        <v/>
      </c>
      <c r="U48" s="58" t="str">
        <f>IF('2023年'!$AZ48&gt;(SUM('2023年'!V48:AG48)+'2023年'!T48+'2023年'!Q48),'2023年'!Q48+'2023年'!T48,IF('2023年'!$AZ48-SUM('2023年'!V48:AG48)&gt;0,'2023年'!$AZ48-SUM('2023年'!V48:AG48),""))</f>
        <v/>
      </c>
      <c r="V48" s="61">
        <f>IF('2023年'!$AZ48&gt;=SUM('2023年'!V48:$AG48),'2023年'!V48,IF('2023年'!$AZ48-SUM('2023年'!W48:$AG48)&gt;0,'2023年'!$AZ48-SUM('2023年'!W48:$AG48),0))</f>
        <v>0</v>
      </c>
      <c r="W48" s="61">
        <f>IF('2023年'!$AZ48&gt;=SUM('2023年'!W48:$AG48),'2023年'!W48,IF('2023年'!$AZ48-SUM('2023年'!X48:$AG48)&gt;0,'2023年'!$AZ48-SUM('2023年'!X48:$AG48),0))</f>
        <v>0</v>
      </c>
      <c r="X48" s="61">
        <f>IF('2023年'!$AZ48&gt;=SUM('2023年'!X48:$AG48),'2023年'!X48,IF('2023年'!$AZ48-SUM('2023年'!Y48:$AG48)&gt;0,'2023年'!$AZ48-SUM('2023年'!Y48:$AG48),0))</f>
        <v>0</v>
      </c>
      <c r="Y48" s="62">
        <f>IF('2023年'!$AZ48&gt;=SUM('2023年'!Y48:$AG48),'2023年'!Y48,IF('2023年'!$AZ48-SUM('2023年'!Z48:$AG48)&gt;0,'2023年'!$AZ48-SUM('2023年'!Z48:$AG48),0))</f>
        <v>0</v>
      </c>
      <c r="Z48" s="62">
        <f>IF('2023年'!$AZ48&gt;=SUM('2023年'!Z48:$AG48),'2023年'!Z48,IF('2023年'!$AZ48-SUM('2023年'!AA48:$AG48)&gt;0,'2023年'!$AZ48-SUM('2023年'!AA48:$AG48),0))</f>
        <v>0</v>
      </c>
      <c r="AA48" s="62"/>
      <c r="AB48" s="62"/>
      <c r="AC48" s="62"/>
      <c r="AD48" s="62"/>
      <c r="AE48" s="62"/>
      <c r="AF48" s="62"/>
      <c r="AG48" s="62"/>
      <c r="AH48" s="88" t="s">
        <v>372</v>
      </c>
      <c r="AI48" s="79"/>
      <c r="AJ48" s="80" t="s">
        <v>374</v>
      </c>
      <c r="AK48" s="86" t="s">
        <v>391</v>
      </c>
      <c r="AL48" s="87"/>
      <c r="AM48" s="83"/>
      <c r="AN48" s="84"/>
      <c r="AO48" s="84"/>
    </row>
    <row r="49" s="20" customFormat="1" ht="24" hidden="1" customHeight="1" spans="2:41">
      <c r="B49" s="42" t="s">
        <v>81</v>
      </c>
      <c r="C49" s="43"/>
      <c r="D49" s="43" t="str">
        <f>'2023年'!D49</f>
        <v>湘乡简美新材料科技有限公司</v>
      </c>
      <c r="E49" s="47" t="s">
        <v>222</v>
      </c>
      <c r="F49" s="45">
        <f>SUM(I49:X49)</f>
        <v>0</v>
      </c>
      <c r="G49" s="46">
        <f>SUM(I49:V49)</f>
        <v>0</v>
      </c>
      <c r="H49" s="46">
        <f t="shared" ref="H49:H54" si="26">SUM(I49:AG49)</f>
        <v>322369.79</v>
      </c>
      <c r="I49" s="57"/>
      <c r="J49" s="58">
        <f>IF('2023年'!$AZ49&gt;('2023年'!$W49+'2023年'!$V49+SUM('2023年'!F49:$T49)),'2023年'!F49,IF('2023年'!$AZ49-'2023年'!$V49-'2023年'!$W49-SUM('2023年'!F49:$T49)&gt;0,'2023年'!$AZ49-'2023年'!$V49-'2023年'!$W49-SUM('2023年'!F49:$T49),""))</f>
        <v>0</v>
      </c>
      <c r="K49" s="58">
        <f>IF('2023年'!$AZ49&gt;('2023年'!$W49+'2023年'!$V49+SUM('2023年'!G49:$T49)),'2023年'!G49,IF('2023年'!$AZ49-'2023年'!$V49-'2023年'!$W49-SUM('2023年'!G49:$T49)&gt;0,'2023年'!$AZ49-'2023年'!$V49-'2023年'!$W49-SUM('2023年'!G49:$T49),""))</f>
        <v>0</v>
      </c>
      <c r="L49" s="58">
        <f>IF('2023年'!$AZ49&gt;('2023年'!$W49+'2023年'!$V49+SUM('2023年'!H49:$T49)),'2023年'!H49,IF('2023年'!$AZ49-'2023年'!$V49-'2023年'!$W49-SUM('2023年'!H49:$T49)&gt;0,'2023年'!$AZ49-'2023年'!$V49-'2023年'!$W49-SUM('2023年'!H49:$T49),""))</f>
        <v>0</v>
      </c>
      <c r="M49" s="58">
        <f>IF('2023年'!$AZ49&gt;('2023年'!$W49+'2023年'!$V49+SUM('2023年'!I49:$T49)),'2023年'!I49,IF('2023年'!$AZ49-'2023年'!$V49-'2023年'!$W49-SUM('2023年'!I49:$T49)&gt;0,'2023年'!$AZ49-'2023年'!$V49-'2023年'!$W49-SUM('2023年'!I49:$T49),""))</f>
        <v>0</v>
      </c>
      <c r="N49" s="58" t="str">
        <f>IF('2023年'!$AZ49&gt;(SUM('2023年'!$V49:AG49)+SUM('2023年'!J49:$T49)),'2023年'!J49,IF('2023年'!$AZ49-SUM('2023年'!$V49:AG49)-SUM('2023年'!K49:$T49)&gt;0,'2023年'!$AZ49-SUM('2023年'!$V49:AG49)-SUM('2023年'!K49:$T49),""))</f>
        <v/>
      </c>
      <c r="O49" s="58">
        <f>IF('2023年'!$AZ49&gt;('2023年'!$W49+'2023年'!$V49+SUM('2023年'!K49:$T49)),'2023年'!K49,IF('2023年'!$AZ49-'2023年'!$V49-'2023年'!$W49-SUM('2023年'!K49:$T49)&gt;0,'2023年'!$AZ49-'2023年'!$V49-'2023年'!$W49-SUM('2023年'!K49:$T49),""))</f>
        <v>0</v>
      </c>
      <c r="P49" s="58">
        <f>IF('2023年'!$AZ49&gt;('2023年'!$W49+'2023年'!$V49+SUM('2023年'!L49:$T49)),'2023年'!L49,IF('2023年'!$AZ49-'2023年'!$V49-'2023年'!$W49-SUM('2023年'!L49:$T49)&gt;0,'2023年'!$AZ49-'2023年'!$V49-'2023年'!$W49-SUM('2023年'!L49:$T49),""))</f>
        <v>0</v>
      </c>
      <c r="Q49" s="58">
        <f>IF('2023年'!$AZ49&gt;('2023年'!$W49+'2023年'!$V49+SUM('2023年'!M49:$T49)),'2023年'!M49,IF('2023年'!$AZ49-'2023年'!$V49-'2023年'!$W49-SUM('2023年'!N49:$T49)&gt;0,'2023年'!$AZ49-'2023年'!$V49-'2023年'!$W49-SUM('2023年'!N49:$T49),""))</f>
        <v>0</v>
      </c>
      <c r="R49" s="58" t="str">
        <f>IF('2023年'!$AZ49&gt;(SUM('2023年'!V49:AG49)+SUM('2023年'!N49:$T49)),'2023年'!N49,IF('2023年'!$AZ49-SUM('2023年'!V49:AG49)-SUM('2023年'!O49:$T49)&gt;0,'2023年'!$AZ49-SUM('2023年'!V49:AG49)-SUM('2023年'!O49:$T49),""))</f>
        <v/>
      </c>
      <c r="S49" s="58" t="str">
        <f>IF('2023年'!$AZ49&gt;('2023年'!P49+'2023年'!Q49+'2023年'!S49+'2023年'!T49+SUM('2023年'!V49:AG49))+'2023年'!O49+'2023年'!R49,'2023年'!O49+'2023年'!R49,IF('2023年'!$AZ49-SUM('2023年'!V49:AG49)-'2023年'!T49-'2023年'!S49-'2023年'!P49-'2023年'!Q49&gt;0,'2023年'!$AZ49-SUM('2023年'!V49:AG49)-'2023年'!T49-'2023年'!S49-'2023年'!P49-'2023年'!Q49,""))</f>
        <v/>
      </c>
      <c r="T49" s="58" t="str">
        <f>IF('2023年'!$AZ49&gt;('2023年'!$T49+'2023年'!$Q49+SUM('2023年'!V49:$AG49))+'2023年'!S49+'2023年'!P49,'2023年'!P49+'2023年'!S49,IF('2023年'!$AZ49-SUM('2023年'!V49:$AG49)-'2023年'!T49-'2023年'!Q49&gt;0,'2023年'!$AZ49-SUM('2023年'!V49:X49)-'2023年'!T49-'2023年'!Q49,""))</f>
        <v/>
      </c>
      <c r="U49" s="58" t="str">
        <f>IF('2023年'!$AZ49&gt;(SUM('2023年'!V49:AG49)+'2023年'!T49+'2023年'!Q49),'2023年'!Q49+'2023年'!T49,IF('2023年'!$AZ49-SUM('2023年'!V49:AG49)&gt;0,'2023年'!$AZ49-SUM('2023年'!V49:AG49),""))</f>
        <v/>
      </c>
      <c r="V49" s="61">
        <f>IF('2023年'!$AZ49&gt;=SUM('2023年'!V49:$AG49),'2023年'!V49,IF('2023年'!$AZ49-SUM('2023年'!W49:$AG49)&gt;0,'2023年'!$AZ49-SUM('2023年'!W49:$AG49),0))</f>
        <v>0</v>
      </c>
      <c r="W49" s="61">
        <f>IF('2023年'!$AZ49&gt;=SUM('2023年'!W49:$AG49),'2023年'!W49,IF('2023年'!$AZ49-SUM('2023年'!X49:$AG49)&gt;0,'2023年'!$AZ49-SUM('2023年'!X49:$AG49),0))</f>
        <v>0</v>
      </c>
      <c r="X49" s="61">
        <f>IF('2023年'!$AZ49&gt;=SUM('2023年'!X49:$AG49),'2023年'!X49,IF('2023年'!$AZ49-SUM('2023年'!Y49:$AG49)&gt;0,'2023年'!$AZ49-SUM('2023年'!Y49:$AG49),0))</f>
        <v>0</v>
      </c>
      <c r="Y49" s="62">
        <f>IF('2023年'!$AZ49&gt;=SUM('2023年'!Y49:$AG49),'2023年'!Y49,IF('2023年'!$AZ49-SUM('2023年'!Z49:$AG49)&gt;0,'2023年'!$AZ49-SUM('2023年'!Z49:$AG49),0))</f>
        <v>322369.79</v>
      </c>
      <c r="Z49" s="62">
        <f>IF('2023年'!$AZ49&gt;=SUM('2023年'!Z49:$AG49),'2023年'!Z49,IF('2023年'!$AZ49-SUM('2023年'!AA49:$AG49)&gt;0,'2023年'!$AZ49-SUM('2023年'!AA49:$AG49),0))</f>
        <v>0</v>
      </c>
      <c r="AA49" s="62"/>
      <c r="AB49" s="62"/>
      <c r="AC49" s="62"/>
      <c r="AD49" s="62"/>
      <c r="AE49" s="62"/>
      <c r="AF49" s="62"/>
      <c r="AG49" s="62"/>
      <c r="AH49" s="88" t="s">
        <v>372</v>
      </c>
      <c r="AI49" s="79">
        <v>0.02</v>
      </c>
      <c r="AJ49" s="80" t="s">
        <v>392</v>
      </c>
      <c r="AK49" s="86" t="s">
        <v>393</v>
      </c>
      <c r="AL49" s="87"/>
      <c r="AM49" s="83"/>
      <c r="AN49" s="84"/>
      <c r="AO49" s="84"/>
    </row>
    <row r="50" s="20" customFormat="1" ht="24" hidden="1" customHeight="1" spans="2:41">
      <c r="B50" s="42" t="s">
        <v>81</v>
      </c>
      <c r="C50" s="43"/>
      <c r="D50" s="43" t="str">
        <f>'2023年'!D50</f>
        <v>扬州市宏昌气动件制造有限公司</v>
      </c>
      <c r="E50" s="47"/>
      <c r="F50" s="45">
        <f>SUM(I50:V50)</f>
        <v>0</v>
      </c>
      <c r="G50" s="46">
        <f>SUM(I50:U50)</f>
        <v>0</v>
      </c>
      <c r="H50" s="46">
        <f t="shared" si="26"/>
        <v>20566</v>
      </c>
      <c r="I50" s="57"/>
      <c r="J50" s="58">
        <f>IF('2023年'!$AZ50&gt;('2023年'!$W50+'2023年'!$V50+SUM('2023年'!F50:$T50)),'2023年'!F50,IF('2023年'!$AZ50-'2023年'!$V50-'2023年'!$W50-SUM('2023年'!F50:$T50)&gt;0,'2023年'!$AZ50-'2023年'!$V50-'2023年'!$W50-SUM('2023年'!F50:$T50),""))</f>
        <v>0</v>
      </c>
      <c r="K50" s="58">
        <f>IF('2023年'!$AZ50&gt;('2023年'!$W50+'2023年'!$V50+SUM('2023年'!G50:$T50)),'2023年'!G50,IF('2023年'!$AZ50-'2023年'!$V50-'2023年'!$W50-SUM('2023年'!G50:$T50)&gt;0,'2023年'!$AZ50-'2023年'!$V50-'2023年'!$W50-SUM('2023年'!G50:$T50),""))</f>
        <v>0</v>
      </c>
      <c r="L50" s="58">
        <f>IF('2023年'!$AZ50&gt;('2023年'!$W50+'2023年'!$V50+SUM('2023年'!H50:$T50)),'2023年'!H50,IF('2023年'!$AZ50-'2023年'!$V50-'2023年'!$W50-SUM('2023年'!H50:$T50)&gt;0,'2023年'!$AZ50-'2023年'!$V50-'2023年'!$W50-SUM('2023年'!H50:$T50),""))</f>
        <v>0</v>
      </c>
      <c r="M50" s="58">
        <f>IF('2023年'!$AZ50&gt;('2023年'!$W50+'2023年'!$V50+SUM('2023年'!I50:$T50)),'2023年'!I50,IF('2023年'!$AZ50-'2023年'!$V50-'2023年'!$W50-SUM('2023年'!I50:$T50)&gt;0,'2023年'!$AZ50-'2023年'!$V50-'2023年'!$W50-SUM('2023年'!I50:$T50),""))</f>
        <v>0</v>
      </c>
      <c r="N50" s="58" t="str">
        <f>IF('2023年'!$AZ50&gt;(SUM('2023年'!$V50:AG50)+SUM('2023年'!J50:$T50)),'2023年'!J50,IF('2023年'!$AZ50-SUM('2023年'!$V50:AG50)-SUM('2023年'!K50:$T50)&gt;0,'2023年'!$AZ50-SUM('2023年'!$V50:AG50)-SUM('2023年'!K50:$T50),""))</f>
        <v/>
      </c>
      <c r="O50" s="58">
        <f>IF('2023年'!$AZ50&gt;('2023年'!$W50+'2023年'!$V50+SUM('2023年'!K50:$T50)),'2023年'!K50,IF('2023年'!$AZ50-'2023年'!$V50-'2023年'!$W50-SUM('2023年'!K50:$T50)&gt;0,'2023年'!$AZ50-'2023年'!$V50-'2023年'!$W50-SUM('2023年'!K50:$T50),""))</f>
        <v>0</v>
      </c>
      <c r="P50" s="58">
        <f>IF('2023年'!$AZ50&gt;('2023年'!$W50+'2023年'!$V50+SUM('2023年'!L50:$T50)),'2023年'!L50,IF('2023年'!$AZ50-'2023年'!$V50-'2023年'!$W50-SUM('2023年'!L50:$T50)&gt;0,'2023年'!$AZ50-'2023年'!$V50-'2023年'!$W50-SUM('2023年'!L50:$T50),""))</f>
        <v>0</v>
      </c>
      <c r="Q50" s="58">
        <f>IF('2023年'!$AZ50&gt;('2023年'!$W50+'2023年'!$V50+SUM('2023年'!M50:$T50)),'2023年'!M50,IF('2023年'!$AZ50-'2023年'!$V50-'2023年'!$W50-SUM('2023年'!N50:$T50)&gt;0,'2023年'!$AZ50-'2023年'!$V50-'2023年'!$W50-SUM('2023年'!N50:$T50),""))</f>
        <v>0</v>
      </c>
      <c r="R50" s="58" t="str">
        <f>IF('2023年'!$AZ50&gt;(SUM('2023年'!V50:AG50)+SUM('2023年'!N50:$T50)),'2023年'!N50,IF('2023年'!$AZ50-SUM('2023年'!V50:AG50)-SUM('2023年'!O50:$T50)&gt;0,'2023年'!$AZ50-SUM('2023年'!V50:AG50)-SUM('2023年'!O50:$T50),""))</f>
        <v/>
      </c>
      <c r="S50" s="58" t="str">
        <f>IF('2023年'!$AZ50&gt;('2023年'!P50+'2023年'!Q50+'2023年'!S50+'2023年'!T50+SUM('2023年'!V50:AG50))+'2023年'!O50+'2023年'!R50,'2023年'!O50+'2023年'!R50,IF('2023年'!$AZ50-SUM('2023年'!V50:AG50)-'2023年'!T50-'2023年'!S50-'2023年'!P50-'2023年'!Q50&gt;0,'2023年'!$AZ50-SUM('2023年'!V50:AG50)-'2023年'!T50-'2023年'!S50-'2023年'!P50-'2023年'!Q50,""))</f>
        <v/>
      </c>
      <c r="T50" s="58" t="str">
        <f>IF('2023年'!$AZ50&gt;('2023年'!$T50+'2023年'!$Q50+SUM('2023年'!V50:$AG50))+'2023年'!S50+'2023年'!P50,'2023年'!P50+'2023年'!S50,IF('2023年'!$AZ50-SUM('2023年'!V50:$AG50)-'2023年'!T50-'2023年'!Q50&gt;0,'2023年'!$AZ50-SUM('2023年'!V50:X50)-'2023年'!T50-'2023年'!Q50,""))</f>
        <v/>
      </c>
      <c r="U50" s="58" t="str">
        <f>IF('2023年'!$AZ50&gt;(SUM('2023年'!V50:AG50)+'2023年'!T50+'2023年'!Q50),'2023年'!Q50+'2023年'!T50,IF('2023年'!$AZ50-SUM('2023年'!V50:AG50)&gt;0,'2023年'!$AZ50-SUM('2023年'!V50:AG50),""))</f>
        <v/>
      </c>
      <c r="V50" s="61">
        <f>IF('2023年'!$AZ50&gt;=SUM('2023年'!V50:$AG50),'2023年'!V50,IF('2023年'!$AZ50-SUM('2023年'!W50:$AG50)&gt;0,'2023年'!$AZ50-SUM('2023年'!W50:$AG50),0))</f>
        <v>0</v>
      </c>
      <c r="W50" s="61">
        <f>IF('2023年'!$AZ50&gt;=SUM('2023年'!W50:$AG50),'2023年'!W50,IF('2023年'!$AZ50-SUM('2023年'!X50:$AG50)&gt;0,'2023年'!$AZ50-SUM('2023年'!X50:$AG50),0))</f>
        <v>0</v>
      </c>
      <c r="X50" s="61">
        <f>IF('2023年'!$AZ50&gt;=SUM('2023年'!X50:$AG50),'2023年'!X50,IF('2023年'!$AZ50-SUM('2023年'!Y50:$AG50)&gt;0,'2023年'!$AZ50-SUM('2023年'!Y50:$AG50),0))</f>
        <v>20566</v>
      </c>
      <c r="Y50" s="62">
        <f>IF('2023年'!$AZ50&gt;=SUM('2023年'!Y50:$AG50),'2023年'!Y50,IF('2023年'!$AZ50-SUM('2023年'!Z50:$AG50)&gt;0,'2023年'!$AZ50-SUM('2023年'!Z50:$AG50),0))</f>
        <v>0</v>
      </c>
      <c r="Z50" s="62">
        <f>IF('2023年'!$AZ50&gt;=SUM('2023年'!Z50:$AG50),'2023年'!Z50,IF('2023年'!$AZ50-SUM('2023年'!AA50:$AG50)&gt;0,'2023年'!$AZ50-SUM('2023年'!AA50:$AG50),0))</f>
        <v>0</v>
      </c>
      <c r="AA50" s="62"/>
      <c r="AB50" s="62"/>
      <c r="AC50" s="62"/>
      <c r="AD50" s="62"/>
      <c r="AE50" s="62"/>
      <c r="AF50" s="62"/>
      <c r="AG50" s="62"/>
      <c r="AH50" s="88" t="s">
        <v>372</v>
      </c>
      <c r="AI50" s="79"/>
      <c r="AJ50" s="80"/>
      <c r="AK50" s="86" t="s">
        <v>394</v>
      </c>
      <c r="AL50" s="87"/>
      <c r="AM50" s="83"/>
      <c r="AN50" s="84"/>
      <c r="AO50" s="84"/>
    </row>
    <row r="51" s="20" customFormat="1" ht="24" hidden="1" customHeight="1" spans="2:41">
      <c r="B51" s="48" t="s">
        <v>81</v>
      </c>
      <c r="C51" s="43" t="s">
        <v>82</v>
      </c>
      <c r="D51" s="43" t="str">
        <f>'2023年'!D51</f>
        <v>长春光华荣昌汽车部件有限公司</v>
      </c>
      <c r="E51" s="47" t="s">
        <v>222</v>
      </c>
      <c r="F51" s="45">
        <f>SUM(I51:X51)</f>
        <v>55514.15</v>
      </c>
      <c r="G51" s="46">
        <f>SUM(I51:V51)</f>
        <v>0</v>
      </c>
      <c r="H51" s="46">
        <f t="shared" si="26"/>
        <v>55514.15</v>
      </c>
      <c r="I51" s="57"/>
      <c r="J51" s="58">
        <f>IF('2023年'!$AZ51&gt;('2023年'!$W51+'2023年'!$V51+SUM('2023年'!F51:$T51)),'2023年'!F51,IF('2023年'!$AZ51-'2023年'!$V51-'2023年'!$W51-SUM('2023年'!F51:$T51)&gt;0,'2023年'!$AZ51-'2023年'!$V51-'2023年'!$W51-SUM('2023年'!F51:$T51),""))</f>
        <v>0</v>
      </c>
      <c r="K51" s="58">
        <f>IF('2023年'!$AZ51&gt;('2023年'!$W51+'2023年'!$V51+SUM('2023年'!G51:$T51)),'2023年'!G51,IF('2023年'!$AZ51-'2023年'!$V51-'2023年'!$W51-SUM('2023年'!G51:$T51)&gt;0,'2023年'!$AZ51-'2023年'!$V51-'2023年'!$W51-SUM('2023年'!G51:$T51),""))</f>
        <v>0</v>
      </c>
      <c r="L51" s="58">
        <f>IF('2023年'!$AZ51&gt;('2023年'!$W51+'2023年'!$V51+SUM('2023年'!H51:$T51)),'2023年'!H51,IF('2023年'!$AZ51-'2023年'!$V51-'2023年'!$W51-SUM('2023年'!H51:$T51)&gt;0,'2023年'!$AZ51-'2023年'!$V51-'2023年'!$W51-SUM('2023年'!H51:$T51),""))</f>
        <v>0</v>
      </c>
      <c r="M51" s="58">
        <f>IF('2023年'!$AZ51&gt;('2023年'!$W51+'2023年'!$V51+SUM('2023年'!I51:$T51)),'2023年'!I51,IF('2023年'!$AZ51-'2023年'!$V51-'2023年'!$W51-SUM('2023年'!I51:$T51)&gt;0,'2023年'!$AZ51-'2023年'!$V51-'2023年'!$W51-SUM('2023年'!I51:$T51),""))</f>
        <v>0</v>
      </c>
      <c r="N51" s="58" t="str">
        <f>IF('2023年'!$AZ51&gt;(SUM('2023年'!$V51:AG51)+SUM('2023年'!J51:$T51)),'2023年'!J51,IF('2023年'!$AZ51-SUM('2023年'!$V51:AG51)-SUM('2023年'!K51:$T51)&gt;0,'2023年'!$AZ51-SUM('2023年'!$V51:AG51)-SUM('2023年'!K51:$T51),""))</f>
        <v/>
      </c>
      <c r="O51" s="58">
        <f>IF('2023年'!$AZ51&gt;('2023年'!$W51+'2023年'!$V51+SUM('2023年'!K51:$T51)),'2023年'!K51,IF('2023年'!$AZ51-'2023年'!$V51-'2023年'!$W51-SUM('2023年'!K51:$T51)&gt;0,'2023年'!$AZ51-'2023年'!$V51-'2023年'!$W51-SUM('2023年'!K51:$T51),""))</f>
        <v>0</v>
      </c>
      <c r="P51" s="58">
        <f>IF('2023年'!$AZ51&gt;('2023年'!$W51+'2023年'!$V51+SUM('2023年'!L51:$T51)),'2023年'!L51,IF('2023年'!$AZ51-'2023年'!$V51-'2023年'!$W51-SUM('2023年'!L51:$T51)&gt;0,'2023年'!$AZ51-'2023年'!$V51-'2023年'!$W51-SUM('2023年'!L51:$T51),""))</f>
        <v>0</v>
      </c>
      <c r="Q51" s="58">
        <f>IF('2023年'!$AZ51&gt;('2023年'!$W51+'2023年'!$V51+SUM('2023年'!M51:$T51)),'2023年'!M51,IF('2023年'!$AZ51-'2023年'!$V51-'2023年'!$W51-SUM('2023年'!N51:$T51)&gt;0,'2023年'!$AZ51-'2023年'!$V51-'2023年'!$W51-SUM('2023年'!N51:$T51),""))</f>
        <v>0</v>
      </c>
      <c r="R51" s="58" t="str">
        <f>IF('2023年'!$AZ51&gt;(SUM('2023年'!V51:AG51)+SUM('2023年'!N51:$T51)),'2023年'!N51,IF('2023年'!$AZ51-SUM('2023年'!V51:AG51)-SUM('2023年'!O51:$T51)&gt;0,'2023年'!$AZ51-SUM('2023年'!V51:AG51)-SUM('2023年'!O51:$T51),""))</f>
        <v/>
      </c>
      <c r="S51" s="58" t="str">
        <f>IF('2023年'!$AZ51&gt;('2023年'!P51+'2023年'!Q51+'2023年'!S51+'2023年'!T51+SUM('2023年'!V51:AG51))+'2023年'!O51+'2023年'!R51,'2023年'!O51+'2023年'!R51,IF('2023年'!$AZ51-SUM('2023年'!V51:AG51)-'2023年'!T51-'2023年'!S51-'2023年'!P51-'2023年'!Q51&gt;0,'2023年'!$AZ51-SUM('2023年'!V51:AG51)-'2023年'!T51-'2023年'!S51-'2023年'!P51-'2023年'!Q51,""))</f>
        <v/>
      </c>
      <c r="T51" s="58" t="str">
        <f>IF('2023年'!$AZ51&gt;('2023年'!$T51+'2023年'!$Q51+SUM('2023年'!V51:$AG51))+'2023年'!S51+'2023年'!P51,'2023年'!P51+'2023年'!S51,IF('2023年'!$AZ51-SUM('2023年'!V51:$AG51)-'2023年'!T51-'2023年'!Q51&gt;0,'2023年'!$AZ51-SUM('2023年'!V51:X51)-'2023年'!T51-'2023年'!Q51,""))</f>
        <v/>
      </c>
      <c r="U51" s="58" t="str">
        <f>IF('2023年'!$AZ51&gt;(SUM('2023年'!V51:AG51)+'2023年'!T51+'2023年'!Q51),'2023年'!Q51+'2023年'!T51,IF('2023年'!$AZ51-SUM('2023年'!V51:AG51)&gt;0,'2023年'!$AZ51-SUM('2023年'!V51:AG51),""))</f>
        <v/>
      </c>
      <c r="V51" s="61">
        <f>IF('2023年'!$AZ51&gt;=SUM('2023年'!V51:$AG51),'2023年'!V51,IF('2023年'!$AZ51-SUM('2023年'!W51:$AG51)&gt;0,'2023年'!$AZ51-SUM('2023年'!W51:$AG51),0))</f>
        <v>0</v>
      </c>
      <c r="W51" s="61">
        <f>IF('2023年'!$AZ51&gt;=SUM('2023年'!W51:$AG51),'2023年'!W51,IF('2023年'!$AZ51-SUM('2023年'!X51:$AG51)&gt;0,'2023年'!$AZ51-SUM('2023年'!X51:$AG51),0))</f>
        <v>0</v>
      </c>
      <c r="X51" s="61">
        <f>IF('2023年'!$AZ51&gt;=SUM('2023年'!X51:$AG51),'2023年'!X51,IF('2023年'!$AZ51-SUM('2023年'!Y51:$AG51)&gt;0,'2023年'!$AZ51-SUM('2023年'!Y51:$AG51),0))</f>
        <v>55514.15</v>
      </c>
      <c r="Y51" s="62">
        <f>IF('2023年'!$AZ51&gt;=SUM('2023年'!Y51:$AG51),'2023年'!Y51,IF('2023年'!$AZ51-SUM('2023年'!Z51:$AG51)&gt;0,'2023年'!$AZ51-SUM('2023年'!Z51:$AG51),0))</f>
        <v>0</v>
      </c>
      <c r="Z51" s="62">
        <f>IF('2023年'!$AZ51&gt;=SUM('2023年'!Z51:$AG51),'2023年'!Z51,IF('2023年'!$AZ51-SUM('2023年'!AA51:$AG51)&gt;0,'2023年'!$AZ51-SUM('2023年'!AA51:$AG51),0))</f>
        <v>0</v>
      </c>
      <c r="AA51" s="62"/>
      <c r="AB51" s="62"/>
      <c r="AC51" s="62"/>
      <c r="AD51" s="62"/>
      <c r="AE51" s="62"/>
      <c r="AF51" s="62"/>
      <c r="AG51" s="62"/>
      <c r="AH51" s="88"/>
      <c r="AI51" s="79"/>
      <c r="AJ51" s="80" t="s">
        <v>84</v>
      </c>
      <c r="AK51" s="86"/>
      <c r="AL51" s="87"/>
      <c r="AM51" s="83"/>
      <c r="AN51" s="84"/>
      <c r="AO51" s="84"/>
    </row>
    <row r="52" s="20" customFormat="1" ht="24" hidden="1" customHeight="1" spans="2:41">
      <c r="B52" s="48" t="s">
        <v>81</v>
      </c>
      <c r="C52" s="43" t="s">
        <v>86</v>
      </c>
      <c r="D52" s="43" t="str">
        <f>'2023年'!D52</f>
        <v>天津金发新材料有限公司</v>
      </c>
      <c r="E52" s="47">
        <v>60</v>
      </c>
      <c r="F52" s="45">
        <f t="shared" ref="F52:F55" si="27">SUM(I52:Y52)</f>
        <v>0</v>
      </c>
      <c r="G52" s="46">
        <f t="shared" si="25"/>
        <v>0</v>
      </c>
      <c r="H52" s="46">
        <f t="shared" si="26"/>
        <v>0</v>
      </c>
      <c r="I52" s="57"/>
      <c r="J52" s="58" t="str">
        <f>IF('2023年'!$AZ52&gt;('2023年'!$W52+'2023年'!$V52+SUM('2023年'!F52:$T52)),'2023年'!F52,IF('2023年'!$AZ52-'2023年'!$V52-'2023年'!$W52-SUM('2023年'!F52:$T52)&gt;0,'2023年'!$AZ52-'2023年'!$V52-'2023年'!$W52-SUM('2023年'!F52:$T52),""))</f>
        <v/>
      </c>
      <c r="K52" s="58" t="str">
        <f>IF('2023年'!$AZ52&gt;('2023年'!$W52+'2023年'!$V52+SUM('2023年'!G52:$T52)),'2023年'!G52,IF('2023年'!$AZ52-'2023年'!$V52-'2023年'!$W52-SUM('2023年'!G52:$T52)&gt;0,'2023年'!$AZ52-'2023年'!$V52-'2023年'!$W52-SUM('2023年'!G52:$T52),""))</f>
        <v/>
      </c>
      <c r="L52" s="58" t="str">
        <f>IF('2023年'!$AZ52&gt;('2023年'!$W52+'2023年'!$V52+SUM('2023年'!H52:$T52)),'2023年'!H52,IF('2023年'!$AZ52-'2023年'!$V52-'2023年'!$W52-SUM('2023年'!H52:$T52)&gt;0,'2023年'!$AZ52-'2023年'!$V52-'2023年'!$W52-SUM('2023年'!H52:$T52),""))</f>
        <v/>
      </c>
      <c r="M52" s="58" t="str">
        <f>IF('2023年'!$AZ52&gt;('2023年'!$W52+'2023年'!$V52+SUM('2023年'!I52:$T52)),'2023年'!I52,IF('2023年'!$AZ52-'2023年'!$V52-'2023年'!$W52-SUM('2023年'!I52:$T52)&gt;0,'2023年'!$AZ52-'2023年'!$V52-'2023年'!$W52-SUM('2023年'!I52:$T52),""))</f>
        <v/>
      </c>
      <c r="N52" s="58" t="str">
        <f>IF('2023年'!$AZ52&gt;(SUM('2023年'!$V52:AG52)+SUM('2023年'!J52:$T52)),'2023年'!J52,IF('2023年'!$AZ52-SUM('2023年'!$V52:AG52)-SUM('2023年'!K52:$T52)&gt;0,'2023年'!$AZ52-SUM('2023年'!$V52:AG52)-SUM('2023年'!K52:$T52),""))</f>
        <v/>
      </c>
      <c r="O52" s="58" t="str">
        <f>IF('2023年'!$AZ52&gt;('2023年'!$W52+'2023年'!$V52+SUM('2023年'!K52:$T52)),'2023年'!K52,IF('2023年'!$AZ52-'2023年'!$V52-'2023年'!$W52-SUM('2023年'!K52:$T52)&gt;0,'2023年'!$AZ52-'2023年'!$V52-'2023年'!$W52-SUM('2023年'!K52:$T52),""))</f>
        <v/>
      </c>
      <c r="P52" s="58" t="str">
        <f>IF('2023年'!$AZ52&gt;('2023年'!$W52+'2023年'!$V52+SUM('2023年'!L52:$T52)),'2023年'!L52,IF('2023年'!$AZ52-'2023年'!$V52-'2023年'!$W52-SUM('2023年'!L52:$T52)&gt;0,'2023年'!$AZ52-'2023年'!$V52-'2023年'!$W52-SUM('2023年'!L52:$T52),""))</f>
        <v/>
      </c>
      <c r="Q52" s="58" t="str">
        <f>IF('2023年'!$AZ52&gt;('2023年'!$W52+'2023年'!$V52+SUM('2023年'!M52:$T52)),'2023年'!M52,IF('2023年'!$AZ52-'2023年'!$V52-'2023年'!$W52-SUM('2023年'!N52:$T52)&gt;0,'2023年'!$AZ52-'2023年'!$V52-'2023年'!$W52-SUM('2023年'!N52:$T52),""))</f>
        <v/>
      </c>
      <c r="R52" s="58" t="str">
        <f>IF('2023年'!$AZ52&gt;(SUM('2023年'!V52:AG52)+SUM('2023年'!N52:$T52)),'2023年'!N52,IF('2023年'!$AZ52-SUM('2023年'!V52:AG52)-SUM('2023年'!O52:$T52)&gt;0,'2023年'!$AZ52-SUM('2023年'!V52:AG52)-SUM('2023年'!O52:$T52),""))</f>
        <v/>
      </c>
      <c r="S52" s="58" t="str">
        <f>IF('2023年'!$AZ52&gt;('2023年'!P52+'2023年'!Q52+'2023年'!S52+'2023年'!T52+SUM('2023年'!V52:AG52))+'2023年'!O52+'2023年'!R52,'2023年'!O52+'2023年'!R52,IF('2023年'!$AZ52-SUM('2023年'!V52:AG52)-'2023年'!T52-'2023年'!S52-'2023年'!P52-'2023年'!Q52&gt;0,'2023年'!$AZ52-SUM('2023年'!V52:AG52)-'2023年'!T52-'2023年'!S52-'2023年'!P52-'2023年'!Q52,""))</f>
        <v/>
      </c>
      <c r="T52" s="58" t="str">
        <f>IF('2023年'!$AZ52&gt;('2023年'!$T52+'2023年'!$Q52+SUM('2023年'!V52:$AG52))+'2023年'!S52+'2023年'!P52,'2023年'!P52+'2023年'!S52,IF('2023年'!$AZ52-SUM('2023年'!V52:$AG52)-'2023年'!T52-'2023年'!Q52&gt;0,'2023年'!$AZ52-SUM('2023年'!V52:X52)-'2023年'!T52-'2023年'!Q52,""))</f>
        <v/>
      </c>
      <c r="U52" s="58" t="str">
        <f>IF('2023年'!$AZ52&gt;(SUM('2023年'!V52:AG52)+'2023年'!T52+'2023年'!Q52),'2023年'!Q52+'2023年'!T52,IF('2023年'!$AZ52-SUM('2023年'!V52:AG52)&gt;0,'2023年'!$AZ52-SUM('2023年'!V52:AG52),""))</f>
        <v/>
      </c>
      <c r="V52" s="61">
        <f>IF('2023年'!$AZ52&gt;=SUM('2023年'!V52:$AG52),'2023年'!V52,IF('2023年'!$AZ52-SUM('2023年'!W52:$AG52)&gt;0,'2023年'!$AZ52-SUM('2023年'!W52:$AG52),0))</f>
        <v>0</v>
      </c>
      <c r="W52" s="61">
        <f>IF('2023年'!$AZ52&gt;=SUM('2023年'!W52:$AG52),'2023年'!W52,IF('2023年'!$AZ52-SUM('2023年'!X52:$AG52)&gt;0,'2023年'!$AZ52-SUM('2023年'!X52:$AG52),0))</f>
        <v>0</v>
      </c>
      <c r="X52" s="61">
        <f>IF('2023年'!$AZ52&gt;=SUM('2023年'!X52:$AG52),'2023年'!X52,IF('2023年'!$AZ52-SUM('2023年'!Y52:$AG52)&gt;0,'2023年'!$AZ52-SUM('2023年'!Y52:$AG52),0))</f>
        <v>0</v>
      </c>
      <c r="Y52" s="62">
        <f>IF('2023年'!$AZ52&gt;=SUM('2023年'!Y52:$AG52),'2023年'!Y52,IF('2023年'!$AZ52-SUM('2023年'!Z52:$AG52)&gt;0,'2023年'!$AZ52-SUM('2023年'!Z52:$AG52),0))</f>
        <v>0</v>
      </c>
      <c r="Z52" s="62">
        <f>IF('2023年'!$AZ52&gt;=SUM('2023年'!Z52:$AG52),'2023年'!Z52,IF('2023年'!$AZ52-SUM('2023年'!AA52:$AG52)&gt;0,'2023年'!$AZ52-SUM('2023年'!AA52:$AG52),0))</f>
        <v>0</v>
      </c>
      <c r="AA52" s="62"/>
      <c r="AB52" s="62"/>
      <c r="AC52" s="62"/>
      <c r="AD52" s="62"/>
      <c r="AE52" s="62"/>
      <c r="AF52" s="62"/>
      <c r="AG52" s="62"/>
      <c r="AH52" s="88"/>
      <c r="AI52" s="79"/>
      <c r="AJ52" s="80" t="s">
        <v>84</v>
      </c>
      <c r="AK52" s="86"/>
      <c r="AL52" s="87"/>
      <c r="AM52" s="83"/>
      <c r="AN52" s="84"/>
      <c r="AO52" s="84"/>
    </row>
    <row r="53" s="20" customFormat="1" ht="24" hidden="1" customHeight="1" spans="2:41">
      <c r="B53" s="48" t="s">
        <v>81</v>
      </c>
      <c r="C53" s="43" t="s">
        <v>88</v>
      </c>
      <c r="D53" s="43" t="str">
        <f>'2023年'!D53</f>
        <v>保定市宏腾科技有限公司</v>
      </c>
      <c r="E53" s="47">
        <v>60</v>
      </c>
      <c r="F53" s="45">
        <f t="shared" si="27"/>
        <v>0</v>
      </c>
      <c r="G53" s="46">
        <f t="shared" si="25"/>
        <v>0</v>
      </c>
      <c r="H53" s="46">
        <f t="shared" si="26"/>
        <v>0</v>
      </c>
      <c r="I53" s="57"/>
      <c r="J53" s="58" t="str">
        <f>IF('2023年'!$AZ53&gt;('2023年'!$W53+'2023年'!$V53+SUM('2023年'!F53:$T53)),'2023年'!F53,IF('2023年'!$AZ53-'2023年'!$V53-'2023年'!$W53-SUM('2023年'!F53:$T53)&gt;0,'2023年'!$AZ53-'2023年'!$V53-'2023年'!$W53-SUM('2023年'!F53:$T53),""))</f>
        <v/>
      </c>
      <c r="K53" s="58" t="str">
        <f>IF('2023年'!$AZ53&gt;('2023年'!$W53+'2023年'!$V53+SUM('2023年'!G53:$T53)),'2023年'!G53,IF('2023年'!$AZ53-'2023年'!$V53-'2023年'!$W53-SUM('2023年'!G53:$T53)&gt;0,'2023年'!$AZ53-'2023年'!$V53-'2023年'!$W53-SUM('2023年'!G53:$T53),""))</f>
        <v/>
      </c>
      <c r="L53" s="58" t="str">
        <f>IF('2023年'!$AZ53&gt;('2023年'!$W53+'2023年'!$V53+SUM('2023年'!H53:$T53)),'2023年'!H53,IF('2023年'!$AZ53-'2023年'!$V53-'2023年'!$W53-SUM('2023年'!H53:$T53)&gt;0,'2023年'!$AZ53-'2023年'!$V53-'2023年'!$W53-SUM('2023年'!H53:$T53),""))</f>
        <v/>
      </c>
      <c r="M53" s="58" t="str">
        <f>IF('2023年'!$AZ53&gt;('2023年'!$W53+'2023年'!$V53+SUM('2023年'!I53:$T53)),'2023年'!I53,IF('2023年'!$AZ53-'2023年'!$V53-'2023年'!$W53-SUM('2023年'!I53:$T53)&gt;0,'2023年'!$AZ53-'2023年'!$V53-'2023年'!$W53-SUM('2023年'!I53:$T53),""))</f>
        <v/>
      </c>
      <c r="N53" s="58" t="str">
        <f>IF('2023年'!$AZ53&gt;(SUM('2023年'!$V53:AG53)+SUM('2023年'!J53:$T53)),'2023年'!J53,IF('2023年'!$AZ53-SUM('2023年'!$V53:AG53)-SUM('2023年'!K53:$T53)&gt;0,'2023年'!$AZ53-SUM('2023年'!$V53:AG53)-SUM('2023年'!K53:$T53),""))</f>
        <v/>
      </c>
      <c r="O53" s="58" t="str">
        <f>IF('2023年'!$AZ53&gt;('2023年'!$W53+'2023年'!$V53+SUM('2023年'!K53:$T53)),'2023年'!K53,IF('2023年'!$AZ53-'2023年'!$V53-'2023年'!$W53-SUM('2023年'!K53:$T53)&gt;0,'2023年'!$AZ53-'2023年'!$V53-'2023年'!$W53-SUM('2023年'!K53:$T53),""))</f>
        <v/>
      </c>
      <c r="P53" s="58" t="str">
        <f>IF('2023年'!$AZ53&gt;('2023年'!$W53+'2023年'!$V53+SUM('2023年'!L53:$T53)),'2023年'!L53,IF('2023年'!$AZ53-'2023年'!$V53-'2023年'!$W53-SUM('2023年'!L53:$T53)&gt;0,'2023年'!$AZ53-'2023年'!$V53-'2023年'!$W53-SUM('2023年'!L53:$T53),""))</f>
        <v/>
      </c>
      <c r="Q53" s="58" t="str">
        <f>IF('2023年'!$AZ53&gt;('2023年'!$W53+'2023年'!$V53+SUM('2023年'!M53:$T53)),'2023年'!M53,IF('2023年'!$AZ53-'2023年'!$V53-'2023年'!$W53-SUM('2023年'!N53:$T53)&gt;0,'2023年'!$AZ53-'2023年'!$V53-'2023年'!$W53-SUM('2023年'!N53:$T53),""))</f>
        <v/>
      </c>
      <c r="R53" s="58" t="str">
        <f>IF('2023年'!$AZ53&gt;(SUM('2023年'!V53:AG53)+SUM('2023年'!N53:$T53)),'2023年'!N53,IF('2023年'!$AZ53-SUM('2023年'!V53:AG53)-SUM('2023年'!O53:$T53)&gt;0,'2023年'!$AZ53-SUM('2023年'!V53:AG53)-SUM('2023年'!O53:$T53),""))</f>
        <v/>
      </c>
      <c r="S53" s="58" t="str">
        <f>IF('2023年'!$AZ53&gt;('2023年'!P53+'2023年'!Q53+'2023年'!S53+'2023年'!T53+SUM('2023年'!V53:AG53))+'2023年'!O53+'2023年'!R53,'2023年'!O53+'2023年'!R53,IF('2023年'!$AZ53-SUM('2023年'!V53:AG53)-'2023年'!T53-'2023年'!S53-'2023年'!P53-'2023年'!Q53&gt;0,'2023年'!$AZ53-SUM('2023年'!V53:AG53)-'2023年'!T53-'2023年'!S53-'2023年'!P53-'2023年'!Q53,""))</f>
        <v/>
      </c>
      <c r="T53" s="58" t="str">
        <f>IF('2023年'!$AZ53&gt;('2023年'!$T53+'2023年'!$Q53+SUM('2023年'!V53:$AG53))+'2023年'!S53+'2023年'!P53,'2023年'!P53+'2023年'!S53,IF('2023年'!$AZ53-SUM('2023年'!V53:$AG53)-'2023年'!T53-'2023年'!Q53&gt;0,'2023年'!$AZ53-SUM('2023年'!V53:X53)-'2023年'!T53-'2023年'!Q53,""))</f>
        <v/>
      </c>
      <c r="U53" s="58" t="str">
        <f>IF('2023年'!$AZ53&gt;(SUM('2023年'!V53:AG53)+'2023年'!T53+'2023年'!Q53),'2023年'!Q53+'2023年'!T53,IF('2023年'!$AZ53-SUM('2023年'!V53:AG53)&gt;0,'2023年'!$AZ53-SUM('2023年'!V53:AG53),""))</f>
        <v/>
      </c>
      <c r="V53" s="61">
        <f>IF('2023年'!$AZ53&gt;=SUM('2023年'!V53:$AG53),'2023年'!V53,IF('2023年'!$AZ53-SUM('2023年'!W53:$AG53)&gt;0,'2023年'!$AZ53-SUM('2023年'!W53:$AG53),0))</f>
        <v>0</v>
      </c>
      <c r="W53" s="61">
        <f>IF('2023年'!$AZ53&gt;=SUM('2023年'!W53:$AG53),'2023年'!W53,IF('2023年'!$AZ53-SUM('2023年'!X53:$AG53)&gt;0,'2023年'!$AZ53-SUM('2023年'!X53:$AG53),0))</f>
        <v>0</v>
      </c>
      <c r="X53" s="61">
        <f>IF('2023年'!$AZ53&gt;=SUM('2023年'!X53:$AG53),'2023年'!X53,IF('2023年'!$AZ53-SUM('2023年'!Y53:$AG53)&gt;0,'2023年'!$AZ53-SUM('2023年'!Y53:$AG53),0))</f>
        <v>0</v>
      </c>
      <c r="Y53" s="62">
        <f>IF('2023年'!$AZ53&gt;=SUM('2023年'!Y53:$AG53),'2023年'!Y53,IF('2023年'!$AZ53-SUM('2023年'!Z53:$AG53)&gt;0,'2023年'!$AZ53-SUM('2023年'!Z53:$AG53),0))</f>
        <v>0</v>
      </c>
      <c r="Z53" s="62">
        <f>IF('2023年'!$AZ53&gt;=SUM('2023年'!Z53:$AG53),'2023年'!Z53,IF('2023年'!$AZ53-SUM('2023年'!AA53:$AG53)&gt;0,'2023年'!$AZ53-SUM('2023年'!AA53:$AG53),0))</f>
        <v>0</v>
      </c>
      <c r="AA53" s="62"/>
      <c r="AB53" s="62"/>
      <c r="AC53" s="62"/>
      <c r="AD53" s="62"/>
      <c r="AE53" s="62"/>
      <c r="AF53" s="62"/>
      <c r="AG53" s="62"/>
      <c r="AH53" s="88"/>
      <c r="AI53" s="79"/>
      <c r="AJ53" s="80" t="s">
        <v>84</v>
      </c>
      <c r="AK53" s="86"/>
      <c r="AL53" s="87"/>
      <c r="AM53" s="83"/>
      <c r="AN53" s="84"/>
      <c r="AO53" s="84"/>
    </row>
    <row r="54" s="20" customFormat="1" ht="24" hidden="1" customHeight="1" spans="2:41">
      <c r="B54" s="48" t="s">
        <v>81</v>
      </c>
      <c r="C54" s="43" t="s">
        <v>94</v>
      </c>
      <c r="D54" s="43" t="str">
        <f>'2023年'!D54</f>
        <v>上海普胜塑胶制品有限公司</v>
      </c>
      <c r="E54" s="47" t="s">
        <v>96</v>
      </c>
      <c r="F54" s="45">
        <f>SUM(I54:V54)</f>
        <v>0</v>
      </c>
      <c r="G54" s="46">
        <f>SUM(I54:U54)</f>
        <v>0</v>
      </c>
      <c r="H54" s="46">
        <f t="shared" si="26"/>
        <v>0</v>
      </c>
      <c r="I54" s="57"/>
      <c r="J54" s="58" t="str">
        <f>IF('2023年'!$AZ54&gt;('2023年'!$W54+'2023年'!$V54+SUM('2023年'!F54:$T54)),'2023年'!F54,IF('2023年'!$AZ54-'2023年'!$V54-'2023年'!$W54-SUM('2023年'!F54:$T54)&gt;0,'2023年'!$AZ54-'2023年'!$V54-'2023年'!$W54-SUM('2023年'!F54:$T54),""))</f>
        <v/>
      </c>
      <c r="K54" s="58" t="str">
        <f>IF('2023年'!$AZ54&gt;('2023年'!$W54+'2023年'!$V54+SUM('2023年'!G54:$T54)),'2023年'!G54,IF('2023年'!$AZ54-'2023年'!$V54-'2023年'!$W54-SUM('2023年'!G54:$T54)&gt;0,'2023年'!$AZ54-'2023年'!$V54-'2023年'!$W54-SUM('2023年'!G54:$T54),""))</f>
        <v/>
      </c>
      <c r="L54" s="58" t="str">
        <f>IF('2023年'!$AZ54&gt;('2023年'!$W54+'2023年'!$V54+SUM('2023年'!H54:$T54)),'2023年'!H54,IF('2023年'!$AZ54-'2023年'!$V54-'2023年'!$W54-SUM('2023年'!H54:$T54)&gt;0,'2023年'!$AZ54-'2023年'!$V54-'2023年'!$W54-SUM('2023年'!H54:$T54),""))</f>
        <v/>
      </c>
      <c r="M54" s="58" t="str">
        <f>IF('2023年'!$AZ54&gt;('2023年'!$W54+'2023年'!$V54+SUM('2023年'!I54:$T54)),'2023年'!I54,IF('2023年'!$AZ54-'2023年'!$V54-'2023年'!$W54-SUM('2023年'!I54:$T54)&gt;0,'2023年'!$AZ54-'2023年'!$V54-'2023年'!$W54-SUM('2023年'!I54:$T54),""))</f>
        <v/>
      </c>
      <c r="N54" s="58" t="str">
        <f>IF('2023年'!$AZ54&gt;(SUM('2023年'!$V54:AG54)+SUM('2023年'!J54:$T54)),'2023年'!J54,IF('2023年'!$AZ54-SUM('2023年'!$V54:AG54)-SUM('2023年'!K54:$T54)&gt;0,'2023年'!$AZ54-SUM('2023年'!$V54:AG54)-SUM('2023年'!K54:$T54),""))</f>
        <v/>
      </c>
      <c r="O54" s="58" t="str">
        <f>IF('2023年'!$AZ54&gt;('2023年'!$W54+'2023年'!$V54+SUM('2023年'!K54:$T54)),'2023年'!K54,IF('2023年'!$AZ54-'2023年'!$V54-'2023年'!$W54-SUM('2023年'!K54:$T54)&gt;0,'2023年'!$AZ54-'2023年'!$V54-'2023年'!$W54-SUM('2023年'!K54:$T54),""))</f>
        <v/>
      </c>
      <c r="P54" s="58" t="str">
        <f>IF('2023年'!$AZ54&gt;('2023年'!$W54+'2023年'!$V54+SUM('2023年'!L54:$T54)),'2023年'!L54,IF('2023年'!$AZ54-'2023年'!$V54-'2023年'!$W54-SUM('2023年'!L54:$T54)&gt;0,'2023年'!$AZ54-'2023年'!$V54-'2023年'!$W54-SUM('2023年'!L54:$T54),""))</f>
        <v/>
      </c>
      <c r="Q54" s="58" t="str">
        <f>IF('2023年'!$AZ54&gt;('2023年'!$W54+'2023年'!$V54+SUM('2023年'!M54:$T54)),'2023年'!M54,IF('2023年'!$AZ54-'2023年'!$V54-'2023年'!$W54-SUM('2023年'!N54:$T54)&gt;0,'2023年'!$AZ54-'2023年'!$V54-'2023年'!$W54-SUM('2023年'!N54:$T54),""))</f>
        <v/>
      </c>
      <c r="R54" s="58" t="str">
        <f>IF('2023年'!$AZ54&gt;(SUM('2023年'!V54:AG54)+SUM('2023年'!N54:$T54)),'2023年'!N54,IF('2023年'!$AZ54-SUM('2023年'!V54:AG54)-SUM('2023年'!O54:$T54)&gt;0,'2023年'!$AZ54-SUM('2023年'!V54:AG54)-SUM('2023年'!O54:$T54),""))</f>
        <v/>
      </c>
      <c r="S54" s="58" t="str">
        <f>IF('2023年'!$AZ54&gt;('2023年'!P54+'2023年'!Q54+'2023年'!S54+'2023年'!T54+SUM('2023年'!V54:AG54))+'2023年'!O54+'2023年'!R54,'2023年'!O54+'2023年'!R54,IF('2023年'!$AZ54-SUM('2023年'!V54:AG54)-'2023年'!T54-'2023年'!S54-'2023年'!P54-'2023年'!Q54&gt;0,'2023年'!$AZ54-SUM('2023年'!V54:AG54)-'2023年'!T54-'2023年'!S54-'2023年'!P54-'2023年'!Q54,""))</f>
        <v/>
      </c>
      <c r="T54" s="58" t="str">
        <f>IF('2023年'!$AZ54&gt;('2023年'!$T54+'2023年'!$Q54+SUM('2023年'!V54:$AG54))+'2023年'!S54+'2023年'!P54,'2023年'!P54+'2023年'!S54,IF('2023年'!$AZ54-SUM('2023年'!V54:$AG54)-'2023年'!T54-'2023年'!Q54&gt;0,'2023年'!$AZ54-SUM('2023年'!V54:X54)-'2023年'!T54-'2023年'!Q54,""))</f>
        <v/>
      </c>
      <c r="U54" s="58" t="str">
        <f>IF('2023年'!$AZ54&gt;(SUM('2023年'!V54:AG54)+'2023年'!T54+'2023年'!Q54),'2023年'!Q54+'2023年'!T54,IF('2023年'!$AZ54-SUM('2023年'!V54:AG54)&gt;0,'2023年'!$AZ54-SUM('2023年'!V54:AG54),""))</f>
        <v/>
      </c>
      <c r="V54" s="61">
        <f>IF('2023年'!$AZ54&gt;=SUM('2023年'!V54:$AG54),'2023年'!V54,IF('2023年'!$AZ54-SUM('2023年'!W54:$AG54)&gt;0,'2023年'!$AZ54-SUM('2023年'!W54:$AG54),0))</f>
        <v>0</v>
      </c>
      <c r="W54" s="61">
        <f>IF('2023年'!$AZ54&gt;=SUM('2023年'!W54:$AG54),'2023年'!W54,IF('2023年'!$AZ54-SUM('2023年'!X54:$AG54)&gt;0,'2023年'!$AZ54-SUM('2023年'!X54:$AG54),0))</f>
        <v>0</v>
      </c>
      <c r="X54" s="61">
        <f>IF('2023年'!$AZ54&gt;=SUM('2023年'!X54:$AG54),'2023年'!X54,IF('2023年'!$AZ54-SUM('2023年'!Y54:$AG54)&gt;0,'2023年'!$AZ54-SUM('2023年'!Y54:$AG54),0))</f>
        <v>0</v>
      </c>
      <c r="Y54" s="62">
        <f>IF('2023年'!$AZ54&gt;=SUM('2023年'!Y54:$AG54),'2023年'!Y54,IF('2023年'!$AZ54-SUM('2023年'!Z54:$AG54)&gt;0,'2023年'!$AZ54-SUM('2023年'!Z54:$AG54),0))</f>
        <v>0</v>
      </c>
      <c r="Z54" s="62">
        <f>IF('2023年'!$AZ54&gt;=SUM('2023年'!Z54:$AG54),'2023年'!Z54,IF('2023年'!$AZ54-SUM('2023年'!AA54:$AG54)&gt;0,'2023年'!$AZ54-SUM('2023年'!AA54:$AG54),0))</f>
        <v>0</v>
      </c>
      <c r="AA54" s="62"/>
      <c r="AB54" s="62"/>
      <c r="AC54" s="62"/>
      <c r="AD54" s="62"/>
      <c r="AE54" s="62"/>
      <c r="AF54" s="62"/>
      <c r="AG54" s="62"/>
      <c r="AH54" s="88"/>
      <c r="AI54" s="79"/>
      <c r="AJ54" s="80" t="s">
        <v>84</v>
      </c>
      <c r="AK54" s="86"/>
      <c r="AL54" s="87"/>
      <c r="AM54" s="83"/>
      <c r="AN54" s="84"/>
      <c r="AO54" s="84"/>
    </row>
    <row r="55" s="20" customFormat="1" ht="24" customHeight="1" spans="2:41">
      <c r="B55" s="48" t="s">
        <v>81</v>
      </c>
      <c r="C55" s="43" t="s">
        <v>97</v>
      </c>
      <c r="D55" s="43" t="str">
        <f>'2023年'!D55</f>
        <v>上海鸿扬工贸有限公司</v>
      </c>
      <c r="E55" s="47">
        <v>60</v>
      </c>
      <c r="F55" s="45">
        <f t="shared" si="27"/>
        <v>4520</v>
      </c>
      <c r="G55" s="46">
        <f t="shared" ref="G55:G59" si="28">SUM(I55:W55)</f>
        <v>2260</v>
      </c>
      <c r="H55" s="46">
        <f t="shared" ref="H55:H56" si="29">SUM(I55:AG55)</f>
        <v>4520</v>
      </c>
      <c r="I55" s="57"/>
      <c r="J55" s="58">
        <f>IF('2023年'!$AZ55&gt;('2023年'!$W55+'2023年'!$V55+SUM('2023年'!F55:$T55)),'2023年'!F55,IF('2023年'!$AZ55-'2023年'!$V55-'2023年'!$W55-SUM('2023年'!G55:$T55)&gt;0,'2023年'!$AZ55-'2023年'!$V55-'2023年'!$W55-SUM('2023年'!G55:$T55),""))</f>
        <v>0</v>
      </c>
      <c r="K55" s="58">
        <f>IF('2023年'!$AZ55&gt;('2023年'!$W55+'2023年'!$V55+SUM('2023年'!G55:$T55)),'2023年'!G55,IF('2023年'!$AZ55-'2023年'!$V55-'2023年'!$W55-SUM('2023年'!H55:$T55)&gt;0,'2023年'!$AZ55-'2023年'!$V55-'2023年'!$W55-SUM('2023年'!H55:$T55),""))</f>
        <v>0</v>
      </c>
      <c r="L55" s="58">
        <f>IF('2023年'!$AZ55&gt;('2023年'!$W55+'2023年'!$V55+SUM('2023年'!H55:$T55)),'2023年'!H55,IF('2023年'!$AZ55-'2023年'!$V55-'2023年'!$W55-SUM('2023年'!I55:$T55)&gt;0,'2023年'!$AZ55-'2023年'!$V55-'2023年'!$W55-SUM('2023年'!I55:$T55),""))</f>
        <v>0</v>
      </c>
      <c r="M55" s="58">
        <f>IF('2023年'!$AZ55&gt;('2023年'!$W55+'2023年'!$V55+SUM('2023年'!I55:$T55)),'2023年'!I55,IF('2023年'!$AZ55-'2023年'!$V55-'2023年'!$W55-SUM('2023年'!J55:$T55)&gt;0,'2023年'!$AZ55-'2023年'!$V55-'2023年'!$W55-SUM('2023年'!J55:$T55),""))</f>
        <v>0</v>
      </c>
      <c r="N55" s="58" t="str">
        <f>IF('2023年'!$AZ55&gt;(SUM('2023年'!$V55:AG55)+SUM('2023年'!J55:$T55)),'2023年'!J55,IF('2023年'!$AZ55-SUM('2023年'!$V55:AG55)-SUM('2023年'!K55:$T55)&gt;0,'2023年'!$AZ55-SUM('2023年'!$V55:AG55)-SUM('2023年'!K55:$T55),""))</f>
        <v/>
      </c>
      <c r="O55" s="58">
        <f>IF('2023年'!$AZ55&gt;('2023年'!$W55+'2023年'!$V55+SUM('2023年'!K55:$T55)),'2023年'!K55,IF('2023年'!$AZ55-'2023年'!$V55-'2023年'!$W55-SUM('2023年'!L55:$T55)&gt;0,'2023年'!$AZ55-'2023年'!$V55-'2023年'!$W55-SUM('2023年'!L55:$T55),""))</f>
        <v>0</v>
      </c>
      <c r="P55" s="58">
        <f>IF('2023年'!$AZ55&gt;('2023年'!$W55+'2023年'!$V55+SUM('2023年'!L55:$T55)),'2023年'!L55,IF('2023年'!$AZ55-'2023年'!$V55-'2023年'!$W55-SUM('2023年'!M55:$T55)&gt;0,'2023年'!$AZ55-'2023年'!$V55-'2023年'!$W55-SUM('2023年'!M55:$T55),""))</f>
        <v>0</v>
      </c>
      <c r="Q55" s="58">
        <f>IF('2023年'!$AZ55&gt;('2023年'!$W55+'2023年'!$V55+SUM('2023年'!M55:$T55)),'2023年'!M55,IF('2023年'!$AZ55-'2023年'!$V55-'2023年'!$W55-SUM('2023年'!N55:$T55)&gt;0,'2023年'!$AZ55-'2023年'!$V55-'2023年'!$W55-SUM('2023年'!N55:$T55),""))</f>
        <v>0</v>
      </c>
      <c r="R55" s="58" t="str">
        <f>IF('2023年'!$AZ55&gt;(SUM('2023年'!V55:AG55)+SUM('2023年'!N55:$T55)),'2023年'!N55,IF('2023年'!$AZ55-SUM('2023年'!V55:AG55)-SUM('2023年'!O55:$T55)&gt;0,'2023年'!$AZ55-SUM('2023年'!V55:AG55)-SUM('2023年'!O55:$T55),""))</f>
        <v/>
      </c>
      <c r="S55" s="58" t="str">
        <f>IF('2023年'!$AZ55&gt;('2023年'!P55+'2023年'!Q55+'2023年'!S55+'2023年'!T55+SUM('2023年'!V55:AG55))+'2023年'!O55+'2023年'!R55,'2023年'!O55+'2023年'!R55,IF('2023年'!$AZ55-SUM('2023年'!V55:AG55)-'2023年'!T55-'2023年'!S55-'2023年'!P55-'2023年'!Q55&gt;0,'2023年'!$AZ55-SUM('2023年'!V55:AG55)-'2023年'!T55-'2023年'!S55-'2023年'!P55-'2023年'!Q55,""))</f>
        <v/>
      </c>
      <c r="T55" s="58" t="str">
        <f>IF('2023年'!$AZ55&gt;('2023年'!$T55+'2023年'!$Q55+SUM('2023年'!V55:$AG55))+'2023年'!S55+'2023年'!P55,'2023年'!P55+'2023年'!S55,IF('2023年'!$AZ55-SUM('2023年'!V55:$AG55)-'2023年'!T55-'2023年'!Q55&gt;0,'2023年'!$AZ55-SUM('2023年'!V55:X55)-'2023年'!T55-'2023年'!Q55,""))</f>
        <v/>
      </c>
      <c r="U55" s="58">
        <f>IF('2023年'!$AZ55&gt;(SUM('2023年'!V55:AG55)+'2023年'!T55+'2023年'!Q55),'2023年'!Q55+'2023年'!T55,IF('2023年'!$AZ55-SUM('2023年'!V55:AG55)&gt;0,'2023年'!$AZ55-SUM('2023年'!V55:AG55),""))</f>
        <v>2260</v>
      </c>
      <c r="V55" s="61">
        <f>IF('2023年'!$AZ55&gt;=SUM('2023年'!V55:$AG55),'2023年'!V55,IF('2023年'!$AZ55-SUM('2023年'!W55:$AG55)&gt;0,'2023年'!$AZ55-SUM('2023年'!W55:$AG55),0))</f>
        <v>0</v>
      </c>
      <c r="W55" s="61">
        <f>IF('2023年'!$AZ55&gt;=SUM('2023年'!W55:$AG55),'2023年'!W55,IF('2023年'!$AZ55-SUM('2023年'!X55:$AG55)&gt;0,'2023年'!$AZ55-SUM('2023年'!X55:$AG55),0))</f>
        <v>0</v>
      </c>
      <c r="X55" s="61">
        <f>IF('2023年'!$AZ55&gt;=SUM('2023年'!X55:$AG55),'2023年'!X55,IF('2023年'!$AZ55-SUM('2023年'!Y55:$AG55)&gt;0,'2023年'!$AZ55-SUM('2023年'!Y55:$AG55),0))</f>
        <v>0</v>
      </c>
      <c r="Y55" s="62">
        <f>IF('2023年'!$AZ55&gt;=SUM('2023年'!Y55:$AG55),'2023年'!Y55,IF('2023年'!$AZ55-SUM('2023年'!Z55:$AG55)&gt;0,'2023年'!$AZ55-SUM('2023年'!Z55:$AG55),0))</f>
        <v>2260</v>
      </c>
      <c r="Z55" s="62">
        <f>IF('2023年'!$AZ55&gt;=SUM('2023年'!Z55:$AG55),'2023年'!Z55,IF('2023年'!$AZ55-SUM('2023年'!AA55:$AG55)&gt;0,'2023年'!$AZ55-SUM('2023年'!AA55:$AG55),0))</f>
        <v>0</v>
      </c>
      <c r="AA55" s="62"/>
      <c r="AB55" s="62"/>
      <c r="AC55" s="62"/>
      <c r="AD55" s="62"/>
      <c r="AE55" s="62"/>
      <c r="AF55" s="62"/>
      <c r="AG55" s="62"/>
      <c r="AH55" s="88"/>
      <c r="AI55" s="79"/>
      <c r="AJ55" s="80" t="s">
        <v>84</v>
      </c>
      <c r="AK55" s="86"/>
      <c r="AL55" s="87"/>
      <c r="AM55" s="83"/>
      <c r="AN55" s="84"/>
      <c r="AO55" s="84">
        <v>4000</v>
      </c>
    </row>
    <row r="56" s="20" customFormat="1" ht="24" customHeight="1" spans="2:41">
      <c r="B56" s="48" t="s">
        <v>81</v>
      </c>
      <c r="C56" s="43"/>
      <c r="D56" s="43" t="str">
        <f>'2023年'!D56</f>
        <v>成都康鸿塑胶制品有限公司</v>
      </c>
      <c r="E56" s="47">
        <v>90</v>
      </c>
      <c r="F56" s="45">
        <f>SUM(I56:X56)</f>
        <v>198434</v>
      </c>
      <c r="G56" s="46">
        <f>SUM(I56:V56)</f>
        <v>0</v>
      </c>
      <c r="H56" s="46">
        <f t="shared" si="29"/>
        <v>856592.79</v>
      </c>
      <c r="I56" s="57"/>
      <c r="J56" s="58"/>
      <c r="K56" s="58"/>
      <c r="L56" s="58"/>
      <c r="M56" s="58"/>
      <c r="N56" s="58" t="str">
        <f>IF('2023年'!$AZ56&gt;(SUM('2023年'!$V56:AG56)+SUM('2023年'!J56:$T56)),'2023年'!J56,IF('2023年'!$AZ56-SUM('2023年'!$V56:AG56)-SUM('2023年'!K56:$T56)&gt;0,'2023年'!$AZ56-SUM('2023年'!$V56:AG56)-SUM('2023年'!K56:$T56),""))</f>
        <v/>
      </c>
      <c r="O56" s="58"/>
      <c r="P56" s="58"/>
      <c r="Q56" s="58"/>
      <c r="R56" s="58"/>
      <c r="S56" s="58" t="str">
        <f>IF('2023年'!$AZ56&gt;('2023年'!P56+'2023年'!Q56+'2023年'!S56+'2023年'!T56+SUM('2023年'!V56:AG56))+'2023年'!O56+'2023年'!R56,'2023年'!O56+'2023年'!R56,IF('2023年'!$AZ56-SUM('2023年'!V56:AG56)-'2023年'!T56-'2023年'!S56-'2023年'!P56-'2023年'!Q56&gt;0,'2023年'!$AZ56-SUM('2023年'!V56:AG56)-'2023年'!T56-'2023年'!S56-'2023年'!P56-'2023年'!Q56,""))</f>
        <v/>
      </c>
      <c r="T56" s="58" t="str">
        <f>IF('2023年'!$AZ56&gt;('2023年'!$T56+'2023年'!$Q56+SUM('2023年'!V56:$AG56))+'2023年'!S56+'2023年'!P56,'2023年'!P56+'2023年'!S56,IF('2023年'!$AZ56-SUM('2023年'!V56:$AG56)-'2023年'!T56-'2023年'!Q56&gt;0,'2023年'!$AZ56-SUM('2023年'!V56:X56)-'2023年'!T56-'2023年'!Q56,""))</f>
        <v/>
      </c>
      <c r="U56" s="58" t="str">
        <f>IF('2023年'!$AZ56&gt;(SUM('2023年'!V56:AG56)+'2023年'!T56+'2023年'!Q56),'2023年'!Q56+'2023年'!T56,IF('2023年'!$AZ56-SUM('2023年'!V56:AG56)&gt;0,'2023年'!$AZ56-SUM('2023年'!V56:AG56),""))</f>
        <v/>
      </c>
      <c r="V56" s="61">
        <f>IF('2023年'!$AZ56&gt;=SUM('2023年'!V56:$AG56),'2023年'!V56,IF('2023年'!$AZ56-SUM('2023年'!W56:$AG56)&gt;0,'2023年'!$AZ56-SUM('2023年'!W56:$AG56),0))</f>
        <v>0</v>
      </c>
      <c r="W56" s="61">
        <f>IF('2023年'!$AZ56&gt;=SUM('2023年'!W56:$AG56),'2023年'!W56,IF('2023年'!$AZ56-SUM('2023年'!X56:$AG56)&gt;0,'2023年'!$AZ56-SUM('2023年'!X56:$AG56),0))</f>
        <v>0</v>
      </c>
      <c r="X56" s="61">
        <f>IF('2023年'!$AZ56&gt;=SUM('2023年'!X56:$AG56),'2023年'!X56,IF('2023年'!$AZ56-SUM('2023年'!Y56:$AG56)&gt;0,'2023年'!$AZ56-SUM('2023年'!Y56:$AG56),0))</f>
        <v>198434</v>
      </c>
      <c r="Y56" s="62">
        <f>IF('2023年'!$AZ56&gt;=SUM('2023年'!Y56:$AG56),'2023年'!Y56,IF('2023年'!$AZ56-SUM('2023年'!Z56:$AG56)&gt;0,'2023年'!$AZ56-SUM('2023年'!Z56:$AG56),0))</f>
        <v>281995.95</v>
      </c>
      <c r="Z56" s="62">
        <f>IF('2023年'!$AZ56&gt;=SUM('2023年'!Z56:$AG56),'2023年'!Z56,IF('2023年'!$AZ56-SUM('2023年'!AA56:$AG56)&gt;0,'2023年'!$AZ56-SUM('2023年'!AA56:$AG56),0))</f>
        <v>376162.84</v>
      </c>
      <c r="AA56" s="62"/>
      <c r="AB56" s="62"/>
      <c r="AC56" s="62"/>
      <c r="AD56" s="62"/>
      <c r="AE56" s="62"/>
      <c r="AF56" s="62"/>
      <c r="AG56" s="62"/>
      <c r="AH56" s="88" t="s">
        <v>77</v>
      </c>
      <c r="AI56" s="79"/>
      <c r="AJ56" s="80" t="s">
        <v>84</v>
      </c>
      <c r="AK56" s="86"/>
      <c r="AL56" s="87"/>
      <c r="AM56" s="83"/>
      <c r="AN56" s="84">
        <f>F56</f>
        <v>198434</v>
      </c>
      <c r="AO56" s="84"/>
    </row>
    <row r="57" s="20" customFormat="1" ht="24" hidden="1" customHeight="1" spans="2:41">
      <c r="B57" s="48" t="s">
        <v>81</v>
      </c>
      <c r="C57" s="43" t="s">
        <v>116</v>
      </c>
      <c r="D57" s="43" t="str">
        <f>'2023年'!D57</f>
        <v>成都龙洋科技有限公司</v>
      </c>
      <c r="E57" s="47" t="s">
        <v>395</v>
      </c>
      <c r="F57" s="45">
        <f t="shared" ref="F57:F59" si="30">SUM(I57:Y57)</f>
        <v>0</v>
      </c>
      <c r="G57" s="46">
        <f t="shared" si="28"/>
        <v>0</v>
      </c>
      <c r="H57" s="46">
        <f t="shared" ref="H57:H72" si="31">SUM(I57:AG57)</f>
        <v>0</v>
      </c>
      <c r="I57" s="57"/>
      <c r="J57" s="58"/>
      <c r="K57" s="58"/>
      <c r="L57" s="58"/>
      <c r="M57" s="58"/>
      <c r="N57" s="58" t="str">
        <f>IF('2023年'!$AZ57&gt;(SUM('2023年'!$V57:AG57)+SUM('2023年'!J57:$T57)),'2023年'!J57,IF('2023年'!$AZ57-SUM('2023年'!$V57:AG57)-SUM('2023年'!K57:$T57)&gt;0,'2023年'!$AZ57-SUM('2023年'!$V57:AG57)-SUM('2023年'!K57:$T57),""))</f>
        <v/>
      </c>
      <c r="O57" s="58"/>
      <c r="P57" s="58"/>
      <c r="Q57" s="58"/>
      <c r="R57" s="58"/>
      <c r="S57" s="58" t="str">
        <f>IF('2023年'!$AZ57&gt;('2023年'!P57+'2023年'!Q57+'2023年'!S57+'2023年'!T57+SUM('2023年'!V57:AG57))+'2023年'!O57+'2023年'!R57,'2023年'!O57+'2023年'!R57,IF('2023年'!$AZ57-SUM('2023年'!V57:AG57)-'2023年'!T57-'2023年'!S57-'2023年'!P57-'2023年'!Q57&gt;0,'2023年'!$AZ57-SUM('2023年'!V57:AG57)-'2023年'!T57-'2023年'!S57-'2023年'!P57-'2023年'!Q57,""))</f>
        <v/>
      </c>
      <c r="T57" s="58" t="str">
        <f>IF('2023年'!$AZ57&gt;('2023年'!$T57+'2023年'!$Q57+SUM('2023年'!V57:$AG57))+'2023年'!S57+'2023年'!P57,'2023年'!P57+'2023年'!S57,IF('2023年'!$AZ57-SUM('2023年'!V57:$AG57)-'2023年'!T57-'2023年'!Q57&gt;0,'2023年'!$AZ57-SUM('2023年'!V57:X57)-'2023年'!T57-'2023年'!Q57,""))</f>
        <v/>
      </c>
      <c r="U57" s="58" t="str">
        <f>IF('2023年'!$AZ57&gt;(SUM('2023年'!V57:AG57)+'2023年'!T57+'2023年'!Q57),'2023年'!Q57+'2023年'!T57,IF('2023年'!$AZ57-SUM('2023年'!V57:AG57)&gt;0,'2023年'!$AZ57-SUM('2023年'!V57:AG57),""))</f>
        <v/>
      </c>
      <c r="V57" s="61">
        <f>IF('2023年'!$AZ57&gt;=SUM('2023年'!V57:$AG57),'2023年'!V57,IF('2023年'!$AZ57-SUM('2023年'!W57:$AG57)&gt;0,'2023年'!$AZ57-SUM('2023年'!W57:$AG57),0))</f>
        <v>0</v>
      </c>
      <c r="W57" s="61">
        <f>IF('2023年'!$AZ57&gt;=SUM('2023年'!W57:$AG57),'2023年'!W57,IF('2023年'!$AZ57-SUM('2023年'!X57:$AG57)&gt;0,'2023年'!$AZ57-SUM('2023年'!X57:$AG57),0))</f>
        <v>0</v>
      </c>
      <c r="X57" s="61">
        <f>IF('2023年'!$AZ57&gt;=SUM('2023年'!X57:$AG57),'2023年'!X57,IF('2023年'!$AZ57-SUM('2023年'!Y57:$AG57)&gt;0,'2023年'!$AZ57-SUM('2023年'!Y57:$AG57),0))</f>
        <v>0</v>
      </c>
      <c r="Y57" s="62">
        <f>IF('2023年'!$AZ57&gt;=SUM('2023年'!Y57:$AG57),'2023年'!Y57,IF('2023年'!$AZ57-SUM('2023年'!Z57:$AG57)&gt;0,'2023年'!$AZ57-SUM('2023年'!Z57:$AG57),0))</f>
        <v>0</v>
      </c>
      <c r="Z57" s="62">
        <f>IF('2023年'!$AZ57&gt;=SUM('2023年'!Z57:$AG57),'2023年'!Z57,IF('2023年'!$AZ57-SUM('2023年'!AA57:$AG57)&gt;0,'2023年'!$AZ57-SUM('2023年'!AA57:$AG57),0))</f>
        <v>0</v>
      </c>
      <c r="AA57" s="62"/>
      <c r="AB57" s="62"/>
      <c r="AC57" s="62"/>
      <c r="AD57" s="62"/>
      <c r="AE57" s="62"/>
      <c r="AF57" s="62"/>
      <c r="AG57" s="62"/>
      <c r="AH57" s="88"/>
      <c r="AI57" s="79"/>
      <c r="AJ57" s="80" t="s">
        <v>84</v>
      </c>
      <c r="AK57" s="86"/>
      <c r="AL57" s="87"/>
      <c r="AM57" s="83"/>
      <c r="AN57" s="84"/>
      <c r="AO57" s="84"/>
    </row>
    <row r="58" s="20" customFormat="1" ht="24" hidden="1" customHeight="1" spans="2:41">
      <c r="B58" s="48" t="s">
        <v>81</v>
      </c>
      <c r="C58" s="43" t="s">
        <v>118</v>
      </c>
      <c r="D58" s="43" t="str">
        <f>'2023年'!D58</f>
        <v>纳新塑化（上海）有限公司</v>
      </c>
      <c r="E58" s="47">
        <v>60</v>
      </c>
      <c r="F58" s="45">
        <f t="shared" si="30"/>
        <v>0</v>
      </c>
      <c r="G58" s="46">
        <f t="shared" si="28"/>
        <v>0</v>
      </c>
      <c r="H58" s="46">
        <f t="shared" si="31"/>
        <v>0</v>
      </c>
      <c r="I58" s="57"/>
      <c r="J58" s="58"/>
      <c r="K58" s="58"/>
      <c r="L58" s="58"/>
      <c r="M58" s="58"/>
      <c r="N58" s="58" t="str">
        <f>IF('2023年'!$AZ58&gt;(SUM('2023年'!$V58:AG58)+SUM('2023年'!J58:$T58)),'2023年'!J58,IF('2023年'!$AZ58-SUM('2023年'!$V58:AG58)-SUM('2023年'!K58:$T58)&gt;0,'2023年'!$AZ58-SUM('2023年'!$V58:AG58)-SUM('2023年'!K58:$T58),""))</f>
        <v/>
      </c>
      <c r="O58" s="58"/>
      <c r="P58" s="58"/>
      <c r="Q58" s="58"/>
      <c r="R58" s="58"/>
      <c r="S58" s="58" t="str">
        <f>IF('2023年'!$AZ58&gt;('2023年'!P58+'2023年'!Q58+'2023年'!S58+'2023年'!T58+SUM('2023年'!V58:AG58))+'2023年'!O58+'2023年'!R58,'2023年'!O58+'2023年'!R58,IF('2023年'!$AZ58-SUM('2023年'!V58:AG58)-'2023年'!T58-'2023年'!S58-'2023年'!P58-'2023年'!Q58&gt;0,'2023年'!$AZ58-SUM('2023年'!V58:AG58)-'2023年'!T58-'2023年'!S58-'2023年'!P58-'2023年'!Q58,""))</f>
        <v/>
      </c>
      <c r="T58" s="58" t="str">
        <f>IF('2023年'!$AZ58&gt;('2023年'!$T58+'2023年'!$Q58+SUM('2023年'!V58:$AG58))+'2023年'!S58+'2023年'!P58,'2023年'!P58+'2023年'!S58,IF('2023年'!$AZ58-SUM('2023年'!V58:$AG58)-'2023年'!T58-'2023年'!Q58&gt;0,'2023年'!$AZ58-SUM('2023年'!V58:X58)-'2023年'!T58-'2023年'!Q58,""))</f>
        <v/>
      </c>
      <c r="U58" s="58" t="str">
        <f>IF('2023年'!$AZ58&gt;(SUM('2023年'!V58:AG58)+'2023年'!T58+'2023年'!Q58),'2023年'!Q58+'2023年'!T58,IF('2023年'!$AZ58-SUM('2023年'!V58:AG58)&gt;0,'2023年'!$AZ58-SUM('2023年'!V58:AG58),""))</f>
        <v/>
      </c>
      <c r="V58" s="61">
        <f>IF('2023年'!$AZ58&gt;=SUM('2023年'!V58:$AG58),'2023年'!V58,IF('2023年'!$AZ58-SUM('2023年'!W58:$AG58)&gt;0,'2023年'!$AZ58-SUM('2023年'!W58:$AG58),0))</f>
        <v>0</v>
      </c>
      <c r="W58" s="61">
        <f>IF('2023年'!$AZ58&gt;=SUM('2023年'!W58:$AG58),'2023年'!W58,IF('2023年'!$AZ58-SUM('2023年'!X58:$AG58)&gt;0,'2023年'!$AZ58-SUM('2023年'!X58:$AG58),0))</f>
        <v>0</v>
      </c>
      <c r="X58" s="61">
        <f>IF('2023年'!$AZ58&gt;=SUM('2023年'!X58:$AG58),'2023年'!X58,IF('2023年'!$AZ58-SUM('2023年'!Y58:$AG58)&gt;0,'2023年'!$AZ58-SUM('2023年'!Y58:$AG58),0))</f>
        <v>0</v>
      </c>
      <c r="Y58" s="62">
        <f>IF('2023年'!$AZ58&gt;=SUM('2023年'!Y58:$AG58),'2023年'!Y58,IF('2023年'!$AZ58-SUM('2023年'!Z58:$AG58)&gt;0,'2023年'!$AZ58-SUM('2023年'!Z58:$AG58),0))</f>
        <v>0</v>
      </c>
      <c r="Z58" s="62">
        <f>IF('2023年'!$AZ58&gt;=SUM('2023年'!Z58:$AG58),'2023年'!Z58,IF('2023年'!$AZ58-SUM('2023年'!AA58:$AG58)&gt;0,'2023年'!$AZ58-SUM('2023年'!AA58:$AG58),0))</f>
        <v>0</v>
      </c>
      <c r="AA58" s="62"/>
      <c r="AB58" s="62"/>
      <c r="AC58" s="62"/>
      <c r="AD58" s="62"/>
      <c r="AE58" s="62"/>
      <c r="AF58" s="62"/>
      <c r="AG58" s="62"/>
      <c r="AH58" s="88"/>
      <c r="AI58" s="79"/>
      <c r="AJ58" s="80" t="s">
        <v>84</v>
      </c>
      <c r="AK58" s="86"/>
      <c r="AL58" s="87"/>
      <c r="AM58" s="83"/>
      <c r="AN58" s="84"/>
      <c r="AO58" s="84"/>
    </row>
    <row r="59" s="20" customFormat="1" ht="24" hidden="1" customHeight="1" spans="2:41">
      <c r="B59" s="48" t="s">
        <v>81</v>
      </c>
      <c r="C59" s="43" t="s">
        <v>120</v>
      </c>
      <c r="D59" s="43" t="str">
        <f>'2023年'!D59</f>
        <v>天津利迪科技发展有限公司</v>
      </c>
      <c r="E59" s="47">
        <v>60</v>
      </c>
      <c r="F59" s="45">
        <f t="shared" si="30"/>
        <v>0</v>
      </c>
      <c r="G59" s="46">
        <f t="shared" si="28"/>
        <v>0</v>
      </c>
      <c r="H59" s="46">
        <f t="shared" si="31"/>
        <v>0</v>
      </c>
      <c r="I59" s="57"/>
      <c r="J59" s="58"/>
      <c r="K59" s="58"/>
      <c r="L59" s="58"/>
      <c r="M59" s="58"/>
      <c r="N59" s="58" t="str">
        <f>IF('2023年'!$AZ59&gt;(SUM('2023年'!$V59:AG59)+SUM('2023年'!J59:$T59)),'2023年'!J59,IF('2023年'!$AZ59-SUM('2023年'!$V59:AG59)-SUM('2023年'!K59:$T59)&gt;0,'2023年'!$AZ59-SUM('2023年'!$V59:AG59)-SUM('2023年'!K59:$T59),""))</f>
        <v/>
      </c>
      <c r="O59" s="58"/>
      <c r="P59" s="58"/>
      <c r="Q59" s="58"/>
      <c r="R59" s="58"/>
      <c r="S59" s="58" t="str">
        <f>IF('2023年'!$AZ59&gt;('2023年'!P59+'2023年'!Q59+'2023年'!S59+'2023年'!T59+SUM('2023年'!V59:AG59))+'2023年'!O59+'2023年'!R59,'2023年'!O59+'2023年'!R59,IF('2023年'!$AZ59-SUM('2023年'!V59:AG59)-'2023年'!T59-'2023年'!S59-'2023年'!P59-'2023年'!Q59&gt;0,'2023年'!$AZ59-SUM('2023年'!V59:AG59)-'2023年'!T59-'2023年'!S59-'2023年'!P59-'2023年'!Q59,""))</f>
        <v/>
      </c>
      <c r="T59" s="58" t="str">
        <f>IF('2023年'!$AZ59&gt;('2023年'!$T59+'2023年'!$Q59+SUM('2023年'!V59:$AG59))+'2023年'!S59+'2023年'!P59,'2023年'!P59+'2023年'!S59,IF('2023年'!$AZ59-SUM('2023年'!V59:$AG59)-'2023年'!T59-'2023年'!Q59&gt;0,'2023年'!$AZ59-SUM('2023年'!V59:X59)-'2023年'!T59-'2023年'!Q59,""))</f>
        <v/>
      </c>
      <c r="U59" s="58" t="str">
        <f>IF('2023年'!$AZ59&gt;(SUM('2023年'!V59:AG59)+'2023年'!T59+'2023年'!Q59),'2023年'!Q59+'2023年'!T59,IF('2023年'!$AZ59-SUM('2023年'!V59:AG59)&gt;0,'2023年'!$AZ59-SUM('2023年'!V59:AG59),""))</f>
        <v/>
      </c>
      <c r="V59" s="61">
        <f>IF('2023年'!$AZ59&gt;=SUM('2023年'!V59:$AG59),'2023年'!V59,IF('2023年'!$AZ59-SUM('2023年'!W59:$AG59)&gt;0,'2023年'!$AZ59-SUM('2023年'!W59:$AG59),0))</f>
        <v>0</v>
      </c>
      <c r="W59" s="61">
        <f>IF('2023年'!$AZ59&gt;=SUM('2023年'!W59:$AG59),'2023年'!W59,IF('2023年'!$AZ59-SUM('2023年'!X59:$AG59)&gt;0,'2023年'!$AZ59-SUM('2023年'!X59:$AG59),0))</f>
        <v>0</v>
      </c>
      <c r="X59" s="61">
        <f>IF('2023年'!$AZ59&gt;=SUM('2023年'!X59:$AG59),'2023年'!X59,IF('2023年'!$AZ59-SUM('2023年'!Y59:$AG59)&gt;0,'2023年'!$AZ59-SUM('2023年'!Y59:$AG59),0))</f>
        <v>0</v>
      </c>
      <c r="Y59" s="62">
        <f>IF('2023年'!$AZ59&gt;=SUM('2023年'!Y59:$AG59),'2023年'!Y59,IF('2023年'!$AZ59-SUM('2023年'!Z59:$AG59)&gt;0,'2023年'!$AZ59-SUM('2023年'!Z59:$AG59),0))</f>
        <v>0</v>
      </c>
      <c r="Z59" s="62">
        <f>IF('2023年'!$AZ59&gt;=SUM('2023年'!Z59:$AG59),'2023年'!Z59,IF('2023年'!$AZ59-SUM('2023年'!AA59:$AG59)&gt;0,'2023年'!$AZ59-SUM('2023年'!AA59:$AG59),0))</f>
        <v>0</v>
      </c>
      <c r="AA59" s="62"/>
      <c r="AB59" s="62"/>
      <c r="AC59" s="62"/>
      <c r="AD59" s="62"/>
      <c r="AE59" s="62"/>
      <c r="AF59" s="62"/>
      <c r="AG59" s="62"/>
      <c r="AH59" s="88"/>
      <c r="AI59" s="79"/>
      <c r="AJ59" s="80" t="s">
        <v>84</v>
      </c>
      <c r="AK59" s="86"/>
      <c r="AL59" s="87"/>
      <c r="AM59" s="83"/>
      <c r="AN59" s="84"/>
      <c r="AO59" s="84"/>
    </row>
    <row r="60" s="20" customFormat="1" ht="24" hidden="1" customHeight="1" spans="2:41">
      <c r="B60" s="48" t="s">
        <v>81</v>
      </c>
      <c r="C60" s="43" t="s">
        <v>126</v>
      </c>
      <c r="D60" s="43" t="str">
        <f>'2023年'!D60</f>
        <v>上海奔流化工技术有限公司</v>
      </c>
      <c r="E60" s="47" t="s">
        <v>96</v>
      </c>
      <c r="F60" s="45">
        <f>SUM(I60:V60)</f>
        <v>0</v>
      </c>
      <c r="G60" s="46">
        <f>SUM(I60:U60)</f>
        <v>0</v>
      </c>
      <c r="H60" s="46">
        <f t="shared" si="31"/>
        <v>0</v>
      </c>
      <c r="I60" s="57"/>
      <c r="J60" s="58"/>
      <c r="K60" s="58"/>
      <c r="L60" s="58"/>
      <c r="M60" s="58"/>
      <c r="N60" s="58" t="str">
        <f>IF('2023年'!$AZ60&gt;(SUM('2023年'!$V60:AG60)+SUM('2023年'!J60:$T60)),'2023年'!J60,IF('2023年'!$AZ60-SUM('2023年'!$V60:AG60)-SUM('2023年'!K60:$T60)&gt;0,'2023年'!$AZ60-SUM('2023年'!$V60:AG60)-SUM('2023年'!K60:$T60),""))</f>
        <v/>
      </c>
      <c r="O60" s="58"/>
      <c r="P60" s="58"/>
      <c r="Q60" s="58"/>
      <c r="R60" s="58"/>
      <c r="S60" s="58" t="str">
        <f>IF('2023年'!$AZ60&gt;('2023年'!P60+'2023年'!Q60+'2023年'!S60+'2023年'!T60+SUM('2023年'!V60:AG60))+'2023年'!O60+'2023年'!R60,'2023年'!O60+'2023年'!R60,IF('2023年'!$AZ60-SUM('2023年'!V60:AG60)-'2023年'!T60-'2023年'!S60-'2023年'!P60-'2023年'!Q60&gt;0,'2023年'!$AZ60-SUM('2023年'!V60:AG60)-'2023年'!T60-'2023年'!S60-'2023年'!P60-'2023年'!Q60,""))</f>
        <v/>
      </c>
      <c r="T60" s="58" t="str">
        <f>IF('2023年'!$AZ60&gt;('2023年'!$T60+'2023年'!$Q60+SUM('2023年'!V60:$AG60))+'2023年'!S60+'2023年'!P60,'2023年'!P60+'2023年'!S60,IF('2023年'!$AZ60-SUM('2023年'!V60:$AG60)-'2023年'!T60-'2023年'!Q60&gt;0,'2023年'!$AZ60-SUM('2023年'!V60:X60)-'2023年'!T60-'2023年'!Q60,""))</f>
        <v/>
      </c>
      <c r="U60" s="58" t="str">
        <f>IF('2023年'!$AZ60&gt;(SUM('2023年'!V60:AG60)+'2023年'!T60+'2023年'!Q60),'2023年'!Q60+'2023年'!T60,IF('2023年'!$AZ60-SUM('2023年'!V60:AG60)&gt;0,'2023年'!$AZ60-SUM('2023年'!V60:AG60),""))</f>
        <v/>
      </c>
      <c r="V60" s="61">
        <f>IF('2023年'!$AZ60&gt;=SUM('2023年'!V60:$AG60),'2023年'!V60,IF('2023年'!$AZ60-SUM('2023年'!W60:$AG60)&gt;0,'2023年'!$AZ60-SUM('2023年'!W60:$AG60),0))</f>
        <v>0</v>
      </c>
      <c r="W60" s="61">
        <f>IF('2023年'!$AZ60&gt;=SUM('2023年'!W60:$AG60),'2023年'!W60,IF('2023年'!$AZ60-SUM('2023年'!X60:$AG60)&gt;0,'2023年'!$AZ60-SUM('2023年'!X60:$AG60),0))</f>
        <v>0</v>
      </c>
      <c r="X60" s="61">
        <f>IF('2023年'!$AZ60&gt;=SUM('2023年'!X60:$AG60),'2023年'!X60,IF('2023年'!$AZ60-SUM('2023年'!Y60:$AG60)&gt;0,'2023年'!$AZ60-SUM('2023年'!Y60:$AG60),0))</f>
        <v>0</v>
      </c>
      <c r="Y60" s="62">
        <f>IF('2023年'!$AZ60&gt;=SUM('2023年'!Y60:$AG60),'2023年'!Y60,IF('2023年'!$AZ60-SUM('2023年'!Z60:$AG60)&gt;0,'2023年'!$AZ60-SUM('2023年'!Z60:$AG60),0))</f>
        <v>0</v>
      </c>
      <c r="Z60" s="62">
        <f>IF('2023年'!$AZ60&gt;=SUM('2023年'!Z60:$AG60),'2023年'!Z60,IF('2023年'!$AZ60-SUM('2023年'!AA60:$AG60)&gt;0,'2023年'!$AZ60-SUM('2023年'!AA60:$AG60),0))</f>
        <v>0</v>
      </c>
      <c r="AA60" s="62"/>
      <c r="AB60" s="62"/>
      <c r="AC60" s="62"/>
      <c r="AD60" s="62"/>
      <c r="AE60" s="62"/>
      <c r="AF60" s="62"/>
      <c r="AG60" s="62"/>
      <c r="AH60" s="88"/>
      <c r="AI60" s="79"/>
      <c r="AJ60" s="80" t="s">
        <v>84</v>
      </c>
      <c r="AK60" s="86"/>
      <c r="AL60" s="87"/>
      <c r="AM60" s="83"/>
      <c r="AN60" s="84"/>
      <c r="AO60" s="84"/>
    </row>
    <row r="61" s="20" customFormat="1" ht="24" hidden="1" customHeight="1" spans="2:41">
      <c r="B61" s="48" t="s">
        <v>134</v>
      </c>
      <c r="C61" s="43">
        <v>1951024</v>
      </c>
      <c r="D61" s="43" t="str">
        <f>'2023年'!D61</f>
        <v>成都世纪华通汽车部件有限公司</v>
      </c>
      <c r="E61" s="47" t="s">
        <v>111</v>
      </c>
      <c r="F61" s="45">
        <f>SUM(I61:V61)</f>
        <v>0</v>
      </c>
      <c r="G61" s="46">
        <f>SUM(I61:U61)</f>
        <v>0</v>
      </c>
      <c r="H61" s="46">
        <f t="shared" si="31"/>
        <v>0</v>
      </c>
      <c r="I61" s="57"/>
      <c r="J61" s="58"/>
      <c r="K61" s="58"/>
      <c r="L61" s="58"/>
      <c r="M61" s="58"/>
      <c r="N61" s="58" t="str">
        <f>IF('2023年'!$AZ61&gt;(SUM('2023年'!$V61:AG61)+SUM('2023年'!J61:$T61)),'2023年'!J61,IF('2023年'!$AZ61-SUM('2023年'!$V61:AG61)-SUM('2023年'!K61:$T61)&gt;0,'2023年'!$AZ61-SUM('2023年'!$V61:AG61)-SUM('2023年'!K61:$T61),""))</f>
        <v/>
      </c>
      <c r="O61" s="58"/>
      <c r="P61" s="58"/>
      <c r="Q61" s="58"/>
      <c r="R61" s="58"/>
      <c r="S61" s="58" t="str">
        <f>IF('2023年'!$AZ61&gt;('2023年'!P61+'2023年'!Q61+'2023年'!S61+'2023年'!T61+SUM('2023年'!V61:AG61))+'2023年'!O61+'2023年'!R61,'2023年'!O61+'2023年'!R61,IF('2023年'!$AZ61-SUM('2023年'!V61:AG61)-'2023年'!T61-'2023年'!S61-'2023年'!P61-'2023年'!Q61&gt;0,'2023年'!$AZ61-SUM('2023年'!V61:AG61)-'2023年'!T61-'2023年'!S61-'2023年'!P61-'2023年'!Q61,""))</f>
        <v/>
      </c>
      <c r="T61" s="58" t="str">
        <f>IF('2023年'!$AZ61&gt;('2023年'!$T61+'2023年'!$Q61+SUM('2023年'!V61:$AG61))+'2023年'!S61+'2023年'!P61,'2023年'!P61+'2023年'!S61,IF('2023年'!$AZ61-SUM('2023年'!V61:$AG61)-'2023年'!T61-'2023年'!Q61&gt;0,'2023年'!$AZ61-SUM('2023年'!V61:X61)-'2023年'!T61-'2023年'!Q61,""))</f>
        <v/>
      </c>
      <c r="U61" s="58" t="str">
        <f>IF('2023年'!$AZ61&gt;(SUM('2023年'!V61:AG61)+'2023年'!T61+'2023年'!Q61),'2023年'!Q61+'2023年'!T61,IF('2023年'!$AZ61-SUM('2023年'!V61:AG61)&gt;0,'2023年'!$AZ61-SUM('2023年'!V61:AG61),""))</f>
        <v/>
      </c>
      <c r="V61" s="61">
        <f>IF('2023年'!$AZ61&gt;=SUM('2023年'!V61:$AG61),'2023年'!V61,IF('2023年'!$AZ61-SUM('2023年'!W61:$AG61)&gt;0,'2023年'!$AZ61-SUM('2023年'!W61:$AG61),0))</f>
        <v>0</v>
      </c>
      <c r="W61" s="61">
        <f>IF('2023年'!$AZ61&gt;=SUM('2023年'!W61:$AG61),'2023年'!W61,IF('2023年'!$AZ61-SUM('2023年'!X61:$AG61)&gt;0,'2023年'!$AZ61-SUM('2023年'!X61:$AG61),0))</f>
        <v>0</v>
      </c>
      <c r="X61" s="61">
        <f>IF('2023年'!$AZ61&gt;=SUM('2023年'!X61:$AG61),'2023年'!X61,IF('2023年'!$AZ61-SUM('2023年'!Y61:$AG61)&gt;0,'2023年'!$AZ61-SUM('2023年'!Y61:$AG61),0))</f>
        <v>0</v>
      </c>
      <c r="Y61" s="62">
        <f>IF('2023年'!$AZ61&gt;=SUM('2023年'!Y61:$AG61),'2023年'!Y61,IF('2023年'!$AZ61-SUM('2023年'!Z61:$AG61)&gt;0,'2023年'!$AZ61-SUM('2023年'!Z61:$AG61),0))</f>
        <v>0</v>
      </c>
      <c r="Z61" s="62">
        <f>IF('2023年'!$AZ61&gt;=SUM('2023年'!Z61:$AG61),'2023年'!Z61,IF('2023年'!$AZ61-SUM('2023年'!AA61:$AG61)&gt;0,'2023年'!$AZ61-SUM('2023年'!AA61:$AG61),0))</f>
        <v>0</v>
      </c>
      <c r="AA61" s="62"/>
      <c r="AB61" s="62"/>
      <c r="AC61" s="62"/>
      <c r="AD61" s="62"/>
      <c r="AE61" s="62"/>
      <c r="AF61" s="62"/>
      <c r="AG61" s="62"/>
      <c r="AH61" s="88"/>
      <c r="AI61" s="79"/>
      <c r="AJ61" s="80" t="s">
        <v>84</v>
      </c>
      <c r="AK61" s="86"/>
      <c r="AL61" s="87"/>
      <c r="AM61" s="83"/>
      <c r="AN61" s="84"/>
      <c r="AO61" s="84"/>
    </row>
    <row r="62" s="20" customFormat="1" ht="24" hidden="1" customHeight="1" spans="2:41">
      <c r="B62" s="48" t="s">
        <v>81</v>
      </c>
      <c r="C62" s="43" t="s">
        <v>138</v>
      </c>
      <c r="D62" s="43" t="str">
        <f>'2023年'!D62</f>
        <v>成都里恩电子科技有限公司</v>
      </c>
      <c r="E62" s="47">
        <v>30</v>
      </c>
      <c r="F62" s="45">
        <f>SUM(I62:Z62)</f>
        <v>0</v>
      </c>
      <c r="G62" s="46">
        <f>SUM(I62:X62)</f>
        <v>0</v>
      </c>
      <c r="H62" s="46">
        <f t="shared" si="31"/>
        <v>0</v>
      </c>
      <c r="I62" s="57"/>
      <c r="J62" s="58"/>
      <c r="K62" s="58"/>
      <c r="L62" s="58"/>
      <c r="M62" s="58"/>
      <c r="N62" s="58" t="str">
        <f>IF('2023年'!$AZ62&gt;(SUM('2023年'!$V62:AG62)+SUM('2023年'!J62:$T62)),'2023年'!J62,IF('2023年'!$AZ62-SUM('2023年'!$V62:AG62)-SUM('2023年'!K62:$T62)&gt;0,'2023年'!$AZ62-SUM('2023年'!$V62:AG62)-SUM('2023年'!K62:$T62),""))</f>
        <v/>
      </c>
      <c r="O62" s="58"/>
      <c r="P62" s="58"/>
      <c r="Q62" s="58"/>
      <c r="R62" s="58"/>
      <c r="S62" s="58" t="str">
        <f>IF('2023年'!$AZ62&gt;('2023年'!P62+'2023年'!Q62+'2023年'!S62+'2023年'!T62+SUM('2023年'!V62:AG62))+'2023年'!O62+'2023年'!R62,'2023年'!O62+'2023年'!R62,IF('2023年'!$AZ62-SUM('2023年'!V62:AG62)-'2023年'!T62-'2023年'!S62-'2023年'!P62-'2023年'!Q62&gt;0,'2023年'!$AZ62-SUM('2023年'!V62:AG62)-'2023年'!T62-'2023年'!S62-'2023年'!P62-'2023年'!Q62,""))</f>
        <v/>
      </c>
      <c r="T62" s="58" t="str">
        <f>IF('2023年'!$AZ62&gt;('2023年'!$T62+'2023年'!$Q62+SUM('2023年'!V62:$AG62))+'2023年'!S62+'2023年'!P62,'2023年'!P62+'2023年'!S62,IF('2023年'!$AZ62-SUM('2023年'!V62:$AG62)-'2023年'!T62-'2023年'!Q62&gt;0,'2023年'!$AZ62-SUM('2023年'!V62:X62)-'2023年'!T62-'2023年'!Q62,""))</f>
        <v/>
      </c>
      <c r="U62" s="58" t="str">
        <f>IF('2023年'!$AZ62&gt;(SUM('2023年'!V62:AG62)+'2023年'!T62+'2023年'!Q62),'2023年'!Q62+'2023年'!T62,IF('2023年'!$AZ62-SUM('2023年'!V62:AG62)&gt;0,'2023年'!$AZ62-SUM('2023年'!V62:AG62),""))</f>
        <v/>
      </c>
      <c r="V62" s="61">
        <f>IF('2023年'!$AZ62&gt;=SUM('2023年'!V62:$AG62),'2023年'!V62,IF('2023年'!$AZ62-SUM('2023年'!W62:$AG62)&gt;0,'2023年'!$AZ62-SUM('2023年'!W62:$AG62),0))</f>
        <v>0</v>
      </c>
      <c r="W62" s="61">
        <f>IF('2023年'!$AZ62&gt;=SUM('2023年'!W62:$AG62),'2023年'!W62,IF('2023年'!$AZ62-SUM('2023年'!X62:$AG62)&gt;0,'2023年'!$AZ62-SUM('2023年'!X62:$AG62),0))</f>
        <v>0</v>
      </c>
      <c r="X62" s="61">
        <f>IF('2023年'!$AZ62&gt;=SUM('2023年'!X62:$AG62),'2023年'!X62,IF('2023年'!$AZ62-SUM('2023年'!Y62:$AG62)&gt;0,'2023年'!$AZ62-SUM('2023年'!Y62:$AG62),0))</f>
        <v>0</v>
      </c>
      <c r="Y62" s="62">
        <f>IF('2023年'!$AZ62&gt;=SUM('2023年'!Y62:$AG62),'2023年'!Y62,IF('2023年'!$AZ62-SUM('2023年'!Z62:$AG62)&gt;0,'2023年'!$AZ62-SUM('2023年'!Z62:$AG62),0))</f>
        <v>0</v>
      </c>
      <c r="Z62" s="62">
        <f>IF('2023年'!$AZ62&gt;=SUM('2023年'!Z62:$AG62),'2023年'!Z62,IF('2023年'!$AZ62-SUM('2023年'!AA62:$AG62)&gt;0,'2023年'!$AZ62-SUM('2023年'!AA62:$AG62),0))</f>
        <v>0</v>
      </c>
      <c r="AA62" s="62"/>
      <c r="AB62" s="62"/>
      <c r="AC62" s="62"/>
      <c r="AD62" s="62"/>
      <c r="AE62" s="62"/>
      <c r="AF62" s="62"/>
      <c r="AG62" s="62"/>
      <c r="AH62" s="88"/>
      <c r="AI62" s="79"/>
      <c r="AJ62" s="80" t="s">
        <v>84</v>
      </c>
      <c r="AK62" s="86"/>
      <c r="AL62" s="87"/>
      <c r="AM62" s="83"/>
      <c r="AN62" s="84"/>
      <c r="AO62" s="84"/>
    </row>
    <row r="63" s="20" customFormat="1" ht="24" hidden="1" customHeight="1" spans="2:41">
      <c r="B63" s="48" t="s">
        <v>81</v>
      </c>
      <c r="C63" s="43" t="s">
        <v>140</v>
      </c>
      <c r="D63" s="43" t="str">
        <f>'2023年'!D63</f>
        <v>天津顺康国际</v>
      </c>
      <c r="E63" s="47">
        <v>30</v>
      </c>
      <c r="F63" s="45">
        <f>SUM(I63:Z63)</f>
        <v>0</v>
      </c>
      <c r="G63" s="46">
        <f>SUM(I63:X63)</f>
        <v>0</v>
      </c>
      <c r="H63" s="46">
        <f t="shared" si="31"/>
        <v>0</v>
      </c>
      <c r="I63" s="57"/>
      <c r="J63" s="58"/>
      <c r="K63" s="58"/>
      <c r="L63" s="58"/>
      <c r="M63" s="58"/>
      <c r="N63" s="58" t="str">
        <f>IF('2023年'!$AZ63&gt;(SUM('2023年'!$V63:AG63)+SUM('2023年'!J63:$T63)),'2023年'!J63,IF('2023年'!$AZ63-SUM('2023年'!$V63:AG63)-SUM('2023年'!K63:$T63)&gt;0,'2023年'!$AZ63-SUM('2023年'!$V63:AG63)-SUM('2023年'!K63:$T63),""))</f>
        <v/>
      </c>
      <c r="O63" s="58"/>
      <c r="P63" s="58"/>
      <c r="Q63" s="58"/>
      <c r="R63" s="58"/>
      <c r="S63" s="58" t="str">
        <f>IF('2023年'!$AZ63&gt;('2023年'!P63+'2023年'!Q63+'2023年'!S63+'2023年'!T63+SUM('2023年'!V63:AG63))+'2023年'!O63+'2023年'!R63,'2023年'!O63+'2023年'!R63,IF('2023年'!$AZ63-SUM('2023年'!V63:AG63)-'2023年'!T63-'2023年'!S63-'2023年'!P63-'2023年'!Q63&gt;0,'2023年'!$AZ63-SUM('2023年'!V63:AG63)-'2023年'!T63-'2023年'!S63-'2023年'!P63-'2023年'!Q63,""))</f>
        <v/>
      </c>
      <c r="T63" s="58" t="str">
        <f>IF('2023年'!$AZ63&gt;('2023年'!$T63+'2023年'!$Q63+SUM('2023年'!V63:$AG63))+'2023年'!S63+'2023年'!P63,'2023年'!P63+'2023年'!S63,IF('2023年'!$AZ63-SUM('2023年'!V63:$AG63)-'2023年'!T63-'2023年'!Q63&gt;0,'2023年'!$AZ63-SUM('2023年'!V63:X63)-'2023年'!T63-'2023年'!Q63,""))</f>
        <v/>
      </c>
      <c r="U63" s="58" t="str">
        <f>IF('2023年'!$AZ63&gt;(SUM('2023年'!V63:AG63)+'2023年'!T63+'2023年'!Q63),'2023年'!Q63+'2023年'!T63,IF('2023年'!$AZ63-SUM('2023年'!V63:AG63)&gt;0,'2023年'!$AZ63-SUM('2023年'!V63:AG63),""))</f>
        <v/>
      </c>
      <c r="V63" s="61">
        <f>IF('2023年'!$AZ63&gt;=SUM('2023年'!V63:$AG63),'2023年'!V63,IF('2023年'!$AZ63-SUM('2023年'!W63:$AG63)&gt;0,'2023年'!$AZ63-SUM('2023年'!W63:$AG63),0))</f>
        <v>0</v>
      </c>
      <c r="W63" s="61">
        <f>IF('2023年'!$AZ63&gt;=SUM('2023年'!W63:$AG63),'2023年'!W63,IF('2023年'!$AZ63-SUM('2023年'!X63:$AG63)&gt;0,'2023年'!$AZ63-SUM('2023年'!X63:$AG63),0))</f>
        <v>0</v>
      </c>
      <c r="X63" s="61">
        <f>IF('2023年'!$AZ63&gt;=SUM('2023年'!X63:$AG63),'2023年'!X63,IF('2023年'!$AZ63-SUM('2023年'!Y63:$AG63)&gt;0,'2023年'!$AZ63-SUM('2023年'!Y63:$AG63),0))</f>
        <v>0</v>
      </c>
      <c r="Y63" s="62">
        <f>IF('2023年'!$AZ63&gt;=SUM('2023年'!Y63:$AG63),'2023年'!Y63,IF('2023年'!$AZ63-SUM('2023年'!Z63:$AG63)&gt;0,'2023年'!$AZ63-SUM('2023年'!Z63:$AG63),0))</f>
        <v>0</v>
      </c>
      <c r="Z63" s="62">
        <f>IF('2023年'!$AZ63&gt;=SUM('2023年'!Z63:$AG63),'2023年'!Z63,IF('2023年'!$AZ63-SUM('2023年'!AA63:$AG63)&gt;0,'2023年'!$AZ63-SUM('2023年'!AA63:$AG63),0))</f>
        <v>0</v>
      </c>
      <c r="AA63" s="62"/>
      <c r="AB63" s="62"/>
      <c r="AC63" s="62"/>
      <c r="AD63" s="62"/>
      <c r="AE63" s="62"/>
      <c r="AF63" s="62"/>
      <c r="AG63" s="62"/>
      <c r="AH63" s="88"/>
      <c r="AI63" s="79"/>
      <c r="AJ63" s="80" t="s">
        <v>84</v>
      </c>
      <c r="AK63" s="86"/>
      <c r="AL63" s="87"/>
      <c r="AM63" s="83"/>
      <c r="AN63" s="84"/>
      <c r="AO63" s="84"/>
    </row>
    <row r="64" s="20" customFormat="1" ht="24" hidden="1" customHeight="1" spans="2:41">
      <c r="B64" s="48" t="s">
        <v>81</v>
      </c>
      <c r="C64" s="43" t="s">
        <v>177</v>
      </c>
      <c r="D64" s="43" t="str">
        <f>'2023年'!D64</f>
        <v>禹鹤贸易（上海）有限公司</v>
      </c>
      <c r="E64" s="47"/>
      <c r="F64" s="45">
        <f>SUM(I64:V64)</f>
        <v>0</v>
      </c>
      <c r="G64" s="46">
        <f>SUM(I64:U64)</f>
        <v>0</v>
      </c>
      <c r="H64" s="46">
        <f t="shared" si="31"/>
        <v>0</v>
      </c>
      <c r="I64" s="57"/>
      <c r="J64" s="58"/>
      <c r="K64" s="58"/>
      <c r="L64" s="58"/>
      <c r="M64" s="58"/>
      <c r="N64" s="58" t="str">
        <f>IF('2023年'!$AZ64&gt;(SUM('2023年'!$V64:AG64)+SUM('2023年'!J64:$T64)),'2023年'!J64,IF('2023年'!$AZ64-SUM('2023年'!$V64:AG64)-SUM('2023年'!K64:$T64)&gt;0,'2023年'!$AZ64-SUM('2023年'!$V64:AG64)-SUM('2023年'!K64:$T64),""))</f>
        <v/>
      </c>
      <c r="O64" s="58"/>
      <c r="P64" s="58"/>
      <c r="Q64" s="58"/>
      <c r="R64" s="58"/>
      <c r="S64" s="58" t="str">
        <f>IF('2023年'!$AZ64&gt;('2023年'!P64+'2023年'!Q64+'2023年'!S64+'2023年'!T64+SUM('2023年'!V64:AG64))+'2023年'!O64+'2023年'!R64,'2023年'!O64+'2023年'!R64,IF('2023年'!$AZ64-SUM('2023年'!V64:AG64)-'2023年'!T64-'2023年'!S64-'2023年'!P64-'2023年'!Q64&gt;0,'2023年'!$AZ64-SUM('2023年'!V64:AG64)-'2023年'!T64-'2023年'!S64-'2023年'!P64-'2023年'!Q64,""))</f>
        <v/>
      </c>
      <c r="T64" s="58" t="str">
        <f>IF('2023年'!$AZ64&gt;('2023年'!$T64+'2023年'!$Q64+SUM('2023年'!V64:$AG64))+'2023年'!S64+'2023年'!P64,'2023年'!P64+'2023年'!S64,IF('2023年'!$AZ64-SUM('2023年'!V64:$AG64)-'2023年'!T64-'2023年'!Q64&gt;0,'2023年'!$AZ64-SUM('2023年'!V64:X64)-'2023年'!T64-'2023年'!Q64,""))</f>
        <v/>
      </c>
      <c r="U64" s="58" t="str">
        <f>IF('2023年'!$AZ64&gt;(SUM('2023年'!V64:AG64)+'2023年'!T64+'2023年'!Q64),'2023年'!Q64+'2023年'!T64,IF('2023年'!$AZ64-SUM('2023年'!V64:AG64)&gt;0,'2023年'!$AZ64-SUM('2023年'!V64:AG64),""))</f>
        <v/>
      </c>
      <c r="V64" s="61">
        <f>IF('2023年'!$AZ64&gt;=SUM('2023年'!V64:$AG64),'2023年'!V64,IF('2023年'!$AZ64-SUM('2023年'!W64:$AG64)&gt;0,'2023年'!$AZ64-SUM('2023年'!W64:$AG64),0))</f>
        <v>0</v>
      </c>
      <c r="W64" s="61">
        <f>IF('2023年'!$AZ64&gt;=SUM('2023年'!W64:$AG64),'2023年'!W64,IF('2023年'!$AZ64-SUM('2023年'!X64:$AG64)&gt;0,'2023年'!$AZ64-SUM('2023年'!X64:$AG64),0))</f>
        <v>0</v>
      </c>
      <c r="X64" s="61">
        <f>IF('2023年'!$AZ64&gt;=SUM('2023年'!X64:$AG64),'2023年'!X64,IF('2023年'!$AZ64-SUM('2023年'!Y64:$AG64)&gt;0,'2023年'!$AZ64-SUM('2023年'!Y64:$AG64),0))</f>
        <v>0</v>
      </c>
      <c r="Y64" s="62">
        <f>IF('2023年'!$AZ64&gt;=SUM('2023年'!Y64:$AG64),'2023年'!Y64,IF('2023年'!$AZ64-SUM('2023年'!Z64:$AG64)&gt;0,'2023年'!$AZ64-SUM('2023年'!Z64:$AG64),0))</f>
        <v>0</v>
      </c>
      <c r="Z64" s="62">
        <f>IF('2023年'!$AZ64&gt;=SUM('2023年'!Z64:$AG64),'2023年'!Z64,IF('2023年'!$AZ64-SUM('2023年'!AA64:$AG64)&gt;0,'2023年'!$AZ64-SUM('2023年'!AA64:$AG64),0))</f>
        <v>0</v>
      </c>
      <c r="AA64" s="62"/>
      <c r="AB64" s="62"/>
      <c r="AC64" s="62"/>
      <c r="AD64" s="62"/>
      <c r="AE64" s="62"/>
      <c r="AF64" s="62"/>
      <c r="AG64" s="62"/>
      <c r="AH64" s="88"/>
      <c r="AI64" s="79"/>
      <c r="AJ64" s="80" t="s">
        <v>84</v>
      </c>
      <c r="AK64" s="86"/>
      <c r="AL64" s="87"/>
      <c r="AM64" s="83"/>
      <c r="AN64" s="84"/>
      <c r="AO64" s="84"/>
    </row>
    <row r="65" s="20" customFormat="1" ht="24" hidden="1" customHeight="1" spans="2:41">
      <c r="B65" s="48" t="s">
        <v>81</v>
      </c>
      <c r="C65" s="43" t="s">
        <v>179</v>
      </c>
      <c r="D65" s="43" t="str">
        <f>'2023年'!D65</f>
        <v>北京博路荣国际贸易有限公司</v>
      </c>
      <c r="E65" s="47">
        <v>60</v>
      </c>
      <c r="F65" s="45">
        <f>SUM(I65:Y65)</f>
        <v>0</v>
      </c>
      <c r="G65" s="46">
        <f>SUM(I65:W65)</f>
        <v>0</v>
      </c>
      <c r="H65" s="46">
        <f t="shared" si="31"/>
        <v>0</v>
      </c>
      <c r="I65" s="57"/>
      <c r="J65" s="58"/>
      <c r="K65" s="58"/>
      <c r="L65" s="58"/>
      <c r="M65" s="58"/>
      <c r="N65" s="58"/>
      <c r="O65" s="58"/>
      <c r="P65" s="58"/>
      <c r="Q65" s="58"/>
      <c r="R65" s="58"/>
      <c r="S65" s="58" t="str">
        <f>IF('2023年'!$AZ65&gt;('2023年'!P65+'2023年'!Q65+'2023年'!S65+'2023年'!T65+SUM('2023年'!V65:AG65))+'2023年'!O65+'2023年'!R65,'2023年'!O65+'2023年'!R65,IF('2023年'!$AZ65-SUM('2023年'!V65:AG65)-'2023年'!T65-'2023年'!S65-'2023年'!P65-'2023年'!Q65&gt;0,'2023年'!$AZ65-SUM('2023年'!V65:AG65)-'2023年'!T65-'2023年'!S65-'2023年'!P65-'2023年'!Q65,""))</f>
        <v/>
      </c>
      <c r="T65" s="58" t="str">
        <f>IF('2023年'!$AZ65&gt;('2023年'!$T65+'2023年'!$Q65+SUM('2023年'!V65:$AG65))+'2023年'!S65+'2023年'!P65,'2023年'!P65+'2023年'!S65,IF('2023年'!$AZ65-SUM('2023年'!V65:$AG65)-'2023年'!T65-'2023年'!Q65&gt;0,'2023年'!$AZ65-SUM('2023年'!V65:X65)-'2023年'!T65-'2023年'!Q65,""))</f>
        <v/>
      </c>
      <c r="U65" s="58" t="str">
        <f>IF('2023年'!$AZ65&gt;(SUM('2023年'!V65:AG65)+'2023年'!T65+'2023年'!Q65),'2023年'!Q65+'2023年'!T65,IF('2023年'!$AZ65-SUM('2023年'!V65:AG65)&gt;0,'2023年'!$AZ65-SUM('2023年'!V65:AG65),""))</f>
        <v/>
      </c>
      <c r="V65" s="61">
        <f>IF('2023年'!$AZ65&gt;=SUM('2023年'!V65:$AG65),'2023年'!V65,IF('2023年'!$AZ65-SUM('2023年'!W65:$AG65)&gt;0,'2023年'!$AZ65-SUM('2023年'!W65:$AG65),0))</f>
        <v>0</v>
      </c>
      <c r="W65" s="61">
        <f>IF('2023年'!$AZ65&gt;=SUM('2023年'!W65:$AG65),'2023年'!W65,IF('2023年'!$AZ65-SUM('2023年'!X65:$AG65)&gt;0,'2023年'!$AZ65-SUM('2023年'!X65:$AG65),0))</f>
        <v>0</v>
      </c>
      <c r="X65" s="61">
        <f>IF('2023年'!$AZ65&gt;=SUM('2023年'!X65:$AG65),'2023年'!X65,IF('2023年'!$AZ65-SUM('2023年'!Y65:$AG65)&gt;0,'2023年'!$AZ65-SUM('2023年'!Y65:$AG65),0))</f>
        <v>0</v>
      </c>
      <c r="Y65" s="62">
        <f>IF('2023年'!$AZ65&gt;=SUM('2023年'!Y65:$AG65),'2023年'!Y65,IF('2023年'!$AZ65-SUM('2023年'!Z65:$AG65)&gt;0,'2023年'!$AZ65-SUM('2023年'!Z65:$AG65),0))</f>
        <v>0</v>
      </c>
      <c r="Z65" s="62">
        <f>IF('2023年'!$AZ65&gt;=SUM('2023年'!Z65:$AG65),'2023年'!Z65,IF('2023年'!$AZ65-SUM('2023年'!AA65:$AG65)&gt;0,'2023年'!$AZ65-SUM('2023年'!AA65:$AG65),0))</f>
        <v>0</v>
      </c>
      <c r="AA65" s="62"/>
      <c r="AB65" s="62"/>
      <c r="AC65" s="62"/>
      <c r="AD65" s="62"/>
      <c r="AE65" s="62"/>
      <c r="AF65" s="62"/>
      <c r="AG65" s="62"/>
      <c r="AH65" s="88"/>
      <c r="AI65" s="79"/>
      <c r="AJ65" s="80" t="s">
        <v>84</v>
      </c>
      <c r="AK65" s="86"/>
      <c r="AL65" s="87"/>
      <c r="AM65" s="83"/>
      <c r="AN65" s="84"/>
      <c r="AO65" s="84"/>
    </row>
    <row r="66" s="20" customFormat="1" ht="24" hidden="1" customHeight="1" spans="2:41">
      <c r="B66" s="48" t="s">
        <v>81</v>
      </c>
      <c r="C66" s="43" t="s">
        <v>207</v>
      </c>
      <c r="D66" s="43" t="str">
        <f>'2023年'!D66</f>
        <v>北京明科通业国际贸易有限责任</v>
      </c>
      <c r="E66" s="47"/>
      <c r="F66" s="45">
        <f>SUM(I66:V66)</f>
        <v>0</v>
      </c>
      <c r="G66" s="46">
        <f>SUM(I66:U66)</f>
        <v>0</v>
      </c>
      <c r="H66" s="46">
        <f t="shared" si="31"/>
        <v>0</v>
      </c>
      <c r="I66" s="57"/>
      <c r="J66" s="58"/>
      <c r="K66" s="58"/>
      <c r="L66" s="58"/>
      <c r="M66" s="58"/>
      <c r="N66" s="58"/>
      <c r="O66" s="58"/>
      <c r="P66" s="58"/>
      <c r="Q66" s="58"/>
      <c r="R66" s="58"/>
      <c r="S66" s="58" t="str">
        <f>IF('2023年'!$AZ66&gt;('2023年'!P66+'2023年'!Q66+'2023年'!S66+'2023年'!T66+SUM('2023年'!V66:AG66))+'2023年'!O66+'2023年'!R66,'2023年'!O66+'2023年'!R66,IF('2023年'!$AZ66-SUM('2023年'!V66:AG66)-'2023年'!T66-'2023年'!S66-'2023年'!P66-'2023年'!Q66&gt;0,'2023年'!$AZ66-SUM('2023年'!V66:AG66)-'2023年'!T66-'2023年'!S66-'2023年'!P66-'2023年'!Q66,""))</f>
        <v/>
      </c>
      <c r="T66" s="58" t="str">
        <f>IF('2023年'!$AZ66&gt;('2023年'!$T66+'2023年'!$Q66+SUM('2023年'!V66:$AG66))+'2023年'!S66+'2023年'!P66,'2023年'!P66+'2023年'!S66,IF('2023年'!$AZ66-SUM('2023年'!V66:$AG66)-'2023年'!T66-'2023年'!Q66&gt;0,'2023年'!$AZ66-SUM('2023年'!V66:X66)-'2023年'!T66-'2023年'!Q66,""))</f>
        <v/>
      </c>
      <c r="U66" s="58" t="str">
        <f>IF('2023年'!$AZ66&gt;(SUM('2023年'!V66:AG66)+'2023年'!T66+'2023年'!Q66),'2023年'!Q66+'2023年'!T66,IF('2023年'!$AZ66-SUM('2023年'!V66:AG66)&gt;0,'2023年'!$AZ66-SUM('2023年'!V66:AG66),""))</f>
        <v/>
      </c>
      <c r="V66" s="61">
        <f>IF('2023年'!$AZ66&gt;=SUM('2023年'!V66:$AG66),'2023年'!V66,IF('2023年'!$AZ66-SUM('2023年'!W66:$AG66)&gt;0,'2023年'!$AZ66-SUM('2023年'!W66:$AG66),0))</f>
        <v>0</v>
      </c>
      <c r="W66" s="61">
        <f>IF('2023年'!$AZ66&gt;=SUM('2023年'!W66:$AG66),'2023年'!W66,IF('2023年'!$AZ66-SUM('2023年'!X66:$AG66)&gt;0,'2023年'!$AZ66-SUM('2023年'!X66:$AG66),0))</f>
        <v>0</v>
      </c>
      <c r="X66" s="61">
        <f>IF('2023年'!$AZ66&gt;=SUM('2023年'!X66:$AG66),'2023年'!X66,IF('2023年'!$AZ66-SUM('2023年'!Y66:$AG66)&gt;0,'2023年'!$AZ66-SUM('2023年'!Y66:$AG66),0))</f>
        <v>0</v>
      </c>
      <c r="Y66" s="62">
        <f>IF('2023年'!$AZ66&gt;=SUM('2023年'!Y66:$AG66),'2023年'!Y66,IF('2023年'!$AZ66-SUM('2023年'!Z66:$AG66)&gt;0,'2023年'!$AZ66-SUM('2023年'!Z66:$AG66),0))</f>
        <v>0</v>
      </c>
      <c r="Z66" s="62">
        <f>IF('2023年'!$AZ66&gt;=SUM('2023年'!Z66:$AG66),'2023年'!Z66,IF('2023年'!$AZ66-SUM('2023年'!AA66:$AG66)&gt;0,'2023年'!$AZ66-SUM('2023年'!AA66:$AG66),0))</f>
        <v>0</v>
      </c>
      <c r="AA66" s="62"/>
      <c r="AB66" s="62"/>
      <c r="AC66" s="62"/>
      <c r="AD66" s="62"/>
      <c r="AE66" s="62"/>
      <c r="AF66" s="62"/>
      <c r="AG66" s="62"/>
      <c r="AH66" s="88"/>
      <c r="AI66" s="79"/>
      <c r="AJ66" s="80"/>
      <c r="AK66" s="86"/>
      <c r="AL66" s="87"/>
      <c r="AM66" s="83"/>
      <c r="AN66" s="84"/>
      <c r="AO66" s="84"/>
    </row>
    <row r="67" s="20" customFormat="1" ht="24" hidden="1" customHeight="1" spans="2:41">
      <c r="B67" s="48" t="s">
        <v>81</v>
      </c>
      <c r="C67" s="43" t="s">
        <v>209</v>
      </c>
      <c r="D67" s="43" t="str">
        <f>'2023年'!D67</f>
        <v>江阴市宏丰塑业有限公司</v>
      </c>
      <c r="E67" s="47">
        <v>90</v>
      </c>
      <c r="F67" s="45">
        <f t="shared" ref="F67:F69" si="32">SUM(I67:X67)</f>
        <v>0</v>
      </c>
      <c r="G67" s="46">
        <f t="shared" ref="G67:G69" si="33">SUM(I67:V67)</f>
        <v>0</v>
      </c>
      <c r="H67" s="46">
        <f t="shared" si="31"/>
        <v>0</v>
      </c>
      <c r="I67" s="57"/>
      <c r="J67" s="58"/>
      <c r="K67" s="58"/>
      <c r="L67" s="58"/>
      <c r="M67" s="58"/>
      <c r="N67" s="58"/>
      <c r="O67" s="58"/>
      <c r="P67" s="58"/>
      <c r="Q67" s="58"/>
      <c r="R67" s="58"/>
      <c r="S67" s="58" t="str">
        <f>IF('2023年'!$AZ67&gt;('2023年'!P67+'2023年'!Q67+'2023年'!S67+'2023年'!T67+SUM('2023年'!V67:AG67))+'2023年'!O67+'2023年'!R67,'2023年'!O67+'2023年'!R67,IF('2023年'!$AZ67-SUM('2023年'!V67:AG67)-'2023年'!T67-'2023年'!S67-'2023年'!P67-'2023年'!Q67&gt;0,'2023年'!$AZ67-SUM('2023年'!V67:AG67)-'2023年'!T67-'2023年'!S67-'2023年'!P67-'2023年'!Q67,""))</f>
        <v/>
      </c>
      <c r="T67" s="58" t="str">
        <f>IF('2023年'!$AZ67&gt;('2023年'!$T67+'2023年'!$Q67+SUM('2023年'!V67:$AG67))+'2023年'!S67+'2023年'!P67,'2023年'!P67+'2023年'!S67,IF('2023年'!$AZ67-SUM('2023年'!V67:$AG67)-'2023年'!T67-'2023年'!Q67&gt;0,'2023年'!$AZ67-SUM('2023年'!V67:X67)-'2023年'!T67-'2023年'!Q67,""))</f>
        <v/>
      </c>
      <c r="U67" s="58" t="str">
        <f>IF('2023年'!$AZ67&gt;(SUM('2023年'!V67:AG67)+'2023年'!T67+'2023年'!Q67),'2023年'!Q67+'2023年'!T67,IF('2023年'!$AZ67-SUM('2023年'!V67:AG67)&gt;0,'2023年'!$AZ67-SUM('2023年'!V67:AG67),""))</f>
        <v/>
      </c>
      <c r="V67" s="61">
        <f>IF('2023年'!$AZ67&gt;=SUM('2023年'!V67:$AG67),'2023年'!V67,IF('2023年'!$AZ67-SUM('2023年'!W67:$AG67)&gt;0,'2023年'!$AZ67-SUM('2023年'!W67:$AG67),0))</f>
        <v>0</v>
      </c>
      <c r="W67" s="61">
        <f>IF('2023年'!$AZ67&gt;=SUM('2023年'!W67:$AG67),'2023年'!W67,IF('2023年'!$AZ67-SUM('2023年'!X67:$AG67)&gt;0,'2023年'!$AZ67-SUM('2023年'!X67:$AG67),0))</f>
        <v>0</v>
      </c>
      <c r="X67" s="61">
        <f>IF('2023年'!$AZ67&gt;=SUM('2023年'!X67:$AG67),'2023年'!X67,IF('2023年'!$AZ67-SUM('2023年'!Y67:$AG67)&gt;0,'2023年'!$AZ67-SUM('2023年'!Y67:$AG67),0))</f>
        <v>0</v>
      </c>
      <c r="Y67" s="62">
        <f>IF('2023年'!$AZ67&gt;=SUM('2023年'!Y67:$AG67),'2023年'!Y67,IF('2023年'!$AZ67-SUM('2023年'!Z67:$AG67)&gt;0,'2023年'!$AZ67-SUM('2023年'!Z67:$AG67),0))</f>
        <v>0</v>
      </c>
      <c r="Z67" s="62">
        <f>IF('2023年'!$AZ67&gt;=SUM('2023年'!Z67:$AG67),'2023年'!Z67,IF('2023年'!$AZ67-SUM('2023年'!AA67:$AG67)&gt;0,'2023年'!$AZ67-SUM('2023年'!AA67:$AG67),0))</f>
        <v>0</v>
      </c>
      <c r="AA67" s="62"/>
      <c r="AB67" s="62"/>
      <c r="AC67" s="62"/>
      <c r="AD67" s="62"/>
      <c r="AE67" s="62"/>
      <c r="AF67" s="62"/>
      <c r="AG67" s="62"/>
      <c r="AH67" s="88"/>
      <c r="AI67" s="79"/>
      <c r="AJ67" s="80"/>
      <c r="AK67" s="86"/>
      <c r="AL67" s="87"/>
      <c r="AM67" s="83"/>
      <c r="AN67" s="84"/>
      <c r="AO67" s="84"/>
    </row>
    <row r="68" s="20" customFormat="1" ht="24" hidden="1" customHeight="1" spans="2:41">
      <c r="B68" s="48" t="s">
        <v>81</v>
      </c>
      <c r="C68" s="43" t="s">
        <v>211</v>
      </c>
      <c r="D68" s="43" t="e">
        <f>'2023年'!D68</f>
        <v>#REF!</v>
      </c>
      <c r="E68" s="47">
        <v>90</v>
      </c>
      <c r="F68" s="45">
        <f t="shared" si="32"/>
        <v>0</v>
      </c>
      <c r="G68" s="46">
        <f t="shared" si="33"/>
        <v>0</v>
      </c>
      <c r="H68" s="46">
        <f t="shared" si="31"/>
        <v>0</v>
      </c>
      <c r="I68" s="57"/>
      <c r="J68" s="58"/>
      <c r="K68" s="58"/>
      <c r="L68" s="58"/>
      <c r="M68" s="58"/>
      <c r="N68" s="58"/>
      <c r="O68" s="58"/>
      <c r="P68" s="58"/>
      <c r="Q68" s="58"/>
      <c r="R68" s="58"/>
      <c r="S68" s="58" t="str">
        <f>IF('2023年'!$AZ68&gt;('2023年'!P68+'2023年'!Q68+'2023年'!S68+'2023年'!T68+SUM('2023年'!V68:AG68))+'2023年'!O68+'2023年'!R68,'2023年'!O68+'2023年'!R68,IF('2023年'!$AZ68-SUM('2023年'!V68:AG68)-'2023年'!T68-'2023年'!S68-'2023年'!P68-'2023年'!Q68&gt;0,'2023年'!$AZ68-SUM('2023年'!V68:AG68)-'2023年'!T68-'2023年'!S68-'2023年'!P68-'2023年'!Q68,""))</f>
        <v/>
      </c>
      <c r="T68" s="58" t="str">
        <f>IF('2023年'!$AZ68&gt;('2023年'!$T68+'2023年'!$Q68+SUM('2023年'!V68:$AG68))+'2023年'!S68+'2023年'!P68,'2023年'!P68+'2023年'!S68,IF('2023年'!$AZ68-SUM('2023年'!V68:$AG68)-'2023年'!T68-'2023年'!Q68&gt;0,'2023年'!$AZ68-SUM('2023年'!V68:X68)-'2023年'!T68-'2023年'!Q68,""))</f>
        <v/>
      </c>
      <c r="U68" s="58" t="str">
        <f>IF('2023年'!$AZ68&gt;(SUM('2023年'!V68:AG68)+'2023年'!T68+'2023年'!Q68),'2023年'!Q68+'2023年'!T68,IF('2023年'!$AZ68-SUM('2023年'!V68:AG68)&gt;0,'2023年'!$AZ68-SUM('2023年'!V68:AG68),""))</f>
        <v/>
      </c>
      <c r="V68" s="61">
        <f>IF('2023年'!$AZ68&gt;=SUM('2023年'!V68:$AG68),'2023年'!V68,IF('2023年'!$AZ68-SUM('2023年'!W68:$AG68)&gt;0,'2023年'!$AZ68-SUM('2023年'!W68:$AG68),0))</f>
        <v>0</v>
      </c>
      <c r="W68" s="61">
        <f>IF('2023年'!$AZ68&gt;=SUM('2023年'!W68:$AG68),'2023年'!W68,IF('2023年'!$AZ68-SUM('2023年'!X68:$AG68)&gt;0,'2023年'!$AZ68-SUM('2023年'!X68:$AG68),0))</f>
        <v>0</v>
      </c>
      <c r="X68" s="61">
        <f>IF('2023年'!$AZ68&gt;=SUM('2023年'!X68:$AG68),'2023年'!X68,IF('2023年'!$AZ68-SUM('2023年'!Y68:$AG68)&gt;0,'2023年'!$AZ68-SUM('2023年'!Y68:$AG68),0))</f>
        <v>0</v>
      </c>
      <c r="Y68" s="62">
        <f>IF('2023年'!$AZ68&gt;=SUM('2023年'!Y68:$AG68),'2023年'!Y68,IF('2023年'!$AZ68-SUM('2023年'!Z68:$AG68)&gt;0,'2023年'!$AZ68-SUM('2023年'!Z68:$AG68),0))</f>
        <v>0</v>
      </c>
      <c r="Z68" s="62">
        <f>IF('2023年'!$AZ68&gt;=SUM('2023年'!Z68:$AG68),'2023年'!Z68,IF('2023年'!$AZ68-SUM('2023年'!AA68:$AG68)&gt;0,'2023年'!$AZ68-SUM('2023年'!AA68:$AG68),0))</f>
        <v>0</v>
      </c>
      <c r="AA68" s="62"/>
      <c r="AB68" s="62"/>
      <c r="AC68" s="62"/>
      <c r="AD68" s="62"/>
      <c r="AE68" s="62"/>
      <c r="AF68" s="62"/>
      <c r="AG68" s="62"/>
      <c r="AH68" s="88"/>
      <c r="AI68" s="79"/>
      <c r="AJ68" s="80"/>
      <c r="AK68" s="86"/>
      <c r="AL68" s="87"/>
      <c r="AM68" s="83"/>
      <c r="AN68" s="84"/>
      <c r="AO68" s="84"/>
    </row>
    <row r="69" s="20" customFormat="1" ht="24" hidden="1" customHeight="1" spans="2:41">
      <c r="B69" s="48" t="s">
        <v>81</v>
      </c>
      <c r="C69" s="43" t="s">
        <v>237</v>
      </c>
      <c r="D69" s="43" t="str">
        <f>'2023年'!D69</f>
        <v>苏州苏宁标准件有限公司</v>
      </c>
      <c r="E69" s="47">
        <v>90</v>
      </c>
      <c r="F69" s="45">
        <f t="shared" si="32"/>
        <v>0</v>
      </c>
      <c r="G69" s="46">
        <f t="shared" si="33"/>
        <v>0</v>
      </c>
      <c r="H69" s="46">
        <f t="shared" si="31"/>
        <v>0</v>
      </c>
      <c r="I69" s="57"/>
      <c r="J69" s="58"/>
      <c r="K69" s="58"/>
      <c r="L69" s="58"/>
      <c r="M69" s="58"/>
      <c r="N69" s="58"/>
      <c r="O69" s="58"/>
      <c r="P69" s="58"/>
      <c r="Q69" s="58"/>
      <c r="R69" s="58"/>
      <c r="S69" s="58" t="str">
        <f>IF('2023年'!$AZ69&gt;('2023年'!P69+'2023年'!Q69+'2023年'!S69+'2023年'!T69+SUM('2023年'!V69:AG69))+'2023年'!O69+'2023年'!R69,'2023年'!O69+'2023年'!R69,IF('2023年'!$AZ69-SUM('2023年'!V69:AG69)-'2023年'!T69-'2023年'!S69-'2023年'!P69-'2023年'!Q69&gt;0,'2023年'!$AZ69-SUM('2023年'!V69:AG69)-'2023年'!T69-'2023年'!S69-'2023年'!P69-'2023年'!Q69,""))</f>
        <v/>
      </c>
      <c r="T69" s="58" t="str">
        <f>IF('2023年'!$AZ69&gt;('2023年'!$T69+'2023年'!$Q69+SUM('2023年'!V69:$AG69))+'2023年'!S69+'2023年'!P69,'2023年'!P69+'2023年'!S69,IF('2023年'!$AZ69-SUM('2023年'!V69:$AG69)-'2023年'!T69-'2023年'!Q69&gt;0,'2023年'!$AZ69-SUM('2023年'!V69:X69)-'2023年'!T69-'2023年'!Q69,""))</f>
        <v/>
      </c>
      <c r="U69" s="58" t="str">
        <f>IF('2023年'!$AZ69&gt;(SUM('2023年'!V69:AG69)+'2023年'!T69+'2023年'!Q69),'2023年'!Q69+'2023年'!T69,IF('2023年'!$AZ69-SUM('2023年'!V69:AG69)&gt;0,'2023年'!$AZ69-SUM('2023年'!V69:AG69),""))</f>
        <v/>
      </c>
      <c r="V69" s="61">
        <f>IF('2023年'!$AZ69&gt;=SUM('2023年'!V69:$AG69),'2023年'!V69,IF('2023年'!$AZ69-SUM('2023年'!W69:$AG69)&gt;0,'2023年'!$AZ69-SUM('2023年'!W69:$AG69),0))</f>
        <v>0</v>
      </c>
      <c r="W69" s="61">
        <f>IF('2023年'!$AZ69&gt;=SUM('2023年'!W69:$AG69),'2023年'!W69,IF('2023年'!$AZ69-SUM('2023年'!X69:$AG69)&gt;0,'2023年'!$AZ69-SUM('2023年'!X69:$AG69),0))</f>
        <v>0</v>
      </c>
      <c r="X69" s="61">
        <f>IF('2023年'!$AZ69&gt;=SUM('2023年'!X69:$AG69),'2023年'!X69,IF('2023年'!$AZ69-SUM('2023年'!Y69:$AG69)&gt;0,'2023年'!$AZ69-SUM('2023年'!Y69:$AG69),0))</f>
        <v>0</v>
      </c>
      <c r="Y69" s="62">
        <f>IF('2023年'!$AZ69&gt;=SUM('2023年'!Y69:$AG69),'2023年'!Y69,IF('2023年'!$AZ69-SUM('2023年'!Z69:$AG69)&gt;0,'2023年'!$AZ69-SUM('2023年'!Z69:$AG69),0))</f>
        <v>0</v>
      </c>
      <c r="Z69" s="62">
        <f>IF('2023年'!$AZ69&gt;=SUM('2023年'!Z69:$AG69),'2023年'!Z69,IF('2023年'!$AZ69-SUM('2023年'!AA69:$AG69)&gt;0,'2023年'!$AZ69-SUM('2023年'!AA69:$AG69),0))</f>
        <v>0</v>
      </c>
      <c r="AA69" s="62"/>
      <c r="AB69" s="62"/>
      <c r="AC69" s="62"/>
      <c r="AD69" s="62"/>
      <c r="AE69" s="62"/>
      <c r="AF69" s="62"/>
      <c r="AG69" s="62"/>
      <c r="AH69" s="88"/>
      <c r="AI69" s="79"/>
      <c r="AJ69" s="80"/>
      <c r="AK69" s="86"/>
      <c r="AL69" s="87"/>
      <c r="AM69" s="83"/>
      <c r="AN69" s="84"/>
      <c r="AO69" s="84"/>
    </row>
    <row r="70" s="20" customFormat="1" ht="24" hidden="1" customHeight="1" spans="2:41">
      <c r="B70" s="48" t="s">
        <v>81</v>
      </c>
      <c r="C70" s="43" t="s">
        <v>238</v>
      </c>
      <c r="D70" s="43" t="str">
        <f>'2023年'!D70</f>
        <v>东莞市瑞元工程塑料有限公司</v>
      </c>
      <c r="E70" s="47">
        <v>30</v>
      </c>
      <c r="F70" s="45">
        <f>SUM(I70:Z70)</f>
        <v>0</v>
      </c>
      <c r="G70" s="46">
        <f>SUM(I70:X70)</f>
        <v>0</v>
      </c>
      <c r="H70" s="46">
        <f t="shared" si="31"/>
        <v>0</v>
      </c>
      <c r="I70" s="57"/>
      <c r="J70" s="58"/>
      <c r="K70" s="58"/>
      <c r="L70" s="58"/>
      <c r="M70" s="58"/>
      <c r="N70" s="58"/>
      <c r="O70" s="58"/>
      <c r="P70" s="58"/>
      <c r="Q70" s="58"/>
      <c r="R70" s="58"/>
      <c r="S70" s="58" t="str">
        <f>IF('2023年'!$AZ70&gt;('2023年'!P70+'2023年'!Q70+'2023年'!S70+'2023年'!T70+SUM('2023年'!V70:AG70))+'2023年'!O70+'2023年'!R70,'2023年'!O70+'2023年'!R70,IF('2023年'!$AZ70-SUM('2023年'!V70:AG70)-'2023年'!T70-'2023年'!S70-'2023年'!P70-'2023年'!Q70&gt;0,'2023年'!$AZ70-SUM('2023年'!V70:AG70)-'2023年'!T70-'2023年'!S70-'2023年'!P70-'2023年'!Q70,""))</f>
        <v/>
      </c>
      <c r="T70" s="58" t="str">
        <f>IF('2023年'!$AZ70&gt;('2023年'!$T70+'2023年'!$Q70+SUM('2023年'!V70:$AG70))+'2023年'!S70+'2023年'!P70,'2023年'!P70+'2023年'!S70,IF('2023年'!$AZ70-SUM('2023年'!V70:$AG70)-'2023年'!T70-'2023年'!Q70&gt;0,'2023年'!$AZ70-SUM('2023年'!V70:X70)-'2023年'!T70-'2023年'!Q70,""))</f>
        <v/>
      </c>
      <c r="U70" s="58" t="str">
        <f>IF('2023年'!$AZ70&gt;(SUM('2023年'!V70:AG70)+'2023年'!T70+'2023年'!Q70),'2023年'!Q70+'2023年'!T70,IF('2023年'!$AZ70-SUM('2023年'!V70:AG70)&gt;0,'2023年'!$AZ70-SUM('2023年'!V70:AG70),""))</f>
        <v/>
      </c>
      <c r="V70" s="61">
        <f>IF('2023年'!$AZ70&gt;=SUM('2023年'!V70:$AG70),'2023年'!V70,IF('2023年'!$AZ70-SUM('2023年'!W70:$AG70)&gt;0,'2023年'!$AZ70-SUM('2023年'!W70:$AG70),0))</f>
        <v>0</v>
      </c>
      <c r="W70" s="61">
        <f>IF('2023年'!$AZ70&gt;=SUM('2023年'!W70:$AG70),'2023年'!W70,IF('2023年'!$AZ70-SUM('2023年'!X70:$AG70)&gt;0,'2023年'!$AZ70-SUM('2023年'!X70:$AG70),0))</f>
        <v>0</v>
      </c>
      <c r="X70" s="61">
        <f>IF('2023年'!$AZ70&gt;=SUM('2023年'!X70:$AG70),'2023年'!X70,IF('2023年'!$AZ70-SUM('2023年'!Y70:$AG70)&gt;0,'2023年'!$AZ70-SUM('2023年'!Y70:$AG70),0))</f>
        <v>0</v>
      </c>
      <c r="Y70" s="62">
        <f>IF('2023年'!$AZ70&gt;=SUM('2023年'!Y70:$AG70),'2023年'!Y70,IF('2023年'!$AZ70-SUM('2023年'!Z70:$AG70)&gt;0,'2023年'!$AZ70-SUM('2023年'!Z70:$AG70),0))</f>
        <v>0</v>
      </c>
      <c r="Z70" s="62">
        <f>IF('2023年'!$AZ70&gt;=SUM('2023年'!Z70:$AG70),'2023年'!Z70,IF('2023年'!$AZ70-SUM('2023年'!AA70:$AG70)&gt;0,'2023年'!$AZ70-SUM('2023年'!AA70:$AG70),0))</f>
        <v>0</v>
      </c>
      <c r="AA70" s="62"/>
      <c r="AB70" s="62"/>
      <c r="AC70" s="62"/>
      <c r="AD70" s="62"/>
      <c r="AE70" s="62"/>
      <c r="AF70" s="62"/>
      <c r="AG70" s="62"/>
      <c r="AH70" s="88"/>
      <c r="AI70" s="79"/>
      <c r="AJ70" s="80"/>
      <c r="AK70" s="86"/>
      <c r="AL70" s="87"/>
      <c r="AM70" s="83"/>
      <c r="AN70" s="84"/>
      <c r="AO70" s="84"/>
    </row>
    <row r="71" s="20" customFormat="1" ht="24" hidden="1" customHeight="1" spans="2:41">
      <c r="B71" s="48" t="s">
        <v>81</v>
      </c>
      <c r="C71" s="90" t="s">
        <v>239</v>
      </c>
      <c r="D71" s="43" t="str">
        <f>'2023年'!D71</f>
        <v>上海锦湖日丽塑料有限公司</v>
      </c>
      <c r="E71" s="55" t="s">
        <v>96</v>
      </c>
      <c r="F71" s="45">
        <f>SUM(I71:V71)</f>
        <v>0</v>
      </c>
      <c r="G71" s="46">
        <f>SUM(I71:U71)</f>
        <v>0</v>
      </c>
      <c r="H71" s="46">
        <f t="shared" si="31"/>
        <v>0</v>
      </c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58" t="str">
        <f>IF('2023年'!$AZ71&gt;('2023年'!P71+'2023年'!Q71+'2023年'!S71+'2023年'!T71+SUM('2023年'!V71:AG71))+'2023年'!O71+'2023年'!R71,'2023年'!O71+'2023年'!R71,IF('2023年'!$AZ71-SUM('2023年'!V71:AG71)-'2023年'!T71-'2023年'!S71-'2023年'!P71-'2023年'!Q71&gt;0,'2023年'!$AZ71-SUM('2023年'!V71:AG71)-'2023年'!T71-'2023年'!S71-'2023年'!P71-'2023年'!Q71,""))</f>
        <v/>
      </c>
      <c r="T71" s="58" t="str">
        <f>IF('2023年'!$AZ71&gt;('2023年'!$T71+'2023年'!$Q71+SUM('2023年'!V71:$AG71))+'2023年'!S71+'2023年'!P71,'2023年'!P71+'2023年'!S71,IF('2023年'!$AZ71-SUM('2023年'!V71:$AG71)-'2023年'!T71-'2023年'!Q71&gt;0,'2023年'!$AZ71-SUM('2023年'!V71:X71)-'2023年'!T71-'2023年'!Q71,""))</f>
        <v/>
      </c>
      <c r="U71" s="58" t="str">
        <f>IF('2023年'!$AZ71&gt;(SUM('2023年'!V71:AG71)+'2023年'!T71+'2023年'!Q71),'2023年'!Q71+'2023年'!T71,IF('2023年'!$AZ71-SUM('2023年'!V71:AG71)&gt;0,'2023年'!$AZ71-SUM('2023年'!V71:AG71),""))</f>
        <v/>
      </c>
      <c r="V71" s="61">
        <f>IF('2023年'!$AZ71&gt;=SUM('2023年'!V71:$AG71),'2023年'!V71,IF('2023年'!$AZ71-SUM('2023年'!W71:$AG71)&gt;0,'2023年'!$AZ71-SUM('2023年'!W71:$AG71),0))</f>
        <v>0</v>
      </c>
      <c r="W71" s="61">
        <f>IF('2023年'!$AZ71&gt;=SUM('2023年'!W71:$AG71),'2023年'!W71,IF('2023年'!$AZ71-SUM('2023年'!X71:$AG71)&gt;0,'2023年'!$AZ71-SUM('2023年'!X71:$AG71),0))</f>
        <v>0</v>
      </c>
      <c r="X71" s="61">
        <f>IF('2023年'!$AZ71&gt;=SUM('2023年'!X71:$AG71),'2023年'!X71,IF('2023年'!$AZ71-SUM('2023年'!Y71:$AG71)&gt;0,'2023年'!$AZ71-SUM('2023年'!Y71:$AG71),0))</f>
        <v>0</v>
      </c>
      <c r="Y71" s="62">
        <f>IF('2023年'!$AZ71&gt;=SUM('2023年'!Y71:$AG71),'2023年'!Y71,IF('2023年'!$AZ71-SUM('2023年'!Z71:$AG71)&gt;0,'2023年'!$AZ71-SUM('2023年'!Z71:$AG71),0))</f>
        <v>0</v>
      </c>
      <c r="Z71" s="62">
        <f>IF('2023年'!$AZ71&gt;=SUM('2023年'!Z71:$AG71),'2023年'!Z71,IF('2023年'!$AZ71-SUM('2023年'!AA71:$AG71)&gt;0,'2023年'!$AZ71-SUM('2023年'!AA71:$AG71),0))</f>
        <v>0</v>
      </c>
      <c r="AA71" s="107"/>
      <c r="AB71" s="107"/>
      <c r="AC71" s="107"/>
      <c r="AD71" s="107"/>
      <c r="AE71" s="107"/>
      <c r="AF71" s="107"/>
      <c r="AG71" s="107"/>
      <c r="AH71" s="88"/>
      <c r="AI71" s="85"/>
      <c r="AJ71" s="109"/>
      <c r="AK71" s="86"/>
      <c r="AL71" s="87"/>
      <c r="AM71" s="83"/>
      <c r="AN71" s="84"/>
      <c r="AO71" s="84"/>
    </row>
    <row r="72" s="20" customFormat="1" ht="24" hidden="1" customHeight="1" spans="2:41">
      <c r="B72" s="48" t="s">
        <v>81</v>
      </c>
      <c r="C72" s="90" t="s">
        <v>226</v>
      </c>
      <c r="D72" s="43" t="str">
        <f>'2023年'!D72</f>
        <v>多宾城汽车部件（天津）有限公</v>
      </c>
      <c r="E72" s="55">
        <v>30</v>
      </c>
      <c r="F72" s="45">
        <f>SUM(I72:Z72)</f>
        <v>0</v>
      </c>
      <c r="G72" s="46">
        <f>SUM(I72:X72)</f>
        <v>0</v>
      </c>
      <c r="H72" s="46">
        <f t="shared" si="31"/>
        <v>0</v>
      </c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58" t="str">
        <f>IF('2023年'!$AZ72&gt;('2023年'!P72+'2023年'!Q72+'2023年'!S72+'2023年'!T72+SUM('2023年'!V72:AG72))+'2023年'!O72+'2023年'!R72,'2023年'!O72+'2023年'!R72,IF('2023年'!$AZ72-SUM('2023年'!V72:AG72)-'2023年'!T72-'2023年'!S72-'2023年'!P72-'2023年'!Q72&gt;0,'2023年'!$AZ72-SUM('2023年'!V72:AG72)-'2023年'!T72-'2023年'!S72-'2023年'!P72-'2023年'!Q72,""))</f>
        <v/>
      </c>
      <c r="T72" s="58" t="str">
        <f>IF('2023年'!$AZ72&gt;('2023年'!$T72+'2023年'!$Q72+SUM('2023年'!V72:$AG72))+'2023年'!S72+'2023年'!P72,'2023年'!P72+'2023年'!S72,IF('2023年'!$AZ72-SUM('2023年'!V72:$AG72)-'2023年'!T72-'2023年'!Q72&gt;0,'2023年'!$AZ72-SUM('2023年'!V72:X72)-'2023年'!T72-'2023年'!Q72,""))</f>
        <v/>
      </c>
      <c r="U72" s="58" t="str">
        <f>IF('2023年'!$AZ72&gt;(SUM('2023年'!V72:AG72)+'2023年'!T72+'2023年'!Q72),'2023年'!Q72+'2023年'!T72,IF('2023年'!$AZ72-SUM('2023年'!V72:AG72)&gt;0,'2023年'!$AZ72-SUM('2023年'!V72:AG72),""))</f>
        <v/>
      </c>
      <c r="V72" s="61">
        <f>IF('2023年'!$AZ72&gt;=SUM('2023年'!V72:$AG72),'2023年'!V72,IF('2023年'!$AZ72-SUM('2023年'!W72:$AG72)&gt;0,'2023年'!$AZ72-SUM('2023年'!W72:$AG72),0))</f>
        <v>0</v>
      </c>
      <c r="W72" s="61">
        <f>IF('2023年'!$AZ72&gt;=SUM('2023年'!W72:$AG72),'2023年'!W72,IF('2023年'!$AZ72-SUM('2023年'!X72:$AG72)&gt;0,'2023年'!$AZ72-SUM('2023年'!X72:$AG72),0))</f>
        <v>0</v>
      </c>
      <c r="X72" s="61">
        <f>IF('2023年'!$AZ72&gt;=SUM('2023年'!X72:$AG72),'2023年'!X72,IF('2023年'!$AZ72-SUM('2023年'!Y72:$AG72)&gt;0,'2023年'!$AZ72-SUM('2023年'!Y72:$AG72),0))</f>
        <v>0</v>
      </c>
      <c r="Y72" s="62">
        <f>IF('2023年'!$AZ72&gt;=SUM('2023年'!Y72:$AG72),'2023年'!Y72,IF('2023年'!$AZ72-SUM('2023年'!Z72:$AG72)&gt;0,'2023年'!$AZ72-SUM('2023年'!Z72:$AG72),0))</f>
        <v>0</v>
      </c>
      <c r="Z72" s="62">
        <f>IF('2023年'!$AZ72&gt;=SUM('2023年'!Z72:$AG72),'2023年'!Z72,IF('2023年'!$AZ72-SUM('2023年'!AA72:$AG72)&gt;0,'2023年'!$AZ72-SUM('2023年'!AA72:$AG72),0))</f>
        <v>0</v>
      </c>
      <c r="AA72" s="107"/>
      <c r="AB72" s="107"/>
      <c r="AC72" s="107"/>
      <c r="AD72" s="107"/>
      <c r="AE72" s="107"/>
      <c r="AF72" s="107"/>
      <c r="AG72" s="107"/>
      <c r="AH72" s="88"/>
      <c r="AI72" s="85"/>
      <c r="AJ72" s="109"/>
      <c r="AK72" s="86"/>
      <c r="AL72" s="87"/>
      <c r="AM72" s="83"/>
      <c r="AN72" s="84"/>
      <c r="AO72" s="84"/>
    </row>
    <row r="73" s="20" customFormat="1" ht="24" hidden="1" customHeight="1" spans="2:41">
      <c r="B73" s="48" t="s">
        <v>81</v>
      </c>
      <c r="C73" s="91"/>
      <c r="D73" s="43" t="str">
        <f>'2023年'!D73</f>
        <v>苏州智华汽车电子有限公司</v>
      </c>
      <c r="E73" s="47"/>
      <c r="F73" s="45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58" t="str">
        <f>IF('2023年'!$AZ73&gt;('2023年'!P73+'2023年'!Q73+'2023年'!S73+'2023年'!T73+SUM('2023年'!V73:AG73))+'2023年'!O73+'2023年'!R73,'2023年'!O73+'2023年'!R73,IF('2023年'!$AZ73-SUM('2023年'!V73:AG73)-'2023年'!T73-'2023年'!S73-'2023年'!P73-'2023年'!Q73&gt;0,'2023年'!$AZ73-SUM('2023年'!V73:AG73)-'2023年'!T73-'2023年'!S73-'2023年'!P73-'2023年'!Q73,""))</f>
        <v/>
      </c>
      <c r="T73" s="58" t="str">
        <f>IF('2023年'!$AZ73&gt;('2023年'!$T73+'2023年'!$Q73+SUM('2023年'!V73:$AG73))+'2023年'!S73+'2023年'!P73,'2023年'!P73+'2023年'!S73,IF('2023年'!$AZ73-SUM('2023年'!V73:$AG73)-'2023年'!T73-'2023年'!Q73&gt;0,'2023年'!$AZ73-SUM('2023年'!V73:X73)-'2023年'!T73-'2023年'!Q73,""))</f>
        <v/>
      </c>
      <c r="U73" s="58" t="str">
        <f>IF('2023年'!$AZ73&gt;(SUM('2023年'!V73:AG73)+'2023年'!T73+'2023年'!Q73),'2023年'!Q73+'2023年'!T73,IF('2023年'!$AZ73-SUM('2023年'!V73:AG73)&gt;0,'2023年'!$AZ73-SUM('2023年'!V73:AG73),""))</f>
        <v/>
      </c>
      <c r="V73" s="61">
        <f>IF('2023年'!$AZ73&gt;=SUM('2023年'!V73:$AG73),'2023年'!V73,IF('2023年'!$AZ73-SUM('2023年'!W73:$AG73)&gt;0,'2023年'!$AZ73-SUM('2023年'!W73:$AG73),0))</f>
        <v>0</v>
      </c>
      <c r="W73" s="61">
        <f>IF('2023年'!$AZ73&gt;=SUM('2023年'!W73:$AG73),'2023年'!W73,IF('2023年'!$AZ73-SUM('2023年'!X73:$AG73)&gt;0,'2023年'!$AZ73-SUM('2023年'!X73:$AG73),0))</f>
        <v>0</v>
      </c>
      <c r="X73" s="62">
        <f>IF('2023年'!$AZ73&gt;=SUM('2023年'!X73:$AG73),'2023年'!X73,IF('2023年'!$AZ73-SUM('2023年'!Y73:$AG73)&gt;0,'2023年'!$AZ73-SUM('2023年'!Y73:$AG73),0))</f>
        <v>0</v>
      </c>
      <c r="Y73" s="62">
        <f>IF('2023年'!$AZ73&gt;=SUM('2023年'!Y73:$AG73),'2023年'!Y73,IF('2023年'!$AZ73-SUM('2023年'!Z73:$AG73)&gt;0,'2023年'!$AZ73-SUM('2023年'!Z73:$AG73),0))</f>
        <v>0</v>
      </c>
      <c r="Z73" s="62">
        <f>IF('2023年'!$AZ73&gt;=SUM('2023年'!Z73:$AG73),'2023年'!Z73,IF('2023年'!$AZ73-SUM('2023年'!AA73:$AG73)&gt;0,'2023年'!$AZ73-SUM('2023年'!AA73:$AG73),0))</f>
        <v>0</v>
      </c>
      <c r="AA73" s="108"/>
      <c r="AB73" s="108"/>
      <c r="AC73" s="108"/>
      <c r="AD73" s="108"/>
      <c r="AE73" s="108"/>
      <c r="AF73" s="108"/>
      <c r="AG73" s="108"/>
      <c r="AH73" s="88"/>
      <c r="AI73" s="79"/>
      <c r="AJ73" s="80"/>
      <c r="AK73" s="86"/>
      <c r="AL73" s="87"/>
      <c r="AM73" s="83"/>
      <c r="AN73" s="84"/>
      <c r="AO73" s="84"/>
    </row>
    <row r="74" s="21" customFormat="1" ht="24" customHeight="1" spans="2:41">
      <c r="B74" s="92"/>
      <c r="C74" s="93"/>
      <c r="D74" s="94" t="s">
        <v>142</v>
      </c>
      <c r="E74" s="95"/>
      <c r="F74" s="96">
        <f>SUM(F5:F56)</f>
        <v>3607103.61</v>
      </c>
      <c r="G74" s="97">
        <f t="shared" ref="G74:AL74" si="34">SUM(G5:G56)</f>
        <v>993332.24</v>
      </c>
      <c r="H74" s="96">
        <f t="shared" si="34"/>
        <v>6306629.34</v>
      </c>
      <c r="I74" s="96">
        <f t="shared" si="34"/>
        <v>2518.39</v>
      </c>
      <c r="J74" s="96">
        <f t="shared" si="34"/>
        <v>34044.0600000001</v>
      </c>
      <c r="K74" s="96">
        <f t="shared" si="34"/>
        <v>5410.44</v>
      </c>
      <c r="L74" s="96">
        <f t="shared" si="34"/>
        <v>3986.64</v>
      </c>
      <c r="M74" s="104">
        <f t="shared" si="34"/>
        <v>0</v>
      </c>
      <c r="N74" s="104">
        <f t="shared" si="34"/>
        <v>21696</v>
      </c>
      <c r="O74" s="96">
        <f t="shared" si="34"/>
        <v>0</v>
      </c>
      <c r="P74" s="96">
        <f t="shared" si="34"/>
        <v>0</v>
      </c>
      <c r="Q74" s="96">
        <f t="shared" si="34"/>
        <v>42809.4299999999</v>
      </c>
      <c r="R74" s="96">
        <f t="shared" si="34"/>
        <v>82291.12</v>
      </c>
      <c r="S74" s="96">
        <f t="shared" si="34"/>
        <v>150642.21</v>
      </c>
      <c r="T74" s="96">
        <f t="shared" si="34"/>
        <v>296339.27</v>
      </c>
      <c r="U74" s="96">
        <f t="shared" si="34"/>
        <v>71134.6900000001</v>
      </c>
      <c r="V74" s="96">
        <f t="shared" si="34"/>
        <v>113627.15</v>
      </c>
      <c r="W74" s="96">
        <f t="shared" si="34"/>
        <v>472331.56</v>
      </c>
      <c r="X74" s="96">
        <f t="shared" si="34"/>
        <v>1334412.57</v>
      </c>
      <c r="Y74" s="96">
        <f t="shared" si="34"/>
        <v>2716800.54</v>
      </c>
      <c r="Z74" s="96">
        <f t="shared" si="34"/>
        <v>958585.27</v>
      </c>
      <c r="AA74" s="104">
        <f t="shared" si="34"/>
        <v>0</v>
      </c>
      <c r="AB74" s="104">
        <f t="shared" si="34"/>
        <v>0</v>
      </c>
      <c r="AC74" s="104">
        <f t="shared" si="34"/>
        <v>0</v>
      </c>
      <c r="AD74" s="104">
        <f t="shared" si="34"/>
        <v>0</v>
      </c>
      <c r="AE74" s="104">
        <f t="shared" si="34"/>
        <v>0</v>
      </c>
      <c r="AF74" s="104">
        <f t="shared" si="34"/>
        <v>0</v>
      </c>
      <c r="AG74" s="104">
        <f t="shared" si="34"/>
        <v>0</v>
      </c>
      <c r="AH74" s="96">
        <f t="shared" si="34"/>
        <v>0</v>
      </c>
      <c r="AI74" s="96">
        <f t="shared" si="34"/>
        <v>0.23</v>
      </c>
      <c r="AJ74" s="96">
        <f t="shared" si="34"/>
        <v>0</v>
      </c>
      <c r="AK74" s="96">
        <f t="shared" si="34"/>
        <v>0</v>
      </c>
      <c r="AL74" s="96">
        <f t="shared" si="34"/>
        <v>0</v>
      </c>
      <c r="AM74" s="83">
        <f>SUM(AM5:AM72)</f>
        <v>226596.18</v>
      </c>
      <c r="AN74" s="83">
        <f>SUM(AN5:AN72)</f>
        <v>590885.74</v>
      </c>
      <c r="AO74" s="83">
        <f>SUM(AO5:AO72)</f>
        <v>326000</v>
      </c>
    </row>
    <row r="75" customHeight="1" spans="5:40">
      <c r="E75" s="98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>
        <f t="shared" ref="S75:AC75" si="35">SUM(S5:S26)</f>
        <v>150642.21</v>
      </c>
      <c r="T75" s="99">
        <f t="shared" si="35"/>
        <v>296339.27</v>
      </c>
      <c r="U75" s="99">
        <f t="shared" si="35"/>
        <v>68874.6900000001</v>
      </c>
      <c r="V75" s="105">
        <f t="shared" si="35"/>
        <v>99831.28</v>
      </c>
      <c r="W75" s="105">
        <f t="shared" si="35"/>
        <v>211740.81</v>
      </c>
      <c r="X75" s="99">
        <f t="shared" si="35"/>
        <v>644683.18</v>
      </c>
      <c r="Y75" s="99">
        <f t="shared" si="35"/>
        <v>1022395.73</v>
      </c>
      <c r="Z75" s="99">
        <f t="shared" si="35"/>
        <v>810508.11</v>
      </c>
      <c r="AA75" s="99">
        <f t="shared" si="35"/>
        <v>0</v>
      </c>
      <c r="AB75" s="99">
        <f t="shared" si="35"/>
        <v>0</v>
      </c>
      <c r="AC75" s="99">
        <f t="shared" si="35"/>
        <v>0</v>
      </c>
      <c r="AD75" s="99"/>
      <c r="AE75" s="99"/>
      <c r="AF75" s="99"/>
      <c r="AG75" s="99">
        <f>SUM(AG5:AG26)</f>
        <v>0</v>
      </c>
      <c r="AH75" s="99">
        <f t="shared" ref="AH75:AJ75" si="36">SUM(AH5:AH23)</f>
        <v>0</v>
      </c>
      <c r="AI75" s="99">
        <f t="shared" si="36"/>
        <v>0</v>
      </c>
      <c r="AJ75" s="99">
        <f t="shared" si="36"/>
        <v>0</v>
      </c>
      <c r="AK75" s="110"/>
      <c r="AN75" s="89"/>
    </row>
    <row r="76" customHeight="1"/>
    <row r="77" ht="15.6" spans="4:33">
      <c r="D77" s="100" t="s">
        <v>143</v>
      </c>
      <c r="E77" s="101"/>
      <c r="S77" s="100"/>
      <c r="T77" s="100">
        <f>'2023年'!P29+'2023年'!S29</f>
        <v>19790.82</v>
      </c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</row>
    <row r="78" spans="23:33"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</row>
    <row r="88" s="22" customFormat="1" spans="5:41">
      <c r="E88" s="102"/>
      <c r="AM88" s="26"/>
      <c r="AN88" s="26"/>
      <c r="AO88" s="26"/>
    </row>
    <row r="91" s="22" customFormat="1" spans="5:41">
      <c r="E91" s="102"/>
      <c r="AM91" s="26"/>
      <c r="AN91" s="26"/>
      <c r="AO91" s="26"/>
    </row>
  </sheetData>
  <autoFilter ref="B4:AO75">
    <extLst/>
  </autoFilter>
  <mergeCells count="41">
    <mergeCell ref="B1:AO1"/>
    <mergeCell ref="S2:AG2"/>
    <mergeCell ref="AH2:AJ2"/>
    <mergeCell ref="B2:B4"/>
    <mergeCell ref="C2:C4"/>
    <mergeCell ref="D2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B3:AB4"/>
    <mergeCell ref="AC3:AC4"/>
    <mergeCell ref="AD3:AD4"/>
    <mergeCell ref="AE3:AE4"/>
    <mergeCell ref="AF3:AF4"/>
    <mergeCell ref="AG3:AG4"/>
    <mergeCell ref="AH3:AH4"/>
    <mergeCell ref="AK2:AK4"/>
    <mergeCell ref="AL2:AL4"/>
    <mergeCell ref="AM2:AM4"/>
    <mergeCell ref="AN2:AN4"/>
    <mergeCell ref="AO2:AO4"/>
  </mergeCells>
  <conditionalFormatting sqref="D74:D1048576 C5:C12 C13:D28 D2:D12">
    <cfRule type="duplicateValues" dxfId="0" priority="5"/>
    <cfRule type="duplicateValues" dxfId="0" priority="23"/>
  </conditionalFormatting>
  <conditionalFormatting sqref="C29:D55 C56:C70 D56:D73">
    <cfRule type="duplicateValues" dxfId="0" priority="1"/>
    <cfRule type="duplicateValues" dxfId="0" priority="2"/>
  </conditionalFormatting>
  <conditionalFormatting sqref="S76:AG1048576">
    <cfRule type="duplicateValues" dxfId="0" priority="2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Sheet1</vt:lpstr>
      <vt:lpstr>2020年</vt:lpstr>
      <vt:lpstr>2021年</vt:lpstr>
      <vt:lpstr>2021年 (2)</vt:lpstr>
      <vt:lpstr>2021年11</vt:lpstr>
      <vt:lpstr>2021年12</vt:lpstr>
      <vt:lpstr>2022年</vt:lpstr>
      <vt:lpstr>2023年</vt:lpstr>
      <vt:lpstr>2023年应付</vt:lpstr>
      <vt:lpstr>Sheet3</vt:lpstr>
      <vt:lpstr>发票金额</vt:lpstr>
      <vt:lpstr>付款金额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xb21cn</dc:creator>
  <cp:lastModifiedBy>Lenovo</cp:lastModifiedBy>
  <dcterms:created xsi:type="dcterms:W3CDTF">2020-02-19T02:04:00Z</dcterms:created>
  <dcterms:modified xsi:type="dcterms:W3CDTF">2023-06-30T03:08:44Z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8375E8CCEAD24E47924AF73B9EADBCC9_13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