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J6P经典版立项\"/>
    </mc:Choice>
  </mc:AlternateContent>
  <bookViews>
    <workbookView xWindow="0" yWindow="300" windowWidth="18525" windowHeight="6390" tabRatio="810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7" r:id="rId6"/>
    <sheet name="2026年" sheetId="58" r:id="rId7"/>
    <sheet name="2027年" sheetId="59" r:id="rId8"/>
    <sheet name="2028年" sheetId="60" r:id="rId9"/>
    <sheet name="项目投资" sheetId="51" r:id="rId10"/>
    <sheet name="销量" sheetId="55" r:id="rId11"/>
    <sheet name="材料成本" sheetId="53" r:id="rId12"/>
    <sheet name="其他" sheetId="54" r:id="rId13"/>
    <sheet name="标准成本" sheetId="50" r:id="rId14"/>
  </sheets>
  <externalReferences>
    <externalReference r:id="rId15"/>
  </externalReferences>
  <definedNames>
    <definedName name="_xlnm.Print_Area" localSheetId="3">'2023年'!$A$1:$I$48</definedName>
    <definedName name="_xlnm.Print_Area" localSheetId="4">'2024年'!$A$1:$I$48</definedName>
    <definedName name="_xlnm.Print_Area" localSheetId="5">'2025年'!$A$1:$I$48</definedName>
    <definedName name="_xlnm.Print_Area" localSheetId="6">'2026年'!$A$1:$I$48</definedName>
    <definedName name="_xlnm.Print_Area" localSheetId="7">'2027年'!$A$1:$I$48</definedName>
    <definedName name="_xlnm.Print_Area" localSheetId="8">'2028年'!$A$1:$I$48</definedName>
    <definedName name="_xlnm.Print_Area" localSheetId="1">损益表!$A$1:$I$61</definedName>
    <definedName name="_xlnm.Print_Area" localSheetId="9">项目投资!$A$1:$C$35</definedName>
  </definedNames>
  <calcPr calcId="162913"/>
</workbook>
</file>

<file path=xl/calcChain.xml><?xml version="1.0" encoding="utf-8"?>
<calcChain xmlns="http://schemas.openxmlformats.org/spreadsheetml/2006/main">
  <c r="H60" i="2" l="1"/>
  <c r="G60" i="2"/>
  <c r="H3" i="2"/>
  <c r="H4" i="2"/>
  <c r="H5" i="2"/>
  <c r="H6" i="2"/>
  <c r="H8" i="2"/>
  <c r="H9" i="2"/>
  <c r="H10" i="2"/>
  <c r="H11" i="2"/>
  <c r="H14" i="2"/>
  <c r="H16" i="2"/>
  <c r="H17" i="2"/>
  <c r="H18" i="2"/>
  <c r="H19" i="2"/>
  <c r="H20" i="2"/>
  <c r="G3" i="2"/>
  <c r="G4" i="2"/>
  <c r="G5" i="2"/>
  <c r="G6" i="2"/>
  <c r="G8" i="2"/>
  <c r="G48" i="2" s="1"/>
  <c r="G9" i="2"/>
  <c r="G10" i="2"/>
  <c r="G11" i="2"/>
  <c r="G14" i="2"/>
  <c r="G16" i="2"/>
  <c r="G17" i="2"/>
  <c r="G49" i="2" s="1"/>
  <c r="G18" i="2"/>
  <c r="G19" i="2"/>
  <c r="G20" i="2"/>
  <c r="G43" i="2"/>
  <c r="G35" i="2"/>
  <c r="G51" i="2"/>
  <c r="G50" i="2"/>
  <c r="G47" i="2"/>
  <c r="G41" i="2"/>
  <c r="G29" i="2"/>
  <c r="G36" i="2"/>
  <c r="I21" i="60"/>
  <c r="I21" i="59"/>
  <c r="I21" i="58"/>
  <c r="I21" i="57"/>
  <c r="I21" i="56"/>
  <c r="D72" i="50"/>
  <c r="D73" i="50"/>
  <c r="D74" i="50"/>
  <c r="D75" i="50"/>
  <c r="D76" i="50"/>
  <c r="D77" i="50"/>
  <c r="D78" i="50"/>
  <c r="D71" i="50"/>
  <c r="D59" i="50"/>
  <c r="D60" i="50"/>
  <c r="D61" i="50"/>
  <c r="D62" i="50"/>
  <c r="D63" i="50"/>
  <c r="D64" i="50"/>
  <c r="D65" i="50"/>
  <c r="D58" i="50"/>
  <c r="D46" i="50"/>
  <c r="D47" i="50"/>
  <c r="D48" i="50"/>
  <c r="D49" i="50"/>
  <c r="D50" i="50"/>
  <c r="D51" i="50"/>
  <c r="D52" i="50"/>
  <c r="D45" i="50"/>
  <c r="D33" i="50"/>
  <c r="D34" i="50"/>
  <c r="D35" i="50"/>
  <c r="D36" i="50"/>
  <c r="D37" i="50"/>
  <c r="D38" i="50"/>
  <c r="D39" i="50"/>
  <c r="D32" i="50"/>
  <c r="D19" i="50"/>
  <c r="D20" i="50"/>
  <c r="D21" i="50"/>
  <c r="D22" i="50"/>
  <c r="D23" i="50"/>
  <c r="D24" i="50"/>
  <c r="D25" i="50"/>
  <c r="D18" i="50"/>
  <c r="I18" i="60"/>
  <c r="I18" i="59"/>
  <c r="I18" i="58"/>
  <c r="I18" i="57"/>
  <c r="I18" i="56"/>
  <c r="G34" i="2" l="1"/>
  <c r="G42" i="2"/>
  <c r="E8" i="60"/>
  <c r="D8" i="60"/>
  <c r="C8" i="60"/>
  <c r="E6" i="60"/>
  <c r="D6" i="60"/>
  <c r="D7" i="60" s="1"/>
  <c r="C6" i="60"/>
  <c r="C47" i="60"/>
  <c r="C45" i="60"/>
  <c r="C44" i="60"/>
  <c r="C43" i="60"/>
  <c r="C38" i="60"/>
  <c r="C37" i="60"/>
  <c r="C36" i="60"/>
  <c r="G33" i="60"/>
  <c r="F33" i="60"/>
  <c r="H31" i="60"/>
  <c r="G31" i="60"/>
  <c r="F31" i="60"/>
  <c r="E31" i="60"/>
  <c r="D31" i="60"/>
  <c r="C31" i="60"/>
  <c r="H20" i="60"/>
  <c r="C19" i="60"/>
  <c r="H13" i="60"/>
  <c r="C13" i="60"/>
  <c r="C12" i="60"/>
  <c r="H11" i="60"/>
  <c r="H14" i="60" s="1"/>
  <c r="G10" i="60"/>
  <c r="G8" i="60"/>
  <c r="H7" i="60"/>
  <c r="H8" i="60" s="1"/>
  <c r="G7" i="60"/>
  <c r="H6" i="60"/>
  <c r="H12" i="60" s="1"/>
  <c r="G6" i="60"/>
  <c r="F6" i="60"/>
  <c r="H4" i="60"/>
  <c r="G4" i="60"/>
  <c r="F4" i="60"/>
  <c r="E4" i="60"/>
  <c r="D4" i="60"/>
  <c r="C4" i="60"/>
  <c r="H3" i="60"/>
  <c r="G3" i="60"/>
  <c r="F3" i="60"/>
  <c r="E3" i="60"/>
  <c r="D3" i="60"/>
  <c r="C3" i="60"/>
  <c r="C2" i="60"/>
  <c r="L11" i="55"/>
  <c r="M11" i="55" s="1"/>
  <c r="I21" i="53"/>
  <c r="J21" i="53"/>
  <c r="I22" i="53"/>
  <c r="J22" i="53" s="1"/>
  <c r="D9" i="60" l="1"/>
  <c r="H9" i="60"/>
  <c r="E7" i="60"/>
  <c r="H19" i="60"/>
  <c r="C20" i="60"/>
  <c r="C11" i="60"/>
  <c r="C7" i="60"/>
  <c r="C22" i="60"/>
  <c r="F10" i="60"/>
  <c r="F7" i="60"/>
  <c r="I6" i="60"/>
  <c r="D18" i="60" s="1"/>
  <c r="G9" i="60"/>
  <c r="H22" i="60"/>
  <c r="G21" i="60" l="1"/>
  <c r="G46" i="60" s="1"/>
  <c r="E18" i="60"/>
  <c r="G18" i="60"/>
  <c r="C21" i="60"/>
  <c r="C46" i="60" s="1"/>
  <c r="F18" i="60"/>
  <c r="G32" i="60"/>
  <c r="G34" i="60" s="1"/>
  <c r="F8" i="60"/>
  <c r="F9" i="60" s="1"/>
  <c r="I7" i="60"/>
  <c r="C9" i="60"/>
  <c r="D32" i="60"/>
  <c r="E9" i="60"/>
  <c r="E21" i="60"/>
  <c r="E46" i="60" s="1"/>
  <c r="H18" i="60"/>
  <c r="H17" i="60" s="1"/>
  <c r="F21" i="60"/>
  <c r="F46" i="60" s="1"/>
  <c r="C18" i="60"/>
  <c r="C17" i="60" s="1"/>
  <c r="C14" i="60"/>
  <c r="D21" i="60"/>
  <c r="H21" i="60"/>
  <c r="H46" i="60" s="1"/>
  <c r="H15" i="60"/>
  <c r="H32" i="60"/>
  <c r="H34" i="60" s="1"/>
  <c r="H40" i="60" s="1"/>
  <c r="C23" i="60" l="1"/>
  <c r="F32" i="60"/>
  <c r="F34" i="60" s="1"/>
  <c r="H48" i="60"/>
  <c r="D46" i="60"/>
  <c r="E32" i="60"/>
  <c r="C32" i="60"/>
  <c r="I9" i="60"/>
  <c r="H16" i="60"/>
  <c r="H23" i="60"/>
  <c r="H24" i="60" s="1"/>
  <c r="I8" i="60"/>
  <c r="H25" i="60" l="1"/>
  <c r="H26" i="60" s="1"/>
  <c r="H27" i="60" s="1"/>
  <c r="G27" i="51" l="1"/>
  <c r="H27" i="51"/>
  <c r="I27" i="51" s="1"/>
  <c r="I28" i="51" s="1"/>
  <c r="G28" i="51"/>
  <c r="H28" i="51"/>
  <c r="E27" i="51"/>
  <c r="D27" i="51"/>
  <c r="G26" i="51"/>
  <c r="H26" i="51"/>
  <c r="I26" i="51"/>
  <c r="E26" i="51"/>
  <c r="D26" i="51"/>
  <c r="H18" i="51"/>
  <c r="G18" i="51"/>
  <c r="I7" i="51" l="1"/>
  <c r="I8" i="51"/>
  <c r="I9" i="51"/>
  <c r="I10" i="51"/>
  <c r="I11" i="51"/>
  <c r="I12" i="51"/>
  <c r="I13" i="51"/>
  <c r="I14" i="51"/>
  <c r="I15" i="51"/>
  <c r="I16" i="51"/>
  <c r="I17" i="51"/>
  <c r="I18" i="51"/>
  <c r="I19" i="51"/>
  <c r="I20" i="51"/>
  <c r="I21" i="51"/>
  <c r="I6" i="51"/>
  <c r="G22" i="51"/>
  <c r="H22" i="51"/>
  <c r="C43" i="50" l="1"/>
  <c r="C56" i="50"/>
  <c r="C69" i="50"/>
  <c r="E74" i="50"/>
  <c r="E61" i="50"/>
  <c r="E48" i="50"/>
  <c r="E35" i="50"/>
  <c r="E21" i="50"/>
  <c r="C30" i="50"/>
  <c r="C16" i="50"/>
  <c r="C15" i="55" l="1"/>
  <c r="F17" i="55" l="1"/>
  <c r="F18" i="55" s="1"/>
  <c r="G17" i="55"/>
  <c r="G18" i="55" s="1"/>
  <c r="H3" i="50"/>
  <c r="H17" i="50"/>
  <c r="H31" i="50"/>
  <c r="H44" i="50"/>
  <c r="H57" i="50"/>
  <c r="C6" i="58"/>
  <c r="C7" i="58" s="1"/>
  <c r="D6" i="58"/>
  <c r="D7" i="58" s="1"/>
  <c r="E6" i="58"/>
  <c r="E7" i="58" s="1"/>
  <c r="F6" i="58"/>
  <c r="G6" i="58"/>
  <c r="H6" i="58"/>
  <c r="H11" i="58" s="1"/>
  <c r="C6" i="57"/>
  <c r="D6" i="57"/>
  <c r="D7" i="57" s="1"/>
  <c r="E6" i="57"/>
  <c r="E7" i="57" s="1"/>
  <c r="F6" i="57"/>
  <c r="G6" i="57"/>
  <c r="D5" i="50"/>
  <c r="C43" i="43" s="1"/>
  <c r="H70" i="50"/>
  <c r="D12" i="53"/>
  <c r="C16" i="55" s="1"/>
  <c r="C17" i="55" s="1"/>
  <c r="C18" i="55" s="1"/>
  <c r="F12" i="53"/>
  <c r="E16" i="55" s="1"/>
  <c r="E17" i="55" s="1"/>
  <c r="E18" i="55" s="1"/>
  <c r="G12" i="53"/>
  <c r="H12" i="53"/>
  <c r="E22" i="53" s="1"/>
  <c r="J12" i="53"/>
  <c r="E7" i="50"/>
  <c r="D6" i="59"/>
  <c r="D7" i="59" s="1"/>
  <c r="E6" i="59"/>
  <c r="F6" i="59"/>
  <c r="F7" i="59" s="1"/>
  <c r="G6" i="59"/>
  <c r="H6" i="59"/>
  <c r="H22" i="59" s="1"/>
  <c r="C6" i="59"/>
  <c r="C7" i="59" s="1"/>
  <c r="I8" i="43"/>
  <c r="G75" i="50"/>
  <c r="G74" i="50"/>
  <c r="G62" i="50"/>
  <c r="G61" i="50"/>
  <c r="G49" i="50"/>
  <c r="G48" i="50"/>
  <c r="G36" i="50"/>
  <c r="G35" i="50"/>
  <c r="G22" i="50"/>
  <c r="G21" i="50"/>
  <c r="D3" i="59"/>
  <c r="E3" i="59"/>
  <c r="F3" i="59"/>
  <c r="G3" i="59"/>
  <c r="H3" i="59"/>
  <c r="D4" i="59"/>
  <c r="E4" i="59"/>
  <c r="F4" i="59"/>
  <c r="G4" i="59"/>
  <c r="H4" i="59"/>
  <c r="D31" i="59"/>
  <c r="E31" i="59"/>
  <c r="F31" i="59"/>
  <c r="G31" i="59"/>
  <c r="H31" i="59"/>
  <c r="D3" i="58"/>
  <c r="E3" i="58"/>
  <c r="F3" i="58"/>
  <c r="G3" i="58"/>
  <c r="H3" i="58"/>
  <c r="D4" i="58"/>
  <c r="E4" i="58"/>
  <c r="F4" i="58"/>
  <c r="G4" i="58"/>
  <c r="H4" i="58"/>
  <c r="D31" i="58"/>
  <c r="E31" i="58"/>
  <c r="F31" i="58"/>
  <c r="G31" i="58"/>
  <c r="H31" i="58"/>
  <c r="D3" i="57"/>
  <c r="E3" i="57"/>
  <c r="F3" i="57"/>
  <c r="G3" i="57"/>
  <c r="H3" i="57"/>
  <c r="D4" i="57"/>
  <c r="E4" i="57"/>
  <c r="F4" i="57"/>
  <c r="G4" i="57"/>
  <c r="H4" i="57"/>
  <c r="H6" i="57"/>
  <c r="H7" i="57" s="1"/>
  <c r="D31" i="57"/>
  <c r="E31" i="57"/>
  <c r="F31" i="57"/>
  <c r="G31" i="57"/>
  <c r="H31" i="57"/>
  <c r="D31" i="56"/>
  <c r="E31" i="56"/>
  <c r="F31" i="56"/>
  <c r="G31" i="56"/>
  <c r="H31" i="56"/>
  <c r="D3" i="56"/>
  <c r="E3" i="56"/>
  <c r="F3" i="56"/>
  <c r="G3" i="56"/>
  <c r="H3" i="56"/>
  <c r="D4" i="56"/>
  <c r="E4" i="56"/>
  <c r="F4" i="56"/>
  <c r="G4" i="56"/>
  <c r="H4" i="56"/>
  <c r="D6" i="56"/>
  <c r="D7" i="56" s="1"/>
  <c r="E6" i="56"/>
  <c r="E7" i="56" s="1"/>
  <c r="F6" i="56"/>
  <c r="G6" i="56"/>
  <c r="H6" i="56"/>
  <c r="H7" i="56" s="1"/>
  <c r="I4" i="53"/>
  <c r="I5" i="53"/>
  <c r="E4" i="53"/>
  <c r="C19" i="53" s="1"/>
  <c r="F4" i="53"/>
  <c r="C20" i="53" s="1"/>
  <c r="G4" i="53"/>
  <c r="C21" i="53" s="1"/>
  <c r="H4" i="53"/>
  <c r="C22" i="53" s="1"/>
  <c r="E5" i="53"/>
  <c r="D19" i="53" s="1"/>
  <c r="F5" i="53"/>
  <c r="D20" i="53" s="1"/>
  <c r="G5" i="53"/>
  <c r="D21" i="53" s="1"/>
  <c r="H5" i="53"/>
  <c r="D22" i="53" s="1"/>
  <c r="D5" i="53"/>
  <c r="D18" i="53" s="1"/>
  <c r="D4" i="53"/>
  <c r="C18" i="53" s="1"/>
  <c r="E7" i="59"/>
  <c r="H12" i="59"/>
  <c r="G7" i="58"/>
  <c r="H12" i="56"/>
  <c r="H13" i="59"/>
  <c r="F7" i="56"/>
  <c r="H7" i="58"/>
  <c r="G7" i="57"/>
  <c r="D31" i="43"/>
  <c r="D32" i="43" s="1"/>
  <c r="E31" i="43"/>
  <c r="E32" i="43" s="1"/>
  <c r="F31" i="43"/>
  <c r="F32" i="43"/>
  <c r="G31" i="43"/>
  <c r="G32" i="43" s="1"/>
  <c r="H31" i="43"/>
  <c r="H32" i="43"/>
  <c r="H34" i="43" s="1"/>
  <c r="D6" i="43"/>
  <c r="D7" i="43" s="1"/>
  <c r="D9" i="43" s="1"/>
  <c r="E6" i="43"/>
  <c r="E7" i="43" s="1"/>
  <c r="E9" i="43" s="1"/>
  <c r="F6" i="43"/>
  <c r="G6" i="43"/>
  <c r="H6" i="43"/>
  <c r="H7" i="43" s="1"/>
  <c r="H9" i="43" s="1"/>
  <c r="E3" i="43"/>
  <c r="F3" i="43"/>
  <c r="G3" i="43"/>
  <c r="H3" i="43"/>
  <c r="E4" i="43"/>
  <c r="F4" i="43"/>
  <c r="G4" i="43"/>
  <c r="H4" i="43"/>
  <c r="D4" i="43"/>
  <c r="D3" i="43"/>
  <c r="L7" i="55"/>
  <c r="L8" i="55" s="1"/>
  <c r="I10" i="55"/>
  <c r="I11" i="55"/>
  <c r="I12" i="55"/>
  <c r="I13" i="55"/>
  <c r="I14" i="55"/>
  <c r="D15" i="55"/>
  <c r="E15" i="55"/>
  <c r="F15" i="55"/>
  <c r="G15" i="55"/>
  <c r="H15" i="55"/>
  <c r="G7" i="43"/>
  <c r="G9" i="43" s="1"/>
  <c r="H19" i="43"/>
  <c r="C2" i="59"/>
  <c r="C2" i="58"/>
  <c r="C2" i="57"/>
  <c r="C2" i="56"/>
  <c r="G7" i="50"/>
  <c r="C4" i="59"/>
  <c r="C3" i="59"/>
  <c r="C4" i="58"/>
  <c r="C3" i="58"/>
  <c r="C4" i="57"/>
  <c r="C3" i="57"/>
  <c r="C3" i="56"/>
  <c r="C4" i="56"/>
  <c r="C3" i="43"/>
  <c r="C4" i="43"/>
  <c r="B9" i="51"/>
  <c r="C31" i="59"/>
  <c r="C31" i="58"/>
  <c r="C31" i="57"/>
  <c r="C6" i="56"/>
  <c r="C7" i="56" s="1"/>
  <c r="C31" i="56"/>
  <c r="C7" i="57"/>
  <c r="H20" i="58"/>
  <c r="B5" i="51"/>
  <c r="G8" i="50"/>
  <c r="E21" i="53"/>
  <c r="F21" i="53" s="1"/>
  <c r="G21" i="53" s="1"/>
  <c r="H21" i="53" s="1"/>
  <c r="E20" i="53"/>
  <c r="F20" i="53" s="1"/>
  <c r="G20" i="53" s="1"/>
  <c r="H20" i="53" s="1"/>
  <c r="I20" i="53" s="1"/>
  <c r="E12" i="53"/>
  <c r="D16" i="55" s="1"/>
  <c r="D17" i="55" s="1"/>
  <c r="D18" i="55" s="1"/>
  <c r="I9" i="55"/>
  <c r="I22" i="51"/>
  <c r="B27" i="51"/>
  <c r="C56" i="2"/>
  <c r="B8" i="51"/>
  <c r="B10" i="51" s="1"/>
  <c r="B7" i="51"/>
  <c r="C31" i="43"/>
  <c r="C32" i="43" s="1"/>
  <c r="C6" i="43"/>
  <c r="C7" i="43" s="1"/>
  <c r="C9" i="43" s="1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E10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K5" i="36" s="1"/>
  <c r="K17" i="36" s="1"/>
  <c r="K19" i="36" s="1"/>
  <c r="J6" i="36"/>
  <c r="I6" i="36"/>
  <c r="I5" i="36" s="1"/>
  <c r="I17" i="36" s="1"/>
  <c r="I19" i="36" s="1"/>
  <c r="E6" i="36"/>
  <c r="E5" i="36"/>
  <c r="J5" i="36"/>
  <c r="J17" i="36" s="1"/>
  <c r="J19" i="36" s="1"/>
  <c r="D5" i="36"/>
  <c r="C5" i="36"/>
  <c r="D4" i="36"/>
  <c r="E4" i="36"/>
  <c r="F4" i="36"/>
  <c r="G4" i="36"/>
  <c r="H4" i="36"/>
  <c r="I4" i="36"/>
  <c r="J4" i="36"/>
  <c r="K4" i="36"/>
  <c r="L4" i="36"/>
  <c r="C5" i="2"/>
  <c r="K10" i="36"/>
  <c r="F33" i="43"/>
  <c r="F34" i="43" s="1"/>
  <c r="M6" i="36"/>
  <c r="G10" i="36"/>
  <c r="J10" i="36"/>
  <c r="C10" i="36"/>
  <c r="M15" i="36"/>
  <c r="C17" i="36"/>
  <c r="M7" i="36"/>
  <c r="M12" i="36"/>
  <c r="H10" i="36"/>
  <c r="D10" i="36"/>
  <c r="D17" i="36"/>
  <c r="M5" i="36"/>
  <c r="M11" i="36"/>
  <c r="F10" i="36"/>
  <c r="I10" i="36"/>
  <c r="L10" i="36"/>
  <c r="F18" i="2"/>
  <c r="M13" i="36"/>
  <c r="E17" i="36"/>
  <c r="E19" i="36" s="1"/>
  <c r="M14" i="36"/>
  <c r="E23" i="36"/>
  <c r="C18" i="36"/>
  <c r="D18" i="36"/>
  <c r="E18" i="36"/>
  <c r="C19" i="36"/>
  <c r="M10" i="36"/>
  <c r="D19" i="36"/>
  <c r="I21" i="43"/>
  <c r="F27" i="51"/>
  <c r="C20" i="36"/>
  <c r="D20" i="36"/>
  <c r="D18" i="2"/>
  <c r="E18" i="2"/>
  <c r="C18" i="2"/>
  <c r="J20" i="53" l="1"/>
  <c r="E10" i="59"/>
  <c r="E34" i="43"/>
  <c r="E33" i="43"/>
  <c r="E33" i="56"/>
  <c r="E19" i="53"/>
  <c r="F19" i="53" s="1"/>
  <c r="G19" i="53" s="1"/>
  <c r="H19" i="53" s="1"/>
  <c r="I19" i="53" s="1"/>
  <c r="I23" i="36"/>
  <c r="E20" i="36"/>
  <c r="M19" i="36"/>
  <c r="I22" i="36"/>
  <c r="M17" i="36"/>
  <c r="E22" i="36"/>
  <c r="H12" i="57"/>
  <c r="H13" i="57"/>
  <c r="H11" i="57"/>
  <c r="H22" i="57"/>
  <c r="H19" i="57"/>
  <c r="E10" i="43"/>
  <c r="H20" i="59"/>
  <c r="H20" i="57"/>
  <c r="H12" i="58"/>
  <c r="H19" i="56"/>
  <c r="H11" i="56"/>
  <c r="H14" i="56" s="1"/>
  <c r="H19" i="59"/>
  <c r="H22" i="56"/>
  <c r="H22" i="58"/>
  <c r="H13" i="56"/>
  <c r="H7" i="59"/>
  <c r="H19" i="58"/>
  <c r="D8" i="50"/>
  <c r="C45" i="43" s="1"/>
  <c r="H37" i="43"/>
  <c r="H12" i="43" s="1"/>
  <c r="G47" i="43"/>
  <c r="G47" i="60" s="1"/>
  <c r="G22" i="60" s="1"/>
  <c r="G45" i="43"/>
  <c r="G43" i="43"/>
  <c r="F36" i="43"/>
  <c r="E44" i="43"/>
  <c r="E36" i="43"/>
  <c r="E36" i="60" s="1"/>
  <c r="D44" i="43"/>
  <c r="D37" i="43"/>
  <c r="D37" i="60" s="1"/>
  <c r="D12" i="60" s="1"/>
  <c r="H47" i="43"/>
  <c r="H22" i="43" s="1"/>
  <c r="H45" i="43"/>
  <c r="H20" i="43" s="1"/>
  <c r="G38" i="43"/>
  <c r="G36" i="43"/>
  <c r="E47" i="43"/>
  <c r="D47" i="43"/>
  <c r="D47" i="56" s="1"/>
  <c r="D22" i="56" s="1"/>
  <c r="D45" i="43"/>
  <c r="D45" i="60" s="1"/>
  <c r="D20" i="60" s="1"/>
  <c r="D43" i="43"/>
  <c r="H36" i="43"/>
  <c r="G44" i="43"/>
  <c r="G37" i="43"/>
  <c r="F43" i="43"/>
  <c r="F43" i="60" s="1"/>
  <c r="F17" i="60" s="1"/>
  <c r="E38" i="43"/>
  <c r="E38" i="60" s="1"/>
  <c r="E13" i="60" s="1"/>
  <c r="E43" i="43"/>
  <c r="E43" i="60" s="1"/>
  <c r="E17" i="60" s="1"/>
  <c r="D38" i="43"/>
  <c r="H20" i="56"/>
  <c r="H13" i="58"/>
  <c r="H14" i="58" s="1"/>
  <c r="H11" i="59"/>
  <c r="H14" i="59" s="1"/>
  <c r="H38" i="43"/>
  <c r="H13" i="43" s="1"/>
  <c r="D36" i="43"/>
  <c r="D36" i="60" s="1"/>
  <c r="F22" i="53"/>
  <c r="G10" i="43"/>
  <c r="G33" i="43"/>
  <c r="G34" i="43" s="1"/>
  <c r="E33" i="57"/>
  <c r="E10" i="57"/>
  <c r="E10" i="56"/>
  <c r="D33" i="56"/>
  <c r="D10" i="43"/>
  <c r="D10" i="56"/>
  <c r="D33" i="43"/>
  <c r="D34" i="43" s="1"/>
  <c r="E18" i="53"/>
  <c r="F18" i="53" s="1"/>
  <c r="G18" i="53" s="1"/>
  <c r="H18" i="53" s="1"/>
  <c r="I18" i="53" s="1"/>
  <c r="I18" i="2"/>
  <c r="B26" i="51"/>
  <c r="I6" i="57"/>
  <c r="E21" i="57" s="1"/>
  <c r="I15" i="55"/>
  <c r="M8" i="55"/>
  <c r="L9" i="55"/>
  <c r="M7" i="55"/>
  <c r="C8" i="56"/>
  <c r="C21" i="57"/>
  <c r="C46" i="57" s="1"/>
  <c r="D44" i="59"/>
  <c r="D19" i="59" s="1"/>
  <c r="C9" i="56"/>
  <c r="C32" i="56" s="1"/>
  <c r="D7" i="50"/>
  <c r="D4" i="50"/>
  <c r="C36" i="43" s="1"/>
  <c r="C36" i="56" s="1"/>
  <c r="D10" i="50"/>
  <c r="C38" i="43" s="1"/>
  <c r="C38" i="56" s="1"/>
  <c r="C13" i="56" s="1"/>
  <c r="D9" i="50"/>
  <c r="C44" i="43" s="1"/>
  <c r="C44" i="57" s="1"/>
  <c r="C19" i="57" s="1"/>
  <c r="D11" i="50"/>
  <c r="C47" i="43" s="1"/>
  <c r="C22" i="43" s="1"/>
  <c r="D6" i="50"/>
  <c r="C37" i="43" s="1"/>
  <c r="C37" i="59" s="1"/>
  <c r="C12" i="59" s="1"/>
  <c r="C20" i="43"/>
  <c r="C45" i="59"/>
  <c r="C20" i="59" s="1"/>
  <c r="C45" i="58"/>
  <c r="C20" i="58" s="1"/>
  <c r="C45" i="57"/>
  <c r="C20" i="57" s="1"/>
  <c r="C45" i="56"/>
  <c r="C20" i="56" s="1"/>
  <c r="E22" i="43"/>
  <c r="D37" i="59"/>
  <c r="D12" i="59" s="1"/>
  <c r="D37" i="56"/>
  <c r="D12" i="56" s="1"/>
  <c r="D36" i="59"/>
  <c r="D36" i="58"/>
  <c r="D11" i="43"/>
  <c r="D12" i="43"/>
  <c r="E43" i="59"/>
  <c r="E43" i="56"/>
  <c r="E44" i="59"/>
  <c r="E19" i="59" s="1"/>
  <c r="E47" i="57"/>
  <c r="E22" i="57" s="1"/>
  <c r="D45" i="58"/>
  <c r="D20" i="58" s="1"/>
  <c r="D45" i="57"/>
  <c r="D20" i="57" s="1"/>
  <c r="D45" i="56"/>
  <c r="D20" i="56" s="1"/>
  <c r="D20" i="43"/>
  <c r="D45" i="59"/>
  <c r="D20" i="59" s="1"/>
  <c r="D47" i="59"/>
  <c r="D22" i="59" s="1"/>
  <c r="D37" i="57"/>
  <c r="D12" i="57" s="1"/>
  <c r="D37" i="58"/>
  <c r="D12" i="58" s="1"/>
  <c r="G11" i="43"/>
  <c r="C43" i="59"/>
  <c r="C43" i="56"/>
  <c r="C43" i="58"/>
  <c r="C43" i="57"/>
  <c r="H11" i="43"/>
  <c r="D43" i="59"/>
  <c r="D43" i="57"/>
  <c r="E47" i="56"/>
  <c r="E22" i="56" s="1"/>
  <c r="D36" i="56"/>
  <c r="D36" i="57"/>
  <c r="D38" i="59"/>
  <c r="D13" i="59" s="1"/>
  <c r="C37" i="58"/>
  <c r="C12" i="58" s="1"/>
  <c r="E37" i="43"/>
  <c r="E37" i="60" s="1"/>
  <c r="E12" i="60" s="1"/>
  <c r="E45" i="43"/>
  <c r="E45" i="60" s="1"/>
  <c r="E20" i="60" s="1"/>
  <c r="F10" i="56"/>
  <c r="F33" i="56"/>
  <c r="F10" i="43"/>
  <c r="F8" i="56"/>
  <c r="F9" i="56" s="1"/>
  <c r="G7" i="59"/>
  <c r="I7" i="59" s="1"/>
  <c r="G47" i="59"/>
  <c r="G22" i="59" s="1"/>
  <c r="G47" i="57"/>
  <c r="G22" i="57" s="1"/>
  <c r="G22" i="43"/>
  <c r="G47" i="56"/>
  <c r="G22" i="56" s="1"/>
  <c r="G47" i="58"/>
  <c r="G22" i="58" s="1"/>
  <c r="F38" i="43"/>
  <c r="F38" i="60" s="1"/>
  <c r="F13" i="60" s="1"/>
  <c r="F44" i="43"/>
  <c r="F44" i="60" s="1"/>
  <c r="F19" i="60" s="1"/>
  <c r="F45" i="43"/>
  <c r="F45" i="60" s="1"/>
  <c r="F20" i="60" s="1"/>
  <c r="F37" i="43"/>
  <c r="F37" i="60" s="1"/>
  <c r="F12" i="60" s="1"/>
  <c r="G20" i="43"/>
  <c r="G45" i="58"/>
  <c r="G20" i="58" s="1"/>
  <c r="G38" i="56"/>
  <c r="G13" i="56" s="1"/>
  <c r="F7" i="58"/>
  <c r="I6" i="58"/>
  <c r="F47" i="43"/>
  <c r="F19" i="43"/>
  <c r="I6" i="43"/>
  <c r="G7" i="56"/>
  <c r="I7" i="56" s="1"/>
  <c r="D4" i="2" s="1"/>
  <c r="G6" i="36" s="1"/>
  <c r="G5" i="36" s="1"/>
  <c r="G17" i="36" s="1"/>
  <c r="G19" i="36" s="1"/>
  <c r="F7" i="57"/>
  <c r="G44" i="56"/>
  <c r="G19" i="56" s="1"/>
  <c r="F10" i="57"/>
  <c r="I6" i="56"/>
  <c r="F7" i="43"/>
  <c r="I6" i="59"/>
  <c r="E10" i="60" l="1"/>
  <c r="E33" i="60"/>
  <c r="E34" i="60" s="1"/>
  <c r="E40" i="60" s="1"/>
  <c r="J18" i="53"/>
  <c r="C10" i="59"/>
  <c r="D10" i="59"/>
  <c r="J19" i="53"/>
  <c r="H40" i="43"/>
  <c r="G37" i="57"/>
  <c r="G12" i="57" s="1"/>
  <c r="G37" i="60"/>
  <c r="G12" i="60" s="1"/>
  <c r="I12" i="60" s="1"/>
  <c r="G38" i="58"/>
  <c r="G13" i="58" s="1"/>
  <c r="G38" i="60"/>
  <c r="G13" i="60" s="1"/>
  <c r="G43" i="56"/>
  <c r="G43" i="60"/>
  <c r="G17" i="60" s="1"/>
  <c r="G12" i="43"/>
  <c r="G38" i="57"/>
  <c r="G13" i="57" s="1"/>
  <c r="G44" i="59"/>
  <c r="G19" i="59" s="1"/>
  <c r="G44" i="60"/>
  <c r="G19" i="60" s="1"/>
  <c r="G45" i="59"/>
  <c r="G20" i="59" s="1"/>
  <c r="G45" i="60"/>
  <c r="G20" i="60" s="1"/>
  <c r="G44" i="57"/>
  <c r="G19" i="57" s="1"/>
  <c r="G37" i="58"/>
  <c r="G12" i="58" s="1"/>
  <c r="G38" i="59"/>
  <c r="G13" i="59" s="1"/>
  <c r="G45" i="56"/>
  <c r="G20" i="56" s="1"/>
  <c r="G43" i="59"/>
  <c r="I20" i="60"/>
  <c r="G23" i="60"/>
  <c r="G40" i="43"/>
  <c r="G36" i="60"/>
  <c r="F22" i="43"/>
  <c r="F47" i="60"/>
  <c r="F22" i="60" s="1"/>
  <c r="F23" i="60" s="1"/>
  <c r="F12" i="43"/>
  <c r="F11" i="43"/>
  <c r="F36" i="60"/>
  <c r="E44" i="58"/>
  <c r="E19" i="58" s="1"/>
  <c r="E44" i="60"/>
  <c r="E19" i="60" s="1"/>
  <c r="E47" i="58"/>
  <c r="E22" i="58" s="1"/>
  <c r="E47" i="60"/>
  <c r="E22" i="60" s="1"/>
  <c r="E23" i="60" s="1"/>
  <c r="E11" i="60"/>
  <c r="E14" i="60" s="1"/>
  <c r="E15" i="60" s="1"/>
  <c r="D13" i="43"/>
  <c r="D38" i="60"/>
  <c r="D13" i="60" s="1"/>
  <c r="I13" i="60" s="1"/>
  <c r="D47" i="58"/>
  <c r="D22" i="58" s="1"/>
  <c r="D47" i="60"/>
  <c r="D22" i="60" s="1"/>
  <c r="D44" i="57"/>
  <c r="D19" i="57" s="1"/>
  <c r="D44" i="60"/>
  <c r="D19" i="60" s="1"/>
  <c r="D43" i="56"/>
  <c r="D43" i="60"/>
  <c r="D17" i="60" s="1"/>
  <c r="I17" i="60" s="1"/>
  <c r="D11" i="60"/>
  <c r="G36" i="57"/>
  <c r="G11" i="57" s="1"/>
  <c r="G37" i="56"/>
  <c r="G12" i="56" s="1"/>
  <c r="G37" i="59"/>
  <c r="G12" i="59" s="1"/>
  <c r="D38" i="56"/>
  <c r="D13" i="56" s="1"/>
  <c r="H14" i="43"/>
  <c r="H15" i="43" s="1"/>
  <c r="H16" i="43" s="1"/>
  <c r="G36" i="58"/>
  <c r="G11" i="58" s="1"/>
  <c r="D47" i="57"/>
  <c r="D22" i="57" s="1"/>
  <c r="E19" i="43"/>
  <c r="E44" i="57"/>
  <c r="E19" i="57" s="1"/>
  <c r="E47" i="59"/>
  <c r="E22" i="59" s="1"/>
  <c r="G43" i="57"/>
  <c r="G43" i="58"/>
  <c r="D19" i="43"/>
  <c r="D44" i="58"/>
  <c r="D19" i="58" s="1"/>
  <c r="D40" i="43"/>
  <c r="G36" i="59"/>
  <c r="G11" i="59" s="1"/>
  <c r="G14" i="59" s="1"/>
  <c r="G19" i="43"/>
  <c r="G44" i="58"/>
  <c r="G19" i="58" s="1"/>
  <c r="G13" i="43"/>
  <c r="G14" i="43" s="1"/>
  <c r="G15" i="43" s="1"/>
  <c r="G16" i="43" s="1"/>
  <c r="G45" i="57"/>
  <c r="G20" i="57" s="1"/>
  <c r="C37" i="57"/>
  <c r="C12" i="57" s="1"/>
  <c r="D43" i="58"/>
  <c r="G36" i="56"/>
  <c r="G11" i="56" s="1"/>
  <c r="D22" i="43"/>
  <c r="E44" i="56"/>
  <c r="E19" i="56" s="1"/>
  <c r="C38" i="59"/>
  <c r="C13" i="59" s="1"/>
  <c r="C11" i="43"/>
  <c r="D44" i="56"/>
  <c r="D19" i="56" s="1"/>
  <c r="H14" i="57"/>
  <c r="E38" i="56"/>
  <c r="E13" i="56" s="1"/>
  <c r="E13" i="43"/>
  <c r="E38" i="58"/>
  <c r="E13" i="58" s="1"/>
  <c r="E38" i="59"/>
  <c r="E13" i="59" s="1"/>
  <c r="E38" i="57"/>
  <c r="E13" i="57" s="1"/>
  <c r="D38" i="58"/>
  <c r="D13" i="58" s="1"/>
  <c r="D38" i="57"/>
  <c r="D13" i="57" s="1"/>
  <c r="E43" i="57"/>
  <c r="E43" i="58"/>
  <c r="G22" i="53"/>
  <c r="H22" i="53" s="1"/>
  <c r="G33" i="56"/>
  <c r="G10" i="56"/>
  <c r="E33" i="58"/>
  <c r="E10" i="58"/>
  <c r="D33" i="57"/>
  <c r="D10" i="57"/>
  <c r="C33" i="43"/>
  <c r="C34" i="43" s="1"/>
  <c r="C40" i="43" s="1"/>
  <c r="C10" i="43"/>
  <c r="I10" i="43" s="1"/>
  <c r="C7" i="2" s="1"/>
  <c r="C57" i="2"/>
  <c r="C55" i="2" s="1"/>
  <c r="L26" i="51"/>
  <c r="K27" i="51"/>
  <c r="G21" i="57"/>
  <c r="G46" i="57" s="1"/>
  <c r="D21" i="57"/>
  <c r="D46" i="57" s="1"/>
  <c r="E3" i="2"/>
  <c r="H21" i="57"/>
  <c r="F21" i="57"/>
  <c r="F46" i="57" s="1"/>
  <c r="C47" i="58"/>
  <c r="C22" i="58" s="1"/>
  <c r="C44" i="58"/>
  <c r="C19" i="58" s="1"/>
  <c r="C13" i="43"/>
  <c r="C38" i="57"/>
  <c r="C13" i="57" s="1"/>
  <c r="C38" i="58"/>
  <c r="C13" i="58" s="1"/>
  <c r="H8" i="57"/>
  <c r="H9" i="57" s="1"/>
  <c r="C8" i="57"/>
  <c r="C9" i="57" s="1"/>
  <c r="C32" i="57" s="1"/>
  <c r="E8" i="57"/>
  <c r="E9" i="57" s="1"/>
  <c r="E32" i="57" s="1"/>
  <c r="E34" i="57" s="1"/>
  <c r="G8" i="57"/>
  <c r="G9" i="57" s="1"/>
  <c r="G32" i="57" s="1"/>
  <c r="D8" i="56"/>
  <c r="D9" i="56" s="1"/>
  <c r="D32" i="56" s="1"/>
  <c r="D34" i="56" s="1"/>
  <c r="E8" i="56"/>
  <c r="E9" i="56" s="1"/>
  <c r="E32" i="56" s="1"/>
  <c r="E34" i="56" s="1"/>
  <c r="H8" i="56"/>
  <c r="H9" i="56" s="1"/>
  <c r="D8" i="57"/>
  <c r="D9" i="57" s="1"/>
  <c r="D32" i="57" s="1"/>
  <c r="M9" i="55"/>
  <c r="L10" i="55"/>
  <c r="M10" i="55" s="1"/>
  <c r="G8" i="59" s="1"/>
  <c r="G9" i="59" s="1"/>
  <c r="H46" i="57"/>
  <c r="C47" i="57"/>
  <c r="C22" i="57" s="1"/>
  <c r="C47" i="59"/>
  <c r="C22" i="59" s="1"/>
  <c r="C36" i="59"/>
  <c r="C11" i="59" s="1"/>
  <c r="C14" i="59" s="1"/>
  <c r="C36" i="57"/>
  <c r="C37" i="56"/>
  <c r="C12" i="56" s="1"/>
  <c r="C12" i="43"/>
  <c r="C14" i="43" s="1"/>
  <c r="C47" i="56"/>
  <c r="C22" i="56" s="1"/>
  <c r="C36" i="58"/>
  <c r="C44" i="59"/>
  <c r="C19" i="59" s="1"/>
  <c r="C44" i="56"/>
  <c r="C19" i="56" s="1"/>
  <c r="C19" i="43"/>
  <c r="D11" i="57"/>
  <c r="D14" i="57" s="1"/>
  <c r="D15" i="57" s="1"/>
  <c r="D16" i="57" s="1"/>
  <c r="E45" i="59"/>
  <c r="E20" i="59" s="1"/>
  <c r="E45" i="58"/>
  <c r="E20" i="58" s="1"/>
  <c r="E20" i="43"/>
  <c r="E45" i="56"/>
  <c r="E20" i="56" s="1"/>
  <c r="E45" i="57"/>
  <c r="E20" i="57" s="1"/>
  <c r="D11" i="56"/>
  <c r="D11" i="59"/>
  <c r="D14" i="59" s="1"/>
  <c r="E11" i="43"/>
  <c r="I11" i="43" s="1"/>
  <c r="C8" i="2" s="1"/>
  <c r="E36" i="57"/>
  <c r="E36" i="56"/>
  <c r="E36" i="58"/>
  <c r="E40" i="43"/>
  <c r="E36" i="59"/>
  <c r="D11" i="58"/>
  <c r="D14" i="58" s="1"/>
  <c r="G14" i="58"/>
  <c r="F40" i="43"/>
  <c r="E37" i="56"/>
  <c r="E12" i="56" s="1"/>
  <c r="E12" i="43"/>
  <c r="E37" i="59"/>
  <c r="E12" i="59" s="1"/>
  <c r="E37" i="58"/>
  <c r="E12" i="58" s="1"/>
  <c r="E37" i="57"/>
  <c r="E12" i="57" s="1"/>
  <c r="D14" i="43"/>
  <c r="D15" i="43" s="1"/>
  <c r="D16" i="43" s="1"/>
  <c r="C11" i="56"/>
  <c r="G33" i="57"/>
  <c r="G34" i="57" s="1"/>
  <c r="G10" i="57"/>
  <c r="F33" i="57"/>
  <c r="F32" i="56"/>
  <c r="F34" i="56" s="1"/>
  <c r="H21" i="59"/>
  <c r="F21" i="59"/>
  <c r="F46" i="59" s="1"/>
  <c r="C21" i="59"/>
  <c r="D21" i="59"/>
  <c r="E21" i="59"/>
  <c r="G21" i="59"/>
  <c r="G46" i="59" s="1"/>
  <c r="E46" i="57"/>
  <c r="F9" i="43"/>
  <c r="I7" i="43"/>
  <c r="C4" i="2" s="1"/>
  <c r="I12" i="43"/>
  <c r="C9" i="2" s="1"/>
  <c r="F21" i="58"/>
  <c r="F46" i="58" s="1"/>
  <c r="D21" i="58"/>
  <c r="E21" i="58"/>
  <c r="F3" i="2"/>
  <c r="G21" i="58"/>
  <c r="G46" i="58" s="1"/>
  <c r="C21" i="58"/>
  <c r="H21" i="58"/>
  <c r="F45" i="59"/>
  <c r="F20" i="59" s="1"/>
  <c r="F45" i="58"/>
  <c r="F20" i="58" s="1"/>
  <c r="F45" i="56"/>
  <c r="F20" i="56" s="1"/>
  <c r="F20" i="43"/>
  <c r="F45" i="57"/>
  <c r="F20" i="57" s="1"/>
  <c r="H21" i="56"/>
  <c r="F21" i="56"/>
  <c r="F46" i="56" s="1"/>
  <c r="C21" i="56"/>
  <c r="E21" i="56"/>
  <c r="D21" i="56"/>
  <c r="D3" i="2"/>
  <c r="G21" i="56"/>
  <c r="G46" i="56" s="1"/>
  <c r="F8" i="57"/>
  <c r="I7" i="57"/>
  <c r="E4" i="2" s="1"/>
  <c r="H6" i="36" s="1"/>
  <c r="H5" i="36" s="1"/>
  <c r="H17" i="36" s="1"/>
  <c r="H19" i="36" s="1"/>
  <c r="F47" i="59"/>
  <c r="F22" i="59" s="1"/>
  <c r="F47" i="56"/>
  <c r="F22" i="56" s="1"/>
  <c r="F47" i="58"/>
  <c r="F22" i="58" s="1"/>
  <c r="F47" i="57"/>
  <c r="F22" i="57" s="1"/>
  <c r="I7" i="58"/>
  <c r="F4" i="2" s="1"/>
  <c r="F44" i="57"/>
  <c r="F19" i="57" s="1"/>
  <c r="F44" i="59"/>
  <c r="F19" i="59" s="1"/>
  <c r="F44" i="58"/>
  <c r="F19" i="58" s="1"/>
  <c r="F44" i="56"/>
  <c r="F19" i="56" s="1"/>
  <c r="F43" i="56"/>
  <c r="F43" i="58"/>
  <c r="F43" i="59"/>
  <c r="F43" i="57"/>
  <c r="G8" i="56"/>
  <c r="G9" i="56" s="1"/>
  <c r="G21" i="43"/>
  <c r="G46" i="43" s="1"/>
  <c r="C3" i="2"/>
  <c r="C21" i="43"/>
  <c r="H21" i="43"/>
  <c r="F21" i="43"/>
  <c r="F46" i="43" s="1"/>
  <c r="D21" i="43"/>
  <c r="E21" i="43"/>
  <c r="I22" i="43"/>
  <c r="F37" i="59"/>
  <c r="F12" i="59" s="1"/>
  <c r="I12" i="59" s="1"/>
  <c r="H35" i="2" s="1"/>
  <c r="F37" i="58"/>
  <c r="F12" i="58" s="1"/>
  <c r="F37" i="57"/>
  <c r="F12" i="57" s="1"/>
  <c r="I12" i="57" s="1"/>
  <c r="E9" i="2" s="1"/>
  <c r="F37" i="56"/>
  <c r="F12" i="56" s="1"/>
  <c r="F38" i="59"/>
  <c r="F13" i="59" s="1"/>
  <c r="F38" i="56"/>
  <c r="F13" i="56" s="1"/>
  <c r="I13" i="56" s="1"/>
  <c r="D10" i="2" s="1"/>
  <c r="F38" i="58"/>
  <c r="F13" i="58" s="1"/>
  <c r="I13" i="58" s="1"/>
  <c r="F10" i="2" s="1"/>
  <c r="F38" i="57"/>
  <c r="F13" i="57" s="1"/>
  <c r="F13" i="43"/>
  <c r="I13" i="43" s="1"/>
  <c r="C10" i="2" s="1"/>
  <c r="F36" i="56"/>
  <c r="F11" i="56" s="1"/>
  <c r="F36" i="59"/>
  <c r="F11" i="59" s="1"/>
  <c r="F36" i="58"/>
  <c r="F11" i="58" s="1"/>
  <c r="F36" i="57"/>
  <c r="F11" i="57" s="1"/>
  <c r="C10" i="60" l="1"/>
  <c r="C15" i="60" s="1"/>
  <c r="C33" i="60"/>
  <c r="C34" i="60" s="1"/>
  <c r="C40" i="60" s="1"/>
  <c r="C48" i="60" s="1"/>
  <c r="D10" i="60"/>
  <c r="D33" i="60"/>
  <c r="D34" i="60" s="1"/>
  <c r="G48" i="43"/>
  <c r="G14" i="57"/>
  <c r="I20" i="59"/>
  <c r="I19" i="60"/>
  <c r="G11" i="60"/>
  <c r="G14" i="60" s="1"/>
  <c r="G15" i="60" s="1"/>
  <c r="G40" i="60"/>
  <c r="G48" i="60" s="1"/>
  <c r="G40" i="57"/>
  <c r="F11" i="60"/>
  <c r="F14" i="60" s="1"/>
  <c r="F15" i="60" s="1"/>
  <c r="F40" i="60"/>
  <c r="F48" i="60" s="1"/>
  <c r="I19" i="58"/>
  <c r="F16" i="2" s="1"/>
  <c r="F42" i="2" s="1"/>
  <c r="I20" i="57"/>
  <c r="E17" i="2" s="1"/>
  <c r="E43" i="2" s="1"/>
  <c r="I20" i="58"/>
  <c r="F17" i="2" s="1"/>
  <c r="F43" i="2" s="1"/>
  <c r="E48" i="60"/>
  <c r="E24" i="60"/>
  <c r="E25" i="60" s="1"/>
  <c r="E26" i="60" s="1"/>
  <c r="E27" i="60" s="1"/>
  <c r="E16" i="60"/>
  <c r="D14" i="56"/>
  <c r="D15" i="56" s="1"/>
  <c r="D16" i="56" s="1"/>
  <c r="D40" i="56"/>
  <c r="I19" i="57"/>
  <c r="E16" i="2" s="1"/>
  <c r="E42" i="2" s="1"/>
  <c r="D40" i="60"/>
  <c r="D48" i="60" s="1"/>
  <c r="I22" i="60"/>
  <c r="I23" i="60" s="1"/>
  <c r="D23" i="60"/>
  <c r="D14" i="60"/>
  <c r="I11" i="60"/>
  <c r="G14" i="56"/>
  <c r="G15" i="56" s="1"/>
  <c r="F48" i="43"/>
  <c r="I20" i="43"/>
  <c r="C17" i="2" s="1"/>
  <c r="C43" i="2" s="1"/>
  <c r="I19" i="43"/>
  <c r="C16" i="2" s="1"/>
  <c r="C47" i="2" s="1"/>
  <c r="I8" i="56"/>
  <c r="D5" i="2" s="1"/>
  <c r="I13" i="59"/>
  <c r="H36" i="2" s="1"/>
  <c r="D34" i="57"/>
  <c r="D40" i="57" s="1"/>
  <c r="D48" i="57" s="1"/>
  <c r="E33" i="59"/>
  <c r="D33" i="58"/>
  <c r="D10" i="58"/>
  <c r="C15" i="43"/>
  <c r="C16" i="43" s="1"/>
  <c r="C10" i="56"/>
  <c r="I10" i="56" s="1"/>
  <c r="D7" i="2" s="1"/>
  <c r="D30" i="2" s="1"/>
  <c r="C33" i="56"/>
  <c r="C34" i="56" s="1"/>
  <c r="C40" i="56" s="1"/>
  <c r="G48" i="57"/>
  <c r="I18" i="43"/>
  <c r="D28" i="51"/>
  <c r="E35" i="2"/>
  <c r="I19" i="59"/>
  <c r="H42" i="2" s="1"/>
  <c r="I13" i="57"/>
  <c r="E10" i="2" s="1"/>
  <c r="E36" i="2" s="1"/>
  <c r="C11" i="57"/>
  <c r="C14" i="57" s="1"/>
  <c r="H8" i="58"/>
  <c r="H9" i="58" s="1"/>
  <c r="E8" i="58"/>
  <c r="E9" i="58" s="1"/>
  <c r="E32" i="58" s="1"/>
  <c r="E34" i="58" s="1"/>
  <c r="E40" i="58" s="1"/>
  <c r="C8" i="58"/>
  <c r="C9" i="58" s="1"/>
  <c r="C32" i="58" s="1"/>
  <c r="G8" i="58"/>
  <c r="G9" i="58" s="1"/>
  <c r="G32" i="58" s="1"/>
  <c r="D8" i="58"/>
  <c r="D9" i="58" s="1"/>
  <c r="D32" i="58" s="1"/>
  <c r="F8" i="58"/>
  <c r="F9" i="58" s="1"/>
  <c r="I8" i="57"/>
  <c r="E5" i="2" s="1"/>
  <c r="F9" i="57"/>
  <c r="I9" i="57" s="1"/>
  <c r="E6" i="2" s="1"/>
  <c r="E8" i="59"/>
  <c r="E9" i="59" s="1"/>
  <c r="E32" i="59" s="1"/>
  <c r="E34" i="59" s="1"/>
  <c r="E40" i="59" s="1"/>
  <c r="F8" i="59"/>
  <c r="F9" i="59" s="1"/>
  <c r="F32" i="59" s="1"/>
  <c r="H8" i="59"/>
  <c r="H9" i="59" s="1"/>
  <c r="D8" i="59"/>
  <c r="D9" i="59" s="1"/>
  <c r="D32" i="59" s="1"/>
  <c r="C8" i="59"/>
  <c r="C9" i="59" s="1"/>
  <c r="C32" i="59" s="1"/>
  <c r="H32" i="56"/>
  <c r="H34" i="56" s="1"/>
  <c r="H40" i="56" s="1"/>
  <c r="H15" i="56"/>
  <c r="H16" i="56" s="1"/>
  <c r="H15" i="57"/>
  <c r="H16" i="57" s="1"/>
  <c r="H32" i="57"/>
  <c r="H34" i="57" s="1"/>
  <c r="H40" i="57" s="1"/>
  <c r="H48" i="57" s="1"/>
  <c r="I19" i="56"/>
  <c r="D16" i="2" s="1"/>
  <c r="D42" i="2" s="1"/>
  <c r="C14" i="56"/>
  <c r="I12" i="56"/>
  <c r="D9" i="2" s="1"/>
  <c r="D35" i="2" s="1"/>
  <c r="C11" i="58"/>
  <c r="C14" i="58" s="1"/>
  <c r="E11" i="59"/>
  <c r="E14" i="59" s="1"/>
  <c r="I20" i="56"/>
  <c r="D17" i="2" s="1"/>
  <c r="D43" i="2" s="1"/>
  <c r="E40" i="57"/>
  <c r="E48" i="57" s="1"/>
  <c r="E11" i="57"/>
  <c r="E14" i="57" s="1"/>
  <c r="E15" i="57" s="1"/>
  <c r="E16" i="57" s="1"/>
  <c r="E11" i="56"/>
  <c r="E14" i="56" s="1"/>
  <c r="E15" i="56" s="1"/>
  <c r="E16" i="56" s="1"/>
  <c r="E40" i="56"/>
  <c r="I12" i="58"/>
  <c r="F9" i="2" s="1"/>
  <c r="F35" i="2" s="1"/>
  <c r="E11" i="58"/>
  <c r="E14" i="58" s="1"/>
  <c r="E15" i="58" s="1"/>
  <c r="E16" i="58" s="1"/>
  <c r="E14" i="43"/>
  <c r="E15" i="43" s="1"/>
  <c r="E16" i="43" s="1"/>
  <c r="G15" i="57"/>
  <c r="G16" i="57" s="1"/>
  <c r="G10" i="58"/>
  <c r="G33" i="58"/>
  <c r="G34" i="58" s="1"/>
  <c r="G40" i="58" s="1"/>
  <c r="G48" i="58" s="1"/>
  <c r="F33" i="58"/>
  <c r="F10" i="58"/>
  <c r="G32" i="56"/>
  <c r="G34" i="56" s="1"/>
  <c r="G40" i="56" s="1"/>
  <c r="G48" i="56" s="1"/>
  <c r="I9" i="56"/>
  <c r="D6" i="2" s="1"/>
  <c r="D36" i="2"/>
  <c r="I11" i="57"/>
  <c r="E8" i="2" s="1"/>
  <c r="F14" i="57"/>
  <c r="F15" i="57" s="1"/>
  <c r="F14" i="56"/>
  <c r="F36" i="2"/>
  <c r="D46" i="43"/>
  <c r="D48" i="43" s="1"/>
  <c r="C46" i="43"/>
  <c r="C48" i="43" s="1"/>
  <c r="I22" i="57"/>
  <c r="I22" i="59"/>
  <c r="F32" i="57"/>
  <c r="F34" i="57" s="1"/>
  <c r="F40" i="57" s="1"/>
  <c r="F48" i="57" s="1"/>
  <c r="C34" i="2"/>
  <c r="F6" i="36"/>
  <c r="F5" i="36" s="1"/>
  <c r="F17" i="36" s="1"/>
  <c r="I4" i="2"/>
  <c r="L6" i="36" s="1"/>
  <c r="L5" i="36" s="1"/>
  <c r="L17" i="36" s="1"/>
  <c r="L19" i="36" s="1"/>
  <c r="C6" i="2"/>
  <c r="D46" i="59"/>
  <c r="F40" i="56"/>
  <c r="F48" i="56" s="1"/>
  <c r="E46" i="43"/>
  <c r="E48" i="43" s="1"/>
  <c r="I3" i="2"/>
  <c r="C30" i="2"/>
  <c r="I22" i="58"/>
  <c r="E46" i="56"/>
  <c r="H46" i="56"/>
  <c r="G32" i="59"/>
  <c r="H43" i="2"/>
  <c r="H46" i="58"/>
  <c r="D46" i="58"/>
  <c r="F14" i="43"/>
  <c r="I9" i="43"/>
  <c r="C46" i="59"/>
  <c r="F14" i="58"/>
  <c r="C36" i="2"/>
  <c r="F14" i="59"/>
  <c r="C19" i="2"/>
  <c r="H46" i="43"/>
  <c r="H48" i="43" s="1"/>
  <c r="I22" i="56"/>
  <c r="D46" i="56"/>
  <c r="D48" i="56" s="1"/>
  <c r="C46" i="56"/>
  <c r="C46" i="58"/>
  <c r="E46" i="58"/>
  <c r="C35" i="2"/>
  <c r="E46" i="59"/>
  <c r="H46" i="59"/>
  <c r="I10" i="60" l="1"/>
  <c r="H7" i="2" s="1"/>
  <c r="C16" i="60"/>
  <c r="C24" i="60"/>
  <c r="C25" i="60" s="1"/>
  <c r="C26" i="60" s="1"/>
  <c r="C27" i="60" s="1"/>
  <c r="E49" i="2"/>
  <c r="G16" i="60"/>
  <c r="G24" i="60"/>
  <c r="G25" i="60" s="1"/>
  <c r="G26" i="60" s="1"/>
  <c r="G27" i="60" s="1"/>
  <c r="F16" i="60"/>
  <c r="F24" i="60"/>
  <c r="F25" i="60" s="1"/>
  <c r="F26" i="60" s="1"/>
  <c r="F27" i="60" s="1"/>
  <c r="C42" i="2"/>
  <c r="I11" i="59"/>
  <c r="I10" i="2"/>
  <c r="D15" i="60"/>
  <c r="I14" i="60"/>
  <c r="C49" i="2"/>
  <c r="I9" i="59"/>
  <c r="H50" i="2" s="1"/>
  <c r="I14" i="43"/>
  <c r="C11" i="2" s="1"/>
  <c r="I14" i="57"/>
  <c r="E11" i="2" s="1"/>
  <c r="D47" i="2"/>
  <c r="D15" i="58"/>
  <c r="D16" i="58" s="1"/>
  <c r="E48" i="56"/>
  <c r="D34" i="58"/>
  <c r="D40" i="58" s="1"/>
  <c r="D48" i="58" s="1"/>
  <c r="D33" i="59"/>
  <c r="D34" i="59" s="1"/>
  <c r="D40" i="59" s="1"/>
  <c r="D48" i="59" s="1"/>
  <c r="D15" i="59"/>
  <c r="D16" i="59" s="1"/>
  <c r="C33" i="57"/>
  <c r="C34" i="57" s="1"/>
  <c r="C40" i="57" s="1"/>
  <c r="C48" i="57" s="1"/>
  <c r="C10" i="57"/>
  <c r="I10" i="57" s="1"/>
  <c r="E7" i="2" s="1"/>
  <c r="E30" i="2" s="1"/>
  <c r="C15" i="56"/>
  <c r="C16" i="56" s="1"/>
  <c r="E60" i="2"/>
  <c r="E18" i="57"/>
  <c r="E17" i="57" s="1"/>
  <c r="E23" i="57" s="1"/>
  <c r="E24" i="57" s="1"/>
  <c r="E25" i="57" s="1"/>
  <c r="E26" i="57" s="1"/>
  <c r="E27" i="57" s="1"/>
  <c r="G18" i="57"/>
  <c r="G17" i="57" s="1"/>
  <c r="G23" i="57" s="1"/>
  <c r="F18" i="57"/>
  <c r="F17" i="57" s="1"/>
  <c r="F23" i="57" s="1"/>
  <c r="F24" i="57" s="1"/>
  <c r="H18" i="57"/>
  <c r="H17" i="57" s="1"/>
  <c r="H23" i="57" s="1"/>
  <c r="H24" i="57" s="1"/>
  <c r="H25" i="57" s="1"/>
  <c r="H26" i="57" s="1"/>
  <c r="H27" i="57" s="1"/>
  <c r="C18" i="57"/>
  <c r="C17" i="57" s="1"/>
  <c r="D18" i="57"/>
  <c r="D17" i="57" s="1"/>
  <c r="D23" i="57" s="1"/>
  <c r="D24" i="57" s="1"/>
  <c r="D25" i="57" s="1"/>
  <c r="D26" i="57" s="1"/>
  <c r="D27" i="57" s="1"/>
  <c r="F26" i="51"/>
  <c r="E28" i="51"/>
  <c r="C60" i="2"/>
  <c r="G18" i="43"/>
  <c r="G17" i="43" s="1"/>
  <c r="G23" i="43" s="1"/>
  <c r="G24" i="43" s="1"/>
  <c r="G25" i="43" s="1"/>
  <c r="G26" i="43" s="1"/>
  <c r="G27" i="43" s="1"/>
  <c r="C18" i="43"/>
  <c r="C17" i="43" s="1"/>
  <c r="H18" i="43"/>
  <c r="H17" i="43" s="1"/>
  <c r="H23" i="43" s="1"/>
  <c r="H24" i="43" s="1"/>
  <c r="H25" i="43" s="1"/>
  <c r="H26" i="43" s="1"/>
  <c r="H27" i="43" s="1"/>
  <c r="E18" i="43"/>
  <c r="E17" i="43" s="1"/>
  <c r="E23" i="43" s="1"/>
  <c r="E24" i="43" s="1"/>
  <c r="E25" i="43" s="1"/>
  <c r="F18" i="43"/>
  <c r="F17" i="43" s="1"/>
  <c r="F23" i="43" s="1"/>
  <c r="D18" i="43"/>
  <c r="D17" i="43" s="1"/>
  <c r="D23" i="43" s="1"/>
  <c r="D24" i="43" s="1"/>
  <c r="D25" i="43" s="1"/>
  <c r="D26" i="43" s="1"/>
  <c r="D27" i="43" s="1"/>
  <c r="D60" i="2"/>
  <c r="D18" i="56"/>
  <c r="D17" i="56" s="1"/>
  <c r="D23" i="56" s="1"/>
  <c r="D24" i="56" s="1"/>
  <c r="D25" i="56" s="1"/>
  <c r="D26" i="56" s="1"/>
  <c r="D27" i="56" s="1"/>
  <c r="C18" i="56"/>
  <c r="C17" i="56" s="1"/>
  <c r="G18" i="56"/>
  <c r="G17" i="56" s="1"/>
  <c r="G23" i="56" s="1"/>
  <c r="G24" i="56" s="1"/>
  <c r="H18" i="56"/>
  <c r="H17" i="56" s="1"/>
  <c r="H23" i="56" s="1"/>
  <c r="H24" i="56" s="1"/>
  <c r="H25" i="56" s="1"/>
  <c r="H26" i="56" s="1"/>
  <c r="H27" i="56" s="1"/>
  <c r="F18" i="56"/>
  <c r="F17" i="56" s="1"/>
  <c r="F23" i="56" s="1"/>
  <c r="E18" i="56"/>
  <c r="E17" i="56" s="1"/>
  <c r="E23" i="56" s="1"/>
  <c r="E24" i="56" s="1"/>
  <c r="E25" i="56" s="1"/>
  <c r="E26" i="56" s="1"/>
  <c r="E27" i="56" s="1"/>
  <c r="G24" i="57"/>
  <c r="G25" i="57" s="1"/>
  <c r="G26" i="57" s="1"/>
  <c r="G27" i="57" s="1"/>
  <c r="E18" i="59"/>
  <c r="E17" i="59" s="1"/>
  <c r="E23" i="59" s="1"/>
  <c r="F18" i="59"/>
  <c r="F17" i="59" s="1"/>
  <c r="F23" i="59" s="1"/>
  <c r="G18" i="59"/>
  <c r="G17" i="59" s="1"/>
  <c r="G23" i="59" s="1"/>
  <c r="H18" i="59"/>
  <c r="H17" i="59" s="1"/>
  <c r="H23" i="59" s="1"/>
  <c r="D18" i="59"/>
  <c r="D17" i="59" s="1"/>
  <c r="D23" i="59" s="1"/>
  <c r="C18" i="59"/>
  <c r="C17" i="59" s="1"/>
  <c r="F60" i="2"/>
  <c r="G18" i="58"/>
  <c r="G17" i="58" s="1"/>
  <c r="G23" i="58" s="1"/>
  <c r="E18" i="58"/>
  <c r="E17" i="58" s="1"/>
  <c r="E23" i="58" s="1"/>
  <c r="E24" i="58" s="1"/>
  <c r="E25" i="58" s="1"/>
  <c r="E26" i="58" s="1"/>
  <c r="E27" i="58" s="1"/>
  <c r="C18" i="58"/>
  <c r="C17" i="58" s="1"/>
  <c r="D18" i="58"/>
  <c r="D17" i="58" s="1"/>
  <c r="D23" i="58" s="1"/>
  <c r="H18" i="58"/>
  <c r="H17" i="58" s="1"/>
  <c r="H23" i="58" s="1"/>
  <c r="F18" i="58"/>
  <c r="F17" i="58" s="1"/>
  <c r="F23" i="58" s="1"/>
  <c r="I11" i="56"/>
  <c r="D8" i="2" s="1"/>
  <c r="D34" i="2" s="1"/>
  <c r="I17" i="2"/>
  <c r="I43" i="2" s="1"/>
  <c r="E47" i="2"/>
  <c r="G15" i="58"/>
  <c r="G16" i="58" s="1"/>
  <c r="H15" i="59"/>
  <c r="H16" i="59" s="1"/>
  <c r="H32" i="59"/>
  <c r="H34" i="59" s="1"/>
  <c r="H40" i="59" s="1"/>
  <c r="H48" i="59" s="1"/>
  <c r="I8" i="59"/>
  <c r="H32" i="58"/>
  <c r="H34" i="58" s="1"/>
  <c r="H40" i="58" s="1"/>
  <c r="H48" i="58" s="1"/>
  <c r="H15" i="58"/>
  <c r="H16" i="58" s="1"/>
  <c r="C48" i="56"/>
  <c r="H48" i="56"/>
  <c r="E15" i="59"/>
  <c r="E16" i="59" s="1"/>
  <c r="I8" i="58"/>
  <c r="F5" i="2" s="1"/>
  <c r="I5" i="2" s="1"/>
  <c r="D49" i="2"/>
  <c r="I11" i="58"/>
  <c r="F8" i="2" s="1"/>
  <c r="I14" i="58"/>
  <c r="F11" i="2" s="1"/>
  <c r="I16" i="2"/>
  <c r="I42" i="2" s="1"/>
  <c r="I9" i="2"/>
  <c r="I35" i="2" s="1"/>
  <c r="E48" i="59"/>
  <c r="E48" i="58"/>
  <c r="F15" i="43"/>
  <c r="F16" i="43" s="1"/>
  <c r="G33" i="59"/>
  <c r="G34" i="59" s="1"/>
  <c r="G40" i="59" s="1"/>
  <c r="G48" i="59" s="1"/>
  <c r="G10" i="59"/>
  <c r="F10" i="59"/>
  <c r="F15" i="59" s="1"/>
  <c r="F33" i="59"/>
  <c r="F34" i="59" s="1"/>
  <c r="F40" i="59" s="1"/>
  <c r="F48" i="59" s="1"/>
  <c r="C51" i="2"/>
  <c r="I14" i="59"/>
  <c r="F18" i="36"/>
  <c r="G18" i="36" s="1"/>
  <c r="H18" i="36" s="1"/>
  <c r="F19" i="36"/>
  <c r="F20" i="36" s="1"/>
  <c r="G20" i="36" s="1"/>
  <c r="H20" i="36" s="1"/>
  <c r="E19" i="2"/>
  <c r="E51" i="2" s="1"/>
  <c r="I14" i="56"/>
  <c r="D11" i="2" s="1"/>
  <c r="F15" i="56"/>
  <c r="D19" i="2"/>
  <c r="D51" i="2" s="1"/>
  <c r="H47" i="2"/>
  <c r="F19" i="2"/>
  <c r="C29" i="2"/>
  <c r="C31" i="2" s="1"/>
  <c r="C32" i="2" s="1"/>
  <c r="C50" i="2"/>
  <c r="F16" i="57"/>
  <c r="H51" i="2"/>
  <c r="D50" i="2"/>
  <c r="D29" i="2"/>
  <c r="D31" i="2" s="1"/>
  <c r="D32" i="2" s="1"/>
  <c r="F32" i="58"/>
  <c r="F34" i="58" s="1"/>
  <c r="F40" i="58" s="1"/>
  <c r="F48" i="58" s="1"/>
  <c r="F15" i="58"/>
  <c r="I9" i="58"/>
  <c r="F6" i="2" s="1"/>
  <c r="H34" i="2"/>
  <c r="I36" i="2"/>
  <c r="E29" i="2"/>
  <c r="E50" i="2"/>
  <c r="E34" i="2"/>
  <c r="G16" i="56"/>
  <c r="I15" i="43" l="1"/>
  <c r="C12" i="2" s="1"/>
  <c r="I8" i="2"/>
  <c r="I34" i="2" s="1"/>
  <c r="D16" i="60"/>
  <c r="D24" i="60"/>
  <c r="D25" i="60" s="1"/>
  <c r="D26" i="60" s="1"/>
  <c r="I15" i="60"/>
  <c r="H12" i="2" s="1"/>
  <c r="H29" i="2"/>
  <c r="H49" i="2"/>
  <c r="D24" i="58"/>
  <c r="D25" i="58" s="1"/>
  <c r="D26" i="58" s="1"/>
  <c r="D27" i="58" s="1"/>
  <c r="G24" i="58"/>
  <c r="G25" i="58" s="1"/>
  <c r="G26" i="58" s="1"/>
  <c r="G27" i="58" s="1"/>
  <c r="F24" i="43"/>
  <c r="F25" i="43" s="1"/>
  <c r="F26" i="43" s="1"/>
  <c r="F27" i="43" s="1"/>
  <c r="C15" i="57"/>
  <c r="C16" i="57" s="1"/>
  <c r="E31" i="2"/>
  <c r="E32" i="2" s="1"/>
  <c r="C10" i="58"/>
  <c r="C33" i="58"/>
  <c r="C34" i="58" s="1"/>
  <c r="C40" i="58" s="1"/>
  <c r="C48" i="58" s="1"/>
  <c r="E26" i="43"/>
  <c r="E27" i="43" s="1"/>
  <c r="C23" i="58"/>
  <c r="I17" i="58"/>
  <c r="C23" i="43"/>
  <c r="C24" i="43" s="1"/>
  <c r="C25" i="43" s="1"/>
  <c r="C26" i="43" s="1"/>
  <c r="C27" i="43" s="1"/>
  <c r="I17" i="43"/>
  <c r="C23" i="57"/>
  <c r="I17" i="57"/>
  <c r="C23" i="59"/>
  <c r="I17" i="59"/>
  <c r="F28" i="51"/>
  <c r="I17" i="56"/>
  <c r="C23" i="56"/>
  <c r="C24" i="56" s="1"/>
  <c r="C25" i="56" s="1"/>
  <c r="C26" i="56" s="1"/>
  <c r="C27" i="56" s="1"/>
  <c r="F34" i="2"/>
  <c r="I11" i="2"/>
  <c r="D24" i="59"/>
  <c r="D25" i="59" s="1"/>
  <c r="D26" i="59" s="1"/>
  <c r="D27" i="59" s="1"/>
  <c r="H24" i="58"/>
  <c r="H25" i="58" s="1"/>
  <c r="H26" i="58" s="1"/>
  <c r="H27" i="58" s="1"/>
  <c r="H24" i="59"/>
  <c r="E24" i="59"/>
  <c r="E25" i="59" s="1"/>
  <c r="E26" i="59" s="1"/>
  <c r="E27" i="59" s="1"/>
  <c r="G15" i="59"/>
  <c r="I16" i="43"/>
  <c r="I20" i="36"/>
  <c r="J20" i="36" s="1"/>
  <c r="K20" i="36" s="1"/>
  <c r="L20" i="36" s="1"/>
  <c r="I24" i="36"/>
  <c r="I19" i="2"/>
  <c r="G25" i="56"/>
  <c r="G26" i="56" s="1"/>
  <c r="G27" i="56" s="1"/>
  <c r="F50" i="2"/>
  <c r="F29" i="2"/>
  <c r="F49" i="2"/>
  <c r="F47" i="2"/>
  <c r="I6" i="2"/>
  <c r="E24" i="36"/>
  <c r="I18" i="36"/>
  <c r="J18" i="36" s="1"/>
  <c r="K18" i="36" s="1"/>
  <c r="L18" i="36" s="1"/>
  <c r="F16" i="58"/>
  <c r="F24" i="58"/>
  <c r="F25" i="57"/>
  <c r="F26" i="57" s="1"/>
  <c r="F51" i="2"/>
  <c r="F16" i="56"/>
  <c r="F24" i="56"/>
  <c r="I15" i="56"/>
  <c r="F16" i="59"/>
  <c r="F24" i="59"/>
  <c r="D27" i="60" l="1"/>
  <c r="I26" i="60"/>
  <c r="I24" i="60"/>
  <c r="I16" i="60"/>
  <c r="H13" i="2" s="1"/>
  <c r="C24" i="57"/>
  <c r="C25" i="57" s="1"/>
  <c r="C26" i="57" s="1"/>
  <c r="C27" i="57" s="1"/>
  <c r="I15" i="57"/>
  <c r="C15" i="58"/>
  <c r="C24" i="58" s="1"/>
  <c r="C25" i="58" s="1"/>
  <c r="C26" i="58" s="1"/>
  <c r="C27" i="58" s="1"/>
  <c r="I10" i="58"/>
  <c r="F7" i="2" s="1"/>
  <c r="F30" i="2" s="1"/>
  <c r="F31" i="2" s="1"/>
  <c r="F32" i="2" s="1"/>
  <c r="C33" i="59"/>
  <c r="C34" i="59" s="1"/>
  <c r="C40" i="59" s="1"/>
  <c r="C48" i="59" s="1"/>
  <c r="D14" i="2"/>
  <c r="I23" i="56"/>
  <c r="D20" i="2" s="1"/>
  <c r="J28" i="51"/>
  <c r="E14" i="2"/>
  <c r="I23" i="57"/>
  <c r="I23" i="59"/>
  <c r="F14" i="2"/>
  <c r="I23" i="58"/>
  <c r="F20" i="2" s="1"/>
  <c r="C14" i="2"/>
  <c r="I23" i="43"/>
  <c r="I24" i="43" s="1"/>
  <c r="I25" i="43" s="1"/>
  <c r="H25" i="59"/>
  <c r="H26" i="59" s="1"/>
  <c r="H27" i="59" s="1"/>
  <c r="G16" i="59"/>
  <c r="G24" i="59"/>
  <c r="F25" i="59"/>
  <c r="F26" i="59" s="1"/>
  <c r="F25" i="56"/>
  <c r="F26" i="56" s="1"/>
  <c r="F25" i="58"/>
  <c r="F26" i="58" s="1"/>
  <c r="I29" i="2"/>
  <c r="I50" i="2"/>
  <c r="I49" i="2"/>
  <c r="I47" i="2"/>
  <c r="I51" i="2"/>
  <c r="F27" i="57"/>
  <c r="I16" i="56"/>
  <c r="D13" i="2" s="1"/>
  <c r="D12" i="2"/>
  <c r="D38" i="2" s="1"/>
  <c r="I26" i="43"/>
  <c r="I27" i="43" s="1"/>
  <c r="C38" i="2"/>
  <c r="C13" i="2"/>
  <c r="I25" i="60" l="1"/>
  <c r="H22" i="2" s="1"/>
  <c r="H21" i="2"/>
  <c r="I27" i="60"/>
  <c r="H24" i="2" s="1"/>
  <c r="H23" i="2"/>
  <c r="I24" i="56"/>
  <c r="D21" i="2" s="1"/>
  <c r="D53" i="2" s="1"/>
  <c r="I26" i="57"/>
  <c r="E23" i="2" s="1"/>
  <c r="I16" i="57"/>
  <c r="E13" i="2" s="1"/>
  <c r="E12" i="2"/>
  <c r="E38" i="2" s="1"/>
  <c r="C15" i="59"/>
  <c r="I10" i="59"/>
  <c r="C16" i="58"/>
  <c r="I15" i="58"/>
  <c r="I24" i="58" s="1"/>
  <c r="I25" i="58" s="1"/>
  <c r="F22" i="2" s="1"/>
  <c r="E20" i="2"/>
  <c r="I24" i="57"/>
  <c r="H41" i="2"/>
  <c r="H48" i="2"/>
  <c r="E41" i="2"/>
  <c r="E48" i="2"/>
  <c r="D39" i="2"/>
  <c r="C20" i="2"/>
  <c r="C41" i="2"/>
  <c r="C48" i="2"/>
  <c r="I14" i="2"/>
  <c r="F41" i="2"/>
  <c r="F48" i="2"/>
  <c r="K26" i="51"/>
  <c r="I60" i="2" s="1"/>
  <c r="D41" i="2"/>
  <c r="D48" i="2"/>
  <c r="G25" i="59"/>
  <c r="G26" i="59" s="1"/>
  <c r="F27" i="58"/>
  <c r="I26" i="58"/>
  <c r="I25" i="56"/>
  <c r="D22" i="2" s="1"/>
  <c r="F27" i="59"/>
  <c r="F27" i="56"/>
  <c r="I26" i="56"/>
  <c r="H30" i="2" l="1"/>
  <c r="H31" i="2" s="1"/>
  <c r="H32" i="2" s="1"/>
  <c r="G7" i="2"/>
  <c r="G30" i="2" s="1"/>
  <c r="G31" i="2" s="1"/>
  <c r="G32" i="2" s="1"/>
  <c r="I27" i="57"/>
  <c r="E24" i="2" s="1"/>
  <c r="E39" i="2"/>
  <c r="I7" i="2"/>
  <c r="I30" i="2" s="1"/>
  <c r="I31" i="2" s="1"/>
  <c r="I32" i="2" s="1"/>
  <c r="C16" i="59"/>
  <c r="I15" i="59"/>
  <c r="G12" i="2" s="1"/>
  <c r="G38" i="2" s="1"/>
  <c r="G39" i="2" s="1"/>
  <c r="C24" i="59"/>
  <c r="C25" i="59" s="1"/>
  <c r="C26" i="59" s="1"/>
  <c r="C27" i="59" s="1"/>
  <c r="F12" i="2"/>
  <c r="F38" i="2" s="1"/>
  <c r="F39" i="2" s="1"/>
  <c r="I16" i="58"/>
  <c r="F13" i="2" s="1"/>
  <c r="F21" i="2"/>
  <c r="F53" i="2" s="1"/>
  <c r="I41" i="2"/>
  <c r="I48" i="2"/>
  <c r="I20" i="2"/>
  <c r="C21" i="2"/>
  <c r="C39" i="2"/>
  <c r="I25" i="57"/>
  <c r="E22" i="2" s="1"/>
  <c r="E21" i="2"/>
  <c r="E53" i="2" s="1"/>
  <c r="G27" i="59"/>
  <c r="I27" i="56"/>
  <c r="D24" i="2" s="1"/>
  <c r="D23" i="2"/>
  <c r="E59" i="2"/>
  <c r="E58" i="2" s="1"/>
  <c r="E52" i="2"/>
  <c r="I27" i="58"/>
  <c r="F24" i="2" s="1"/>
  <c r="F23" i="2"/>
  <c r="I26" i="59" l="1"/>
  <c r="I12" i="2"/>
  <c r="I38" i="2" s="1"/>
  <c r="I39" i="2" s="1"/>
  <c r="H38" i="2"/>
  <c r="H39" i="2" s="1"/>
  <c r="I16" i="59"/>
  <c r="G13" i="2" s="1"/>
  <c r="I24" i="59"/>
  <c r="G21" i="2" s="1"/>
  <c r="G53" i="2" s="1"/>
  <c r="C53" i="2"/>
  <c r="C22" i="2"/>
  <c r="C23" i="2" s="1"/>
  <c r="F59" i="2"/>
  <c r="F58" i="2" s="1"/>
  <c r="F52" i="2"/>
  <c r="D52" i="2"/>
  <c r="D59" i="2"/>
  <c r="D58" i="2" s="1"/>
  <c r="I27" i="59" l="1"/>
  <c r="G24" i="2" s="1"/>
  <c r="G23" i="2"/>
  <c r="H59" i="2"/>
  <c r="H58" i="2" s="1"/>
  <c r="I13" i="2"/>
  <c r="I21" i="2"/>
  <c r="I25" i="59"/>
  <c r="G22" i="2" s="1"/>
  <c r="H53" i="2"/>
  <c r="C59" i="2"/>
  <c r="C58" i="2" s="1"/>
  <c r="C52" i="2"/>
  <c r="C24" i="2"/>
  <c r="G52" i="2" l="1"/>
  <c r="G59" i="2"/>
  <c r="G58" i="2" s="1"/>
  <c r="H52" i="2"/>
  <c r="I53" i="2"/>
  <c r="I22" i="2"/>
  <c r="I23" i="2" s="1"/>
  <c r="I59" i="2" l="1"/>
  <c r="I58" i="2" s="1"/>
  <c r="I24" i="2"/>
  <c r="I52" i="2"/>
</calcChain>
</file>

<file path=xl/comments1.xml><?xml version="1.0" encoding="utf-8"?>
<comments xmlns="http://schemas.openxmlformats.org/spreadsheetml/2006/main">
  <authors>
    <author>作者</author>
  </authors>
  <commentList>
    <comment ref="K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</commentList>
</comments>
</file>

<file path=xl/sharedStrings.xml><?xml version="1.0" encoding="utf-8"?>
<sst xmlns="http://schemas.openxmlformats.org/spreadsheetml/2006/main" count="1624" uniqueCount="297">
  <si>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</si>
  <si>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</si>
  <si>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</si>
  <si>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</si>
  <si>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</si>
  <si>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</si>
  <si>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</si>
  <si>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</si>
  <si>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</si>
  <si>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</si>
  <si>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</si>
  <si>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</si>
  <si>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</si>
  <si>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</si>
  <si>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</si>
  <si>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</si>
  <si>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</si>
  <si>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</si>
  <si>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</si>
  <si>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</si>
  <si>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</si>
  <si>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</si>
  <si>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</si>
  <si>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</si>
  <si>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</si>
  <si>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</si>
  <si>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</si>
  <si>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</si>
  <si>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</si>
  <si>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</si>
  <si>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</si>
  <si>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</si>
  <si>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</si>
  <si>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</si>
  <si>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</si>
  <si>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</si>
  <si>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</si>
  <si>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</si>
  <si>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</si>
  <si>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</si>
  <si>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</si>
  <si>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</si>
  <si>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</si>
  <si>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</si>
  <si>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</si>
  <si>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</si>
  <si>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</si>
  <si>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</si>
  <si>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</si>
  <si>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</si>
  <si>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</si>
  <si>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</si>
  <si>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</si>
  <si>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</si>
  <si>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</si>
  <si>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</si>
  <si>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</si>
  <si>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</si>
  <si>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</si>
  <si>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</si>
  <si>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</si>
  <si>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</si>
  <si>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</si>
  <si>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</si>
  <si>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</si>
  <si>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</si>
  <si>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</si>
  <si>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</si>
  <si>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</si>
  <si>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</si>
  <si>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</si>
  <si>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</si>
  <si>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</si>
  <si>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</si>
  <si>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</si>
  <si>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</si>
  <si>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</si>
  <si>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</si>
  <si>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</si>
  <si>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</si>
  <si>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</si>
  <si>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</si>
  <si>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</si>
  <si>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</si>
  <si>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</si>
  <si>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</si>
  <si>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</si>
  <si>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</si>
  <si>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</si>
  <si>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</si>
  <si>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</si>
  <si>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</si>
  <si>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</si>
  <si>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</si>
  <si>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</si>
  <si>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</si>
  <si>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</si>
  <si>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</si>
  <si>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</si>
  <si>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</si>
  <si>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</si>
  <si>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</si>
  <si>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</si>
  <si>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</si>
  <si>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</si>
  <si>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</si>
  <si>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</si>
  <si>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</si>
  <si>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</si>
  <si>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</si>
  <si>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</si>
  <si>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</si>
  <si>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</si>
  <si>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</si>
  <si>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</si>
  <si>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</si>
  <si>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</si>
  <si>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</si>
  <si>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</si>
  <si>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</si>
  <si>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</si>
  <si>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</si>
  <si>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</si>
  <si>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</si>
  <si>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</si>
  <si>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</si>
  <si>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</si>
  <si>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</si>
  <si>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</si>
  <si>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</si>
  <si>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</si>
  <si>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</si>
  <si>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</si>
  <si>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</si>
  <si>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</si>
  <si>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</si>
  <si>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</si>
  <si>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</si>
  <si>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</si>
  <si>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</si>
  <si>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</si>
  <si>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</si>
  <si>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</si>
  <si>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</si>
  <si>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</si>
  <si>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</si>
  <si>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</si>
  <si>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</si>
  <si>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</si>
  <si>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</si>
  <si>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</si>
  <si>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</si>
  <si>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</si>
  <si>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</si>
  <si>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</si>
  <si>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</si>
  <si>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</si>
  <si>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</si>
  <si>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</si>
  <si>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</si>
  <si>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</si>
  <si>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</si>
  <si>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</si>
  <si>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</si>
  <si>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</si>
  <si>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</si>
  <si>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</si>
  <si>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</si>
  <si>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</si>
  <si>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</si>
  <si>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</si>
  <si>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</si>
  <si>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</si>
  <si>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</si>
  <si>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</si>
  <si>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</si>
  <si>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</si>
  <si>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</si>
  <si>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</si>
  <si>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</si>
  <si>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</si>
  <si>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</si>
  <si>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</si>
  <si>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</si>
  <si>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</si>
  <si>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</si>
  <si>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</si>
  <si>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</si>
  <si>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</si>
  <si>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</si>
  <si>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</si>
  <si>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</si>
  <si>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</si>
  <si>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</si>
  <si>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</si>
  <si>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</si>
  <si>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</si>
  <si>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</si>
  <si>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</si>
  <si>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</si>
  <si>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</si>
  <si>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</si>
  <si>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</si>
  <si>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</si>
  <si>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</si>
  <si>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</si>
  <si>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</si>
  <si>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</si>
  <si>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</si>
  <si>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</si>
  <si>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</si>
  <si>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</si>
  <si>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</si>
  <si>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</si>
  <si>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</si>
  <si>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</si>
  <si>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</si>
  <si>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</si>
  <si>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</si>
  <si>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</si>
  <si>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</si>
  <si>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</si>
  <si>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</si>
  <si>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</si>
  <si>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</si>
  <si>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</si>
  <si>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</si>
  <si>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 xml:space="preserve">    年</t>
    <phoneticPr fontId="38" type="noConversion"/>
  </si>
  <si>
    <t>产品名称</t>
    <phoneticPr fontId="38" type="noConversion"/>
  </si>
  <si>
    <t>材料成本</t>
    <phoneticPr fontId="38" type="noConversion"/>
  </si>
  <si>
    <t>一汽解放</t>
    <phoneticPr fontId="38" type="noConversion"/>
  </si>
  <si>
    <t>2026年</t>
  </si>
  <si>
    <t>材料成本</t>
    <phoneticPr fontId="38" type="noConversion"/>
  </si>
  <si>
    <t>2027年</t>
  </si>
  <si>
    <t>2023年</t>
    <phoneticPr fontId="38" type="noConversion"/>
  </si>
  <si>
    <t>2023年</t>
    <phoneticPr fontId="38" type="noConversion"/>
  </si>
  <si>
    <t>备注</t>
    <phoneticPr fontId="38" type="noConversion"/>
  </si>
  <si>
    <t>送货地点</t>
  </si>
  <si>
    <t>现汇或承兑的比例</t>
  </si>
  <si>
    <t>无</t>
  </si>
  <si>
    <t>包含所有的主、辅料</t>
  </si>
  <si>
    <t>开发费分摊情况</t>
  </si>
  <si>
    <t>产品应用场景</t>
  </si>
  <si>
    <t>三包周期</t>
  </si>
  <si>
    <t>涂红色处为必填项</t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</si>
  <si>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</si>
  <si>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</si>
  <si>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</si>
  <si>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</si>
  <si>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</si>
  <si>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t>成本预估由项目提供差异件清单，按现有产品推算出来。供应商年度降价与销价降价幅度同步。</t>
    <phoneticPr fontId="38" type="noConversion"/>
  </si>
  <si>
    <t>成本</t>
    <phoneticPr fontId="38" type="noConversion"/>
  </si>
  <si>
    <t>附加值</t>
    <phoneticPr fontId="38" type="noConversion"/>
  </si>
  <si>
    <t>附加值率</t>
    <phoneticPr fontId="38" type="noConversion"/>
  </si>
  <si>
    <r>
      <t xml:space="preserve">一汽J6P经典版 滑轨副驾座椅项目可行性分析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</si>
  <si>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</si>
  <si>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</si>
  <si>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</si>
  <si>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</si>
  <si>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 xml:space="preserve">2027年  </t>
    <phoneticPr fontId="38" type="noConversion"/>
  </si>
  <si>
    <t xml:space="preserve">一汽J6P经典版 滑轨副驾座椅项目研发费用预算表 </t>
    <phoneticPr fontId="38" type="noConversion"/>
  </si>
  <si>
    <t>长春</t>
  </si>
  <si>
    <t>承兑</t>
  </si>
  <si>
    <t>河北</t>
  </si>
  <si>
    <t>否</t>
  </si>
  <si>
    <t>现场服务</t>
  </si>
  <si>
    <t>是</t>
  </si>
  <si>
    <t>自承担</t>
  </si>
  <si>
    <t>短途物流车</t>
  </si>
  <si>
    <t>18个月</t>
  </si>
  <si>
    <t>青岛福基，7月20日确定</t>
    <phoneticPr fontId="35" type="noConversion"/>
  </si>
  <si>
    <t>前座总成</t>
  </si>
  <si>
    <t>驾驶员总成</t>
  </si>
  <si>
    <t>6900010WH43-C00/A</t>
  </si>
  <si>
    <t>6800010WH43-C00/A</t>
  </si>
  <si>
    <t>坐垫翻折、织物面料，靠背坐垫为泡沫，三点式安全带</t>
    <phoneticPr fontId="35" type="noConversion"/>
  </si>
  <si>
    <t>气动腰托、固定阻尼、扶手、安全带未系报警、气动升降、速降、织物面料，靠背坐垫为泡沫，三点式安全带</t>
    <phoneticPr fontId="35" type="noConversion"/>
  </si>
  <si>
    <t>2028年</t>
  </si>
  <si>
    <t>按长春2023年预算+财务费用按集团</t>
    <phoneticPr fontId="38" type="noConversion"/>
  </si>
  <si>
    <t>一汽解放J6P经典版</t>
    <phoneticPr fontId="38" type="noConversion"/>
  </si>
  <si>
    <t>ZY2342</t>
    <phoneticPr fontId="38" type="noConversion"/>
  </si>
  <si>
    <t>供应商年降：     5  年3%</t>
    <phoneticPr fontId="38" type="noConversion"/>
  </si>
  <si>
    <t>6900010JH13-C00/A</t>
    <phoneticPr fontId="35" type="noConversion"/>
  </si>
  <si>
    <t>手动滑轨、超纤皮面料，靠背坐垫为泡沫，两点式安全带，</t>
    <phoneticPr fontId="35" type="noConversion"/>
  </si>
  <si>
    <r>
      <t>J</t>
    </r>
    <r>
      <rPr>
        <sz val="11"/>
        <color theme="1"/>
        <rFont val="宋体"/>
        <family val="3"/>
        <charset val="134"/>
        <scheme val="minor"/>
      </rPr>
      <t>6P经典版</t>
    </r>
    <phoneticPr fontId="38" type="noConversion"/>
  </si>
  <si>
    <r>
      <t>J</t>
    </r>
    <r>
      <rPr>
        <sz val="11"/>
        <color theme="1"/>
        <rFont val="宋体"/>
        <family val="3"/>
        <charset val="134"/>
        <scheme val="minor"/>
      </rPr>
      <t>6G副驾</t>
    </r>
    <phoneticPr fontId="38" type="noConversion"/>
  </si>
  <si>
    <t>40套用于验证交付，10套用于实验</t>
  </si>
  <si>
    <t>2023年</t>
    <phoneticPr fontId="38" type="noConversion"/>
  </si>
  <si>
    <t>2029年</t>
  </si>
  <si>
    <t>材料成本年降汇总表3%</t>
    <phoneticPr fontId="38" type="noConversion"/>
  </si>
  <si>
    <t xml:space="preserve">2028年  </t>
    <phoneticPr fontId="38" type="noConversion"/>
  </si>
  <si>
    <r>
      <t>2028年</t>
    </r>
    <r>
      <rPr>
        <b/>
        <sz val="10"/>
        <rFont val="宋体"/>
        <family val="3"/>
        <charset val="134"/>
      </rPr>
      <t/>
    </r>
  </si>
  <si>
    <t>销售价格（未税）：由营销或项目经理提供，包括年降3%。</t>
    <phoneticPr fontId="38" type="noConversion"/>
  </si>
  <si>
    <t>成本二次校核，按属地化+河北销价</t>
    <phoneticPr fontId="38" type="noConversion"/>
  </si>
  <si>
    <t>财务费用按集团近三年平均。</t>
    <phoneticPr fontId="38" type="noConversion"/>
  </si>
  <si>
    <t>预测工厂产能满足客户订单，费用按长春工厂2023年预算。</t>
    <phoneticPr fontId="38" type="noConversion"/>
  </si>
  <si>
    <t>变动费用参考长春工厂2023年预算。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</si>
</sst>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4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0" fontId="45" fillId="0" borderId="1" xfId="0" applyFont="1" applyFill="1" applyBorder="1" applyAlignment="1">
      <alignment horizontal="center" vertical="center" wrapText="1" readingOrder="1"/>
    </xf>
    <xf numFmtId="0" fontId="46" fillId="0" borderId="16" xfId="0" applyFont="1" applyBorder="1" applyAlignment="1">
      <alignment horizontal="center" vertical="center" wrapText="1" readingOrder="1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0" fontId="27" fillId="3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5" fillId="9" borderId="0" xfId="0" applyFont="1" applyFill="1">
      <alignment vertical="center"/>
    </xf>
    <xf numFmtId="0" fontId="2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center" vertical="center"/>
    </xf>
    <xf numFmtId="0" fontId="41" fillId="9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43" fontId="15" fillId="0" borderId="1" xfId="0" applyNumberFormat="1" applyFont="1" applyBorder="1">
      <alignment vertical="center"/>
    </xf>
    <xf numFmtId="43" fontId="15" fillId="0" borderId="1" xfId="1" applyFont="1" applyBorder="1">
      <alignment vertical="center"/>
    </xf>
    <xf numFmtId="180" fontId="2" fillId="0" borderId="0" xfId="3" applyNumberFormat="1" applyFont="1">
      <alignment vertical="center"/>
    </xf>
    <xf numFmtId="0" fontId="47" fillId="0" borderId="13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top" wrapText="1"/>
    </xf>
    <xf numFmtId="0" fontId="45" fillId="0" borderId="1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>
      <alignment vertical="center"/>
    </xf>
    <xf numFmtId="0" fontId="7" fillId="3" borderId="0" xfId="0" applyFont="1" applyFill="1" applyBorder="1" applyAlignment="1">
      <alignment horizontal="center" vertical="center" wrapText="1" readingOrder="1"/>
    </xf>
    <xf numFmtId="178" fontId="7" fillId="3" borderId="0" xfId="1" applyNumberFormat="1" applyFont="1" applyFill="1" applyBorder="1" applyAlignment="1">
      <alignment horizontal="center" vertical="center" wrapText="1" readingOrder="1"/>
    </xf>
    <xf numFmtId="178" fontId="5" fillId="3" borderId="0" xfId="0" applyNumberFormat="1" applyFont="1" applyFill="1" applyBorder="1" applyAlignment="1">
      <alignment horizont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0</xdr:rowOff>
    </xdr:from>
    <xdr:to>
      <xdr:col>10</xdr:col>
      <xdr:colOff>276225</xdr:colOff>
      <xdr:row>98</xdr:row>
      <xdr:rowOff>47625</xdr:rowOff>
    </xdr:to>
    <xdr:pic>
      <xdr:nvPicPr>
        <xdr:cNvPr id="2" name="图片 1" descr="C:\Users\wangguangqun\AppData\Roaming\feiq\RichOle\3257692082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353925"/>
          <a:ext cx="11258550" cy="7591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0" sqref="C10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9" customFormat="1" ht="35.25" customHeight="1">
      <c r="A2" s="140" t="s">
        <v>0</v>
      </c>
      <c r="B2" s="140" t="s">
        <v>1</v>
      </c>
      <c r="C2" s="140" t="s">
        <v>2</v>
      </c>
      <c r="D2" s="141"/>
    </row>
    <row r="3" spans="1:4" s="139" customFormat="1" ht="33.75" customHeight="1">
      <c r="A3" s="142">
        <v>1</v>
      </c>
      <c r="B3" s="142" t="s">
        <v>3</v>
      </c>
      <c r="C3" s="143" t="s">
        <v>4</v>
      </c>
      <c r="D3" s="141"/>
    </row>
    <row r="4" spans="1:4" s="139" customFormat="1" ht="33.75" customHeight="1">
      <c r="A4" s="142">
        <v>2</v>
      </c>
      <c r="B4" s="142" t="s">
        <v>5</v>
      </c>
      <c r="C4" s="143" t="s">
        <v>292</v>
      </c>
    </row>
    <row r="5" spans="1:4" s="139" customFormat="1" ht="33.75" customHeight="1">
      <c r="A5" s="142">
        <v>3</v>
      </c>
      <c r="B5" s="211" t="s">
        <v>6</v>
      </c>
      <c r="C5" s="144" t="s">
        <v>250</v>
      </c>
    </row>
    <row r="6" spans="1:4" s="139" customFormat="1" ht="33.75" customHeight="1">
      <c r="A6" s="142">
        <v>4</v>
      </c>
      <c r="B6" s="212"/>
      <c r="C6" s="143" t="s">
        <v>7</v>
      </c>
    </row>
    <row r="7" spans="1:4" s="139" customFormat="1" ht="33.75" customHeight="1">
      <c r="A7" s="142">
        <v>5</v>
      </c>
      <c r="B7" s="145" t="s">
        <v>8</v>
      </c>
      <c r="C7" s="143" t="s">
        <v>296</v>
      </c>
    </row>
    <row r="8" spans="1:4" s="139" customFormat="1" ht="33.75" customHeight="1">
      <c r="A8" s="142">
        <v>6</v>
      </c>
      <c r="B8" s="211" t="s">
        <v>9</v>
      </c>
      <c r="C8" s="143" t="s">
        <v>295</v>
      </c>
    </row>
    <row r="9" spans="1:4" s="139" customFormat="1" ht="33.75" customHeight="1">
      <c r="A9" s="142">
        <v>7</v>
      </c>
      <c r="B9" s="212"/>
      <c r="C9" s="143" t="s">
        <v>10</v>
      </c>
    </row>
    <row r="10" spans="1:4" s="139" customFormat="1" ht="33.75" customHeight="1">
      <c r="A10" s="142">
        <v>8</v>
      </c>
      <c r="B10" s="212"/>
      <c r="C10" s="144" t="s">
        <v>294</v>
      </c>
    </row>
    <row r="11" spans="1:4" s="139" customFormat="1" ht="33.75" customHeight="1">
      <c r="A11" s="142">
        <v>9</v>
      </c>
      <c r="B11" s="212"/>
      <c r="C11" s="143" t="s">
        <v>11</v>
      </c>
    </row>
    <row r="12" spans="1:4" s="139" customFormat="1" ht="33.75" customHeight="1">
      <c r="A12" s="142">
        <v>10</v>
      </c>
      <c r="B12" s="145" t="s">
        <v>12</v>
      </c>
      <c r="C12" s="143" t="s">
        <v>13</v>
      </c>
    </row>
    <row r="13" spans="1:4" ht="33.75" customHeight="1"/>
    <row r="14" spans="1:4" ht="33.75" customHeight="1"/>
    <row r="15" spans="1:4" ht="33.75" customHeight="1">
      <c r="C15" s="146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pane xSplit="6" ySplit="2" topLeftCell="G12" activePane="bottomRight" state="frozen"/>
      <selection pane="topRight"/>
      <selection pane="bottomLeft"/>
      <selection pane="bottomRight" activeCell="E23" sqref="E23:J23"/>
    </sheetView>
  </sheetViews>
  <sheetFormatPr defaultColWidth="9" defaultRowHeight="13.5"/>
  <cols>
    <col min="1" max="1" width="20.625" customWidth="1"/>
    <col min="2" max="2" width="14.25" style="25" customWidth="1"/>
    <col min="3" max="3" width="13.125" customWidth="1"/>
    <col min="4" max="4" width="14.5" customWidth="1"/>
    <col min="5" max="5" width="12.75" customWidth="1"/>
    <col min="6" max="6" width="14.5" customWidth="1"/>
    <col min="7" max="8" width="12.5" customWidth="1"/>
    <col min="9" max="10" width="13.5" customWidth="1"/>
    <col min="11" max="11" width="16.75" customWidth="1"/>
    <col min="12" max="12" width="14.125" customWidth="1"/>
  </cols>
  <sheetData>
    <row r="1" spans="1:10" ht="20.25">
      <c r="A1" s="228" t="s">
        <v>148</v>
      </c>
      <c r="B1" s="228"/>
      <c r="C1" s="228"/>
      <c r="E1" s="229" t="s">
        <v>260</v>
      </c>
      <c r="F1" s="230"/>
      <c r="G1" s="230"/>
      <c r="H1" s="230"/>
      <c r="I1" s="230"/>
      <c r="J1" s="231"/>
    </row>
    <row r="2" spans="1:10" ht="23.45" customHeight="1">
      <c r="A2" s="26" t="s">
        <v>1</v>
      </c>
      <c r="B2" s="27" t="s">
        <v>149</v>
      </c>
      <c r="C2" s="28" t="s">
        <v>150</v>
      </c>
      <c r="E2" s="1" t="s">
        <v>151</v>
      </c>
      <c r="F2" s="1" t="s">
        <v>1</v>
      </c>
      <c r="G2" s="204" t="s">
        <v>284</v>
      </c>
      <c r="H2" s="204" t="s">
        <v>285</v>
      </c>
      <c r="I2" s="205" t="s">
        <v>152</v>
      </c>
      <c r="J2" s="1" t="s">
        <v>150</v>
      </c>
    </row>
    <row r="3" spans="1:10" ht="15.75" customHeight="1">
      <c r="A3" s="30" t="s">
        <v>153</v>
      </c>
      <c r="B3" s="31"/>
      <c r="C3" s="32"/>
      <c r="E3" s="236" t="s">
        <v>154</v>
      </c>
      <c r="F3" s="2" t="s">
        <v>155</v>
      </c>
      <c r="G3" s="2"/>
      <c r="H3" s="2"/>
      <c r="I3" s="33"/>
      <c r="J3" s="2"/>
    </row>
    <row r="4" spans="1:10" ht="15.75" customHeight="1">
      <c r="A4" s="30" t="s">
        <v>156</v>
      </c>
      <c r="B4" s="31"/>
      <c r="C4" s="34"/>
      <c r="E4" s="237"/>
      <c r="F4" s="2" t="s">
        <v>157</v>
      </c>
      <c r="G4" s="2"/>
      <c r="H4" s="2"/>
      <c r="I4" s="33"/>
      <c r="J4" s="2"/>
    </row>
    <row r="5" spans="1:10" ht="15.75" customHeight="1">
      <c r="A5" s="30" t="s">
        <v>158</v>
      </c>
      <c r="B5" s="35">
        <f>SUM(I3:I4)</f>
        <v>0</v>
      </c>
      <c r="C5" s="32"/>
      <c r="E5" s="238" t="s">
        <v>159</v>
      </c>
      <c r="F5" s="36" t="s">
        <v>160</v>
      </c>
      <c r="G5" s="36"/>
      <c r="H5" s="36"/>
      <c r="I5" s="174"/>
      <c r="J5" s="183"/>
    </row>
    <row r="6" spans="1:10" ht="15.75" customHeight="1">
      <c r="A6" s="30" t="s">
        <v>161</v>
      </c>
      <c r="B6" s="31"/>
      <c r="C6" s="32"/>
      <c r="E6" s="239"/>
      <c r="F6" s="36" t="s">
        <v>162</v>
      </c>
      <c r="G6" s="36">
        <v>47.7</v>
      </c>
      <c r="H6" s="36">
        <v>8.6</v>
      </c>
      <c r="I6" s="174">
        <f>SUM(G6:H6)</f>
        <v>56.300000000000004</v>
      </c>
      <c r="J6" s="183"/>
    </row>
    <row r="7" spans="1:10" ht="15.75" customHeight="1">
      <c r="A7" s="37" t="s">
        <v>163</v>
      </c>
      <c r="B7" s="35">
        <f>SUM(B3:B6)</f>
        <v>0</v>
      </c>
      <c r="C7" s="32"/>
      <c r="E7" s="239"/>
      <c r="F7" s="36" t="s">
        <v>164</v>
      </c>
      <c r="G7" s="36">
        <v>0</v>
      </c>
      <c r="H7" s="36">
        <v>0</v>
      </c>
      <c r="I7" s="174">
        <f t="shared" ref="I7:I21" si="0">SUM(G7:H7)</f>
        <v>0</v>
      </c>
      <c r="J7" s="183"/>
    </row>
    <row r="8" spans="1:10" ht="15.75" customHeight="1">
      <c r="A8" s="38" t="s">
        <v>165</v>
      </c>
      <c r="B8" s="35">
        <f>SUM(I5:I12)</f>
        <v>68.300000000000011</v>
      </c>
      <c r="C8" s="39"/>
      <c r="E8" s="239"/>
      <c r="F8" s="36" t="s">
        <v>166</v>
      </c>
      <c r="G8" s="36">
        <v>0</v>
      </c>
      <c r="H8" s="36">
        <v>0</v>
      </c>
      <c r="I8" s="174">
        <f t="shared" si="0"/>
        <v>0</v>
      </c>
      <c r="J8" s="2"/>
    </row>
    <row r="9" spans="1:10" ht="15.75" customHeight="1">
      <c r="A9" s="30" t="s">
        <v>167</v>
      </c>
      <c r="B9" s="35">
        <f>SUM(I13:I21)</f>
        <v>28.82</v>
      </c>
      <c r="C9" s="32"/>
      <c r="E9" s="239"/>
      <c r="F9" s="2" t="s">
        <v>168</v>
      </c>
      <c r="G9" s="2">
        <v>5.5</v>
      </c>
      <c r="H9" s="2">
        <v>3.5</v>
      </c>
      <c r="I9" s="174">
        <f t="shared" si="0"/>
        <v>9</v>
      </c>
      <c r="J9" s="161"/>
    </row>
    <row r="10" spans="1:10" ht="15.75" customHeight="1">
      <c r="A10" s="34" t="s">
        <v>15</v>
      </c>
      <c r="B10" s="35">
        <f>B7+B8+B9</f>
        <v>97.12</v>
      </c>
      <c r="C10" s="32"/>
      <c r="E10" s="239"/>
      <c r="F10" s="2" t="s">
        <v>169</v>
      </c>
      <c r="G10" s="2">
        <v>0</v>
      </c>
      <c r="H10" s="2">
        <v>0</v>
      </c>
      <c r="I10" s="174">
        <f t="shared" si="0"/>
        <v>0</v>
      </c>
      <c r="J10" s="2"/>
    </row>
    <row r="11" spans="1:10" ht="15.75" customHeight="1">
      <c r="E11" s="239"/>
      <c r="F11" s="2" t="s">
        <v>170</v>
      </c>
      <c r="G11" s="2">
        <v>0</v>
      </c>
      <c r="H11" s="2">
        <v>0</v>
      </c>
      <c r="I11" s="174">
        <f t="shared" si="0"/>
        <v>0</v>
      </c>
      <c r="J11" s="2"/>
    </row>
    <row r="12" spans="1:10" ht="15.75" customHeight="1">
      <c r="E12" s="240"/>
      <c r="F12" s="2" t="s">
        <v>171</v>
      </c>
      <c r="G12" s="2">
        <v>3</v>
      </c>
      <c r="H12" s="2">
        <v>0</v>
      </c>
      <c r="I12" s="174">
        <f t="shared" si="0"/>
        <v>3</v>
      </c>
      <c r="J12" s="161"/>
    </row>
    <row r="13" spans="1:10" ht="15.75" customHeight="1">
      <c r="E13" s="236" t="s">
        <v>47</v>
      </c>
      <c r="F13" s="2" t="s">
        <v>172</v>
      </c>
      <c r="G13" s="2">
        <v>0</v>
      </c>
      <c r="H13" s="2">
        <v>0</v>
      </c>
      <c r="I13" s="174">
        <f t="shared" si="0"/>
        <v>0</v>
      </c>
      <c r="J13" s="40"/>
    </row>
    <row r="14" spans="1:10" ht="15.75" customHeight="1">
      <c r="E14" s="237"/>
      <c r="F14" s="2" t="s">
        <v>173</v>
      </c>
      <c r="G14" s="2">
        <v>1</v>
      </c>
      <c r="H14" s="2">
        <v>0</v>
      </c>
      <c r="I14" s="174">
        <f t="shared" si="0"/>
        <v>1</v>
      </c>
      <c r="J14" s="2"/>
    </row>
    <row r="15" spans="1:10" ht="15.75" customHeight="1">
      <c r="E15" s="237"/>
      <c r="F15" s="2" t="s">
        <v>174</v>
      </c>
      <c r="G15" s="2">
        <v>0.1</v>
      </c>
      <c r="H15" s="2">
        <v>0.1</v>
      </c>
      <c r="I15" s="174">
        <f t="shared" si="0"/>
        <v>0.2</v>
      </c>
      <c r="J15" s="2"/>
    </row>
    <row r="16" spans="1:10" ht="15.75" customHeight="1">
      <c r="E16" s="237"/>
      <c r="F16" s="2" t="s">
        <v>175</v>
      </c>
      <c r="G16" s="2">
        <v>2</v>
      </c>
      <c r="H16" s="2">
        <v>0.5</v>
      </c>
      <c r="I16" s="174">
        <f t="shared" si="0"/>
        <v>2.5</v>
      </c>
      <c r="J16" s="2"/>
    </row>
    <row r="17" spans="1:12" ht="15.75" customHeight="1">
      <c r="E17" s="237"/>
      <c r="F17" s="2" t="s">
        <v>176</v>
      </c>
      <c r="G17" s="2">
        <v>2.4</v>
      </c>
      <c r="H17" s="2">
        <v>0</v>
      </c>
      <c r="I17" s="174">
        <f t="shared" si="0"/>
        <v>2.4</v>
      </c>
      <c r="J17" s="2"/>
    </row>
    <row r="18" spans="1:12" ht="15.75" customHeight="1">
      <c r="E18" s="237"/>
      <c r="F18" s="2" t="s">
        <v>177</v>
      </c>
      <c r="G18" s="2">
        <f>10-8</f>
        <v>2</v>
      </c>
      <c r="H18" s="2">
        <f>5-4</f>
        <v>1</v>
      </c>
      <c r="I18" s="174">
        <f t="shared" si="0"/>
        <v>3</v>
      </c>
      <c r="J18" s="2" t="s">
        <v>286</v>
      </c>
    </row>
    <row r="19" spans="1:12" ht="15.75" customHeight="1">
      <c r="E19" s="237"/>
      <c r="F19" s="2" t="s">
        <v>178</v>
      </c>
      <c r="G19" s="2">
        <v>12</v>
      </c>
      <c r="H19" s="2">
        <v>7.72</v>
      </c>
      <c r="I19" s="174">
        <f t="shared" si="0"/>
        <v>19.72</v>
      </c>
      <c r="J19" s="2"/>
    </row>
    <row r="20" spans="1:12" ht="15.75" customHeight="1">
      <c r="E20" s="237"/>
      <c r="F20" s="2" t="s">
        <v>179</v>
      </c>
      <c r="G20" s="2">
        <v>0</v>
      </c>
      <c r="H20" s="2">
        <v>0</v>
      </c>
      <c r="I20" s="174">
        <f t="shared" si="0"/>
        <v>0</v>
      </c>
      <c r="J20" s="2"/>
    </row>
    <row r="21" spans="1:12" ht="15.75" customHeight="1">
      <c r="E21" s="241"/>
      <c r="F21" s="2" t="s">
        <v>125</v>
      </c>
      <c r="G21" s="2">
        <v>0</v>
      </c>
      <c r="H21" s="2">
        <v>0</v>
      </c>
      <c r="I21" s="174">
        <f t="shared" si="0"/>
        <v>0</v>
      </c>
      <c r="J21" s="2"/>
    </row>
    <row r="22" spans="1:12" ht="15.75" customHeight="1">
      <c r="E22" s="1" t="s">
        <v>15</v>
      </c>
      <c r="F22" s="2"/>
      <c r="G22" s="29">
        <f t="shared" ref="G22:H22" si="1">SUM(G3:G21)</f>
        <v>75.7</v>
      </c>
      <c r="H22" s="29">
        <f t="shared" si="1"/>
        <v>21.419999999999998</v>
      </c>
      <c r="I22" s="29">
        <f>SUM(I3:I21)</f>
        <v>97.120000000000019</v>
      </c>
      <c r="J22" s="2"/>
    </row>
    <row r="23" spans="1:12" ht="30.75" customHeight="1">
      <c r="E23" s="232" t="s">
        <v>180</v>
      </c>
      <c r="F23" s="232"/>
      <c r="G23" s="232"/>
      <c r="H23" s="232"/>
      <c r="I23" s="232"/>
      <c r="J23" s="232"/>
    </row>
    <row r="25" spans="1:12" ht="17.25">
      <c r="A25" s="18" t="s">
        <v>1</v>
      </c>
      <c r="B25" s="18" t="s">
        <v>149</v>
      </c>
      <c r="C25" s="18" t="s">
        <v>181</v>
      </c>
      <c r="D25" s="175" t="s">
        <v>287</v>
      </c>
      <c r="E25" s="186" t="s">
        <v>182</v>
      </c>
      <c r="F25" s="186" t="s">
        <v>183</v>
      </c>
      <c r="G25" s="186" t="s">
        <v>231</v>
      </c>
      <c r="H25" s="186" t="s">
        <v>233</v>
      </c>
      <c r="I25" s="186" t="s">
        <v>277</v>
      </c>
      <c r="J25" s="186" t="s">
        <v>288</v>
      </c>
      <c r="K25" s="20" t="s">
        <v>15</v>
      </c>
      <c r="L25" s="44" t="s">
        <v>184</v>
      </c>
    </row>
    <row r="26" spans="1:12" ht="16.5">
      <c r="A26" s="41" t="s">
        <v>143</v>
      </c>
      <c r="B26" s="42">
        <f>(B5+B8)*10000</f>
        <v>683000.00000000012</v>
      </c>
      <c r="C26" s="43">
        <v>0.05</v>
      </c>
      <c r="D26" s="12">
        <f>B26*(1-C26)/16.3*1.3</f>
        <v>51748.773006134979</v>
      </c>
      <c r="E26" s="12">
        <f>B26*(1-C26)/16.3*3</f>
        <v>119420.24539877303</v>
      </c>
      <c r="F26" s="12">
        <f t="shared" ref="F26:F27" si="2">E26</f>
        <v>119420.24539877303</v>
      </c>
      <c r="G26" s="12">
        <f t="shared" ref="G26:G27" si="3">F26</f>
        <v>119420.24539877303</v>
      </c>
      <c r="H26" s="12">
        <f t="shared" ref="H26:H27" si="4">G26</f>
        <v>119420.24539877303</v>
      </c>
      <c r="I26" s="12">
        <f t="shared" ref="I26:I27" si="5">H26</f>
        <v>119420.24539877303</v>
      </c>
      <c r="J26" s="12"/>
      <c r="K26" s="12">
        <f>SUM(D26:J26)</f>
        <v>648850</v>
      </c>
      <c r="L26" s="12">
        <f>B26*0.05</f>
        <v>34150.000000000007</v>
      </c>
    </row>
    <row r="27" spans="1:12" ht="16.5">
      <c r="A27" s="41" t="s">
        <v>185</v>
      </c>
      <c r="B27" s="198">
        <f>B9*10000</f>
        <v>288200</v>
      </c>
      <c r="C27" s="199"/>
      <c r="D27" s="199">
        <f>B27/16.3*1.3</f>
        <v>22985.276073619632</v>
      </c>
      <c r="E27" s="199">
        <f>B27/16.3*3</f>
        <v>53042.944785276071</v>
      </c>
      <c r="F27" s="199">
        <f t="shared" si="2"/>
        <v>53042.944785276071</v>
      </c>
      <c r="G27" s="199">
        <f t="shared" si="3"/>
        <v>53042.944785276071</v>
      </c>
      <c r="H27" s="199">
        <f t="shared" si="4"/>
        <v>53042.944785276071</v>
      </c>
      <c r="I27" s="199">
        <f t="shared" si="5"/>
        <v>53042.944785276071</v>
      </c>
      <c r="J27" s="199"/>
      <c r="K27" s="199">
        <f>SUM(D27:J27)</f>
        <v>288200</v>
      </c>
      <c r="L27" s="12"/>
    </row>
    <row r="28" spans="1:12" ht="16.5">
      <c r="A28" s="233" t="s">
        <v>105</v>
      </c>
      <c r="B28" s="234"/>
      <c r="C28" s="235"/>
      <c r="D28" s="12">
        <f>SUM(D26:D27)</f>
        <v>74734.049079754608</v>
      </c>
      <c r="E28" s="12">
        <f t="shared" ref="E28:J28" si="6">SUM(E26:E27)</f>
        <v>172463.1901840491</v>
      </c>
      <c r="F28" s="12">
        <f t="shared" si="6"/>
        <v>172463.1901840491</v>
      </c>
      <c r="G28" s="12">
        <f t="shared" ref="G28:I28" si="7">SUM(G26:G27)</f>
        <v>172463.1901840491</v>
      </c>
      <c r="H28" s="12">
        <f t="shared" si="7"/>
        <v>172463.1901840491</v>
      </c>
      <c r="I28" s="12">
        <f t="shared" si="7"/>
        <v>172463.1901840491</v>
      </c>
      <c r="J28" s="12">
        <f t="shared" si="6"/>
        <v>0</v>
      </c>
      <c r="K28" s="45"/>
      <c r="L28" s="45"/>
    </row>
    <row r="41" ht="37.5" customHeight="1"/>
  </sheetData>
  <mergeCells count="7">
    <mergeCell ref="A1:C1"/>
    <mergeCell ref="E1:J1"/>
    <mergeCell ref="E23:J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="80" zoomScaleNormal="80" workbookViewId="0">
      <selection activeCell="K14" sqref="K14"/>
    </sheetView>
  </sheetViews>
  <sheetFormatPr defaultColWidth="9" defaultRowHeight="16.5"/>
  <cols>
    <col min="1" max="1" width="14" style="5" customWidth="1"/>
    <col min="2" max="2" width="14.125" style="5" customWidth="1"/>
    <col min="3" max="3" width="18.25" style="5" customWidth="1"/>
    <col min="4" max="4" width="17" style="5" customWidth="1"/>
    <col min="5" max="5" width="18.25" style="5" customWidth="1"/>
    <col min="6" max="8" width="15.125" style="5" customWidth="1"/>
    <col min="9" max="10" width="11.625" style="5" customWidth="1"/>
    <col min="11" max="11" width="9.25" style="5" customWidth="1"/>
    <col min="12" max="12" width="9.125" style="5" customWidth="1"/>
    <col min="13" max="16384" width="9" style="5"/>
  </cols>
  <sheetData>
    <row r="1" spans="1:13" ht="29.25" customHeight="1">
      <c r="A1" s="15" t="s">
        <v>186</v>
      </c>
      <c r="E1" s="16"/>
      <c r="F1" s="16"/>
      <c r="G1" s="16"/>
      <c r="H1" s="16"/>
      <c r="I1" s="16"/>
      <c r="J1" s="16"/>
    </row>
    <row r="2" spans="1:13" ht="24" customHeight="1">
      <c r="A2" s="17" t="s">
        <v>187</v>
      </c>
      <c r="E2" s="16"/>
      <c r="F2" s="16"/>
      <c r="G2" s="16"/>
      <c r="H2" s="16"/>
      <c r="I2" s="16"/>
      <c r="J2" s="16"/>
    </row>
    <row r="3" spans="1:13">
      <c r="C3" s="5" t="s">
        <v>188</v>
      </c>
      <c r="D3" s="8" t="s">
        <v>227</v>
      </c>
      <c r="E3" s="164">
        <v>0.03</v>
      </c>
    </row>
    <row r="5" spans="1:13" ht="45" customHeight="1">
      <c r="A5" s="243" t="s">
        <v>189</v>
      </c>
      <c r="B5" s="7" t="s">
        <v>139</v>
      </c>
      <c r="C5" s="201" t="s">
        <v>271</v>
      </c>
      <c r="D5" s="201" t="s">
        <v>272</v>
      </c>
      <c r="E5" s="201" t="s">
        <v>271</v>
      </c>
      <c r="F5" s="184"/>
      <c r="G5" s="184"/>
      <c r="H5" s="184"/>
      <c r="I5" s="242" t="s">
        <v>15</v>
      </c>
      <c r="J5" s="208"/>
    </row>
    <row r="6" spans="1:13" ht="45.75" customHeight="1">
      <c r="A6" s="243"/>
      <c r="B6" s="7" t="s">
        <v>140</v>
      </c>
      <c r="C6" s="188" t="s">
        <v>273</v>
      </c>
      <c r="D6" s="188" t="s">
        <v>274</v>
      </c>
      <c r="E6" s="188" t="s">
        <v>282</v>
      </c>
      <c r="F6" s="190"/>
      <c r="G6" s="14"/>
      <c r="H6" s="14"/>
      <c r="I6" s="242"/>
      <c r="J6" s="208"/>
      <c r="L6" s="5">
        <v>100</v>
      </c>
    </row>
    <row r="7" spans="1:13" ht="33.75" customHeight="1">
      <c r="A7" s="243"/>
      <c r="B7" s="19" t="s">
        <v>190</v>
      </c>
      <c r="C7" s="202" t="s">
        <v>275</v>
      </c>
      <c r="D7" s="188" t="s">
        <v>276</v>
      </c>
      <c r="E7" s="202" t="s">
        <v>283</v>
      </c>
      <c r="F7" s="190"/>
      <c r="G7" s="14"/>
      <c r="H7" s="14"/>
      <c r="I7" s="242"/>
      <c r="J7" s="208"/>
      <c r="L7" s="5">
        <f>L6*(1-$E$3)</f>
        <v>97</v>
      </c>
      <c r="M7" s="5">
        <f>L7/$L$6</f>
        <v>0.97</v>
      </c>
    </row>
    <row r="8" spans="1:13" ht="33">
      <c r="A8" s="243"/>
      <c r="B8" s="19" t="s">
        <v>191</v>
      </c>
      <c r="C8" s="188">
        <v>565</v>
      </c>
      <c r="D8" s="188">
        <v>1350</v>
      </c>
      <c r="E8" s="188">
        <v>650</v>
      </c>
      <c r="F8" s="190"/>
      <c r="G8" s="14"/>
      <c r="H8" s="14"/>
      <c r="I8" s="242"/>
      <c r="J8" s="208"/>
      <c r="L8" s="5">
        <f>L7*(1-$E$3)</f>
        <v>94.09</v>
      </c>
      <c r="M8" s="5">
        <f t="shared" ref="M8:M10" si="0">L8/$L$6</f>
        <v>0.94090000000000007</v>
      </c>
    </row>
    <row r="9" spans="1:13" ht="18.75">
      <c r="A9" s="243" t="s">
        <v>192</v>
      </c>
      <c r="B9" s="176" t="s">
        <v>234</v>
      </c>
      <c r="C9" s="203">
        <v>5000</v>
      </c>
      <c r="D9" s="203">
        <v>5000</v>
      </c>
      <c r="E9" s="203">
        <v>3000</v>
      </c>
      <c r="F9" s="179"/>
      <c r="G9" s="179"/>
      <c r="H9" s="180"/>
      <c r="I9" s="24">
        <f>SUM(C9:H9)</f>
        <v>13000</v>
      </c>
      <c r="J9" s="209"/>
      <c r="L9" s="5">
        <f t="shared" ref="L9:L11" si="1">L8*(1-$E$3)</f>
        <v>91.267300000000006</v>
      </c>
      <c r="M9" s="5">
        <f t="shared" si="0"/>
        <v>0.91267300000000007</v>
      </c>
    </row>
    <row r="10" spans="1:13" ht="18.75">
      <c r="A10" s="243"/>
      <c r="B10" s="184" t="s">
        <v>182</v>
      </c>
      <c r="C10" s="203">
        <v>10000</v>
      </c>
      <c r="D10" s="203">
        <v>10000</v>
      </c>
      <c r="E10" s="203">
        <v>10000</v>
      </c>
      <c r="F10" s="179"/>
      <c r="G10" s="179"/>
      <c r="H10" s="180"/>
      <c r="I10" s="24">
        <f t="shared" ref="I10:I14" si="2">SUM(C10:H10)</f>
        <v>30000</v>
      </c>
      <c r="J10" s="209"/>
      <c r="L10" s="5">
        <f t="shared" si="1"/>
        <v>88.529280999999997</v>
      </c>
      <c r="M10" s="5">
        <f t="shared" si="0"/>
        <v>0.88529280999999993</v>
      </c>
    </row>
    <row r="11" spans="1:13" ht="18.75">
      <c r="A11" s="243"/>
      <c r="B11" s="184" t="s">
        <v>183</v>
      </c>
      <c r="C11" s="203">
        <v>10000</v>
      </c>
      <c r="D11" s="203">
        <v>10000</v>
      </c>
      <c r="E11" s="203">
        <v>10000</v>
      </c>
      <c r="F11" s="179"/>
      <c r="G11" s="179"/>
      <c r="H11" s="180"/>
      <c r="I11" s="24">
        <f t="shared" si="2"/>
        <v>30000</v>
      </c>
      <c r="J11" s="209"/>
      <c r="L11" s="5">
        <f t="shared" si="1"/>
        <v>85.873402569999996</v>
      </c>
      <c r="M11" s="5">
        <f t="shared" ref="M11" si="3">L11/$L$6</f>
        <v>0.85873402570000001</v>
      </c>
    </row>
    <row r="12" spans="1:13" ht="18.75">
      <c r="A12" s="243"/>
      <c r="B12" s="184" t="s">
        <v>231</v>
      </c>
      <c r="C12" s="203">
        <v>10000</v>
      </c>
      <c r="D12" s="203">
        <v>10000</v>
      </c>
      <c r="E12" s="203">
        <v>10000</v>
      </c>
      <c r="F12" s="179"/>
      <c r="G12" s="179"/>
      <c r="H12" s="180"/>
      <c r="I12" s="24">
        <f t="shared" si="2"/>
        <v>30000</v>
      </c>
      <c r="J12" s="209"/>
    </row>
    <row r="13" spans="1:13" ht="18.75">
      <c r="A13" s="243"/>
      <c r="B13" s="184" t="s">
        <v>233</v>
      </c>
      <c r="C13" s="203">
        <v>10000</v>
      </c>
      <c r="D13" s="203">
        <v>10000</v>
      </c>
      <c r="E13" s="203">
        <v>10000</v>
      </c>
      <c r="F13" s="179"/>
      <c r="G13" s="179"/>
      <c r="H13" s="180"/>
      <c r="I13" s="24">
        <f t="shared" si="2"/>
        <v>30000</v>
      </c>
      <c r="J13" s="209"/>
    </row>
    <row r="14" spans="1:13" ht="18.75">
      <c r="A14" s="243"/>
      <c r="B14" s="187" t="s">
        <v>277</v>
      </c>
      <c r="C14" s="203">
        <v>10000</v>
      </c>
      <c r="D14" s="203">
        <v>10000</v>
      </c>
      <c r="E14" s="203">
        <v>10000</v>
      </c>
      <c r="F14" s="179"/>
      <c r="G14" s="179"/>
      <c r="H14" s="180"/>
      <c r="I14" s="24">
        <f t="shared" si="2"/>
        <v>30000</v>
      </c>
      <c r="J14" s="209"/>
    </row>
    <row r="15" spans="1:13" ht="17.25">
      <c r="A15" s="242" t="s">
        <v>15</v>
      </c>
      <c r="B15" s="242"/>
      <c r="C15" s="22">
        <f>SUM(C9:C14)</f>
        <v>55000</v>
      </c>
      <c r="D15" s="22">
        <f t="shared" ref="D15:I15" si="4">SUM(D9:D14)</f>
        <v>55000</v>
      </c>
      <c r="E15" s="22">
        <f t="shared" si="4"/>
        <v>53000</v>
      </c>
      <c r="F15" s="22">
        <f t="shared" si="4"/>
        <v>0</v>
      </c>
      <c r="G15" s="22">
        <f t="shared" si="4"/>
        <v>0</v>
      </c>
      <c r="H15" s="22">
        <f t="shared" si="4"/>
        <v>0</v>
      </c>
      <c r="I15" s="22">
        <f t="shared" si="4"/>
        <v>163000</v>
      </c>
      <c r="J15" s="210"/>
    </row>
    <row r="16" spans="1:13">
      <c r="A16" s="23"/>
      <c r="B16" s="23" t="s">
        <v>251</v>
      </c>
      <c r="C16" s="23">
        <f>材料成本!D12</f>
        <v>446.65</v>
      </c>
      <c r="D16" s="165">
        <f>材料成本!E12</f>
        <v>1144.18</v>
      </c>
      <c r="E16" s="165">
        <f>材料成本!F12</f>
        <v>589.79</v>
      </c>
      <c r="F16" s="165"/>
      <c r="G16" s="165"/>
    </row>
    <row r="17" spans="1:7">
      <c r="A17" s="23"/>
      <c r="B17" s="23" t="s">
        <v>252</v>
      </c>
      <c r="C17" s="23">
        <f>C8-C16</f>
        <v>118.35000000000002</v>
      </c>
      <c r="D17" s="23">
        <f t="shared" ref="D17:G17" si="5">D8-D16</f>
        <v>205.81999999999994</v>
      </c>
      <c r="E17" s="23">
        <f t="shared" si="5"/>
        <v>60.210000000000036</v>
      </c>
      <c r="F17" s="23">
        <f t="shared" si="5"/>
        <v>0</v>
      </c>
      <c r="G17" s="23">
        <f t="shared" si="5"/>
        <v>0</v>
      </c>
    </row>
    <row r="18" spans="1:7">
      <c r="A18" s="23"/>
      <c r="B18" s="23" t="s">
        <v>253</v>
      </c>
      <c r="C18" s="200">
        <f>C17/C8</f>
        <v>0.20946902654867261</v>
      </c>
      <c r="D18" s="200">
        <f t="shared" ref="D18:G18" si="6">D17/D8</f>
        <v>0.15245925925925921</v>
      </c>
      <c r="E18" s="200">
        <f t="shared" si="6"/>
        <v>9.263076923076928E-2</v>
      </c>
      <c r="F18" s="200" t="e">
        <f t="shared" si="6"/>
        <v>#DIV/0!</v>
      </c>
      <c r="G18" s="200" t="e">
        <f t="shared" si="6"/>
        <v>#DIV/0!</v>
      </c>
    </row>
  </sheetData>
  <mergeCells count="4">
    <mergeCell ref="A15:B15"/>
    <mergeCell ref="A5:A8"/>
    <mergeCell ref="A9:A14"/>
    <mergeCell ref="I5:I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2"/>
  <sheetViews>
    <sheetView workbookViewId="0">
      <pane xSplit="3" ySplit="5" topLeftCell="D6" activePane="bottomRight" state="frozen"/>
      <selection pane="topRight"/>
      <selection pane="bottomLeft"/>
      <selection pane="bottomRight" activeCell="G8" sqref="G8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4" width="14.5" style="5" customWidth="1"/>
    <col min="5" max="5" width="13.875" style="5" bestFit="1" customWidth="1"/>
    <col min="6" max="6" width="12.125" style="5" customWidth="1"/>
    <col min="7" max="10" width="14.375" style="5" customWidth="1"/>
    <col min="11" max="11" width="17.375" style="5" customWidth="1"/>
    <col min="12" max="12" width="16" style="5" customWidth="1"/>
    <col min="13" max="16384" width="9" style="5"/>
  </cols>
  <sheetData>
    <row r="1" spans="1:13" s="4" customFormat="1" ht="28.5" customHeight="1">
      <c r="A1" s="256" t="s">
        <v>6</v>
      </c>
      <c r="B1" s="256"/>
      <c r="C1" s="6"/>
      <c r="L1" s="13"/>
    </row>
    <row r="2" spans="1:13">
      <c r="A2" s="257" t="s">
        <v>193</v>
      </c>
      <c r="B2" s="257"/>
      <c r="C2" s="258"/>
      <c r="D2" s="258"/>
      <c r="E2" s="259" t="s">
        <v>281</v>
      </c>
      <c r="F2" s="260"/>
      <c r="G2" s="260"/>
      <c r="H2" s="260"/>
      <c r="I2" s="260"/>
      <c r="J2" s="260"/>
      <c r="K2" s="261"/>
    </row>
    <row r="3" spans="1:13">
      <c r="A3" s="249" t="s">
        <v>14</v>
      </c>
      <c r="B3" s="249" t="s">
        <v>194</v>
      </c>
      <c r="C3" s="7" t="s">
        <v>195</v>
      </c>
      <c r="D3" s="262" t="s">
        <v>279</v>
      </c>
      <c r="E3" s="262"/>
      <c r="F3" s="7" t="s">
        <v>196</v>
      </c>
      <c r="G3" s="252" t="s">
        <v>280</v>
      </c>
      <c r="H3" s="253"/>
      <c r="I3" s="253"/>
      <c r="J3" s="254"/>
      <c r="K3" s="263" t="s">
        <v>150</v>
      </c>
    </row>
    <row r="4" spans="1:13">
      <c r="A4" s="249"/>
      <c r="B4" s="249"/>
      <c r="C4" s="7" t="s">
        <v>139</v>
      </c>
      <c r="D4" s="160" t="str">
        <f>销量!C5</f>
        <v>前座总成</v>
      </c>
      <c r="E4" s="160" t="str">
        <f>销量!D5</f>
        <v>驾驶员总成</v>
      </c>
      <c r="F4" s="160" t="str">
        <f>销量!E5</f>
        <v>前座总成</v>
      </c>
      <c r="G4" s="160">
        <f>销量!F5</f>
        <v>0</v>
      </c>
      <c r="H4" s="160">
        <f>销量!G5</f>
        <v>0</v>
      </c>
      <c r="I4" s="160">
        <f>销量!H5</f>
        <v>0</v>
      </c>
      <c r="J4" s="160"/>
      <c r="K4" s="264"/>
    </row>
    <row r="5" spans="1:13" ht="35.25" customHeight="1">
      <c r="A5" s="249"/>
      <c r="B5" s="249"/>
      <c r="C5" s="7" t="s">
        <v>140</v>
      </c>
      <c r="D5" s="160" t="str">
        <f>销量!C6</f>
        <v>6900010WH43-C00/A</v>
      </c>
      <c r="E5" s="160" t="str">
        <f>销量!D6</f>
        <v>6800010WH43-C00/A</v>
      </c>
      <c r="F5" s="160" t="str">
        <f>销量!E6</f>
        <v>6900010JH13-C00/A</v>
      </c>
      <c r="G5" s="160">
        <f>销量!F6</f>
        <v>0</v>
      </c>
      <c r="H5" s="160">
        <f>销量!G6</f>
        <v>0</v>
      </c>
      <c r="I5" s="160">
        <f>销量!H6</f>
        <v>0</v>
      </c>
      <c r="J5" s="160"/>
      <c r="K5" s="265"/>
    </row>
    <row r="6" spans="1:13" ht="16.5" customHeight="1">
      <c r="A6" s="10">
        <v>1</v>
      </c>
      <c r="B6" s="250" t="s">
        <v>232</v>
      </c>
      <c r="C6" s="251"/>
      <c r="D6" s="11">
        <v>446.65</v>
      </c>
      <c r="E6" s="11">
        <v>1144.18</v>
      </c>
      <c r="F6" s="11">
        <v>589.79</v>
      </c>
      <c r="G6" s="11"/>
      <c r="H6" s="11"/>
      <c r="I6" s="11"/>
      <c r="J6" s="11"/>
      <c r="K6" s="178" t="s">
        <v>293</v>
      </c>
    </row>
    <row r="7" spans="1:13" ht="16.5" customHeight="1">
      <c r="A7" s="10">
        <v>2</v>
      </c>
      <c r="B7" s="250"/>
      <c r="C7" s="251"/>
      <c r="D7" s="9"/>
      <c r="E7" s="9"/>
      <c r="F7" s="9"/>
      <c r="G7" s="9"/>
      <c r="H7" s="9"/>
      <c r="I7" s="9"/>
      <c r="J7" s="9"/>
      <c r="K7" s="14"/>
    </row>
    <row r="8" spans="1:13" ht="16.5" customHeight="1">
      <c r="A8" s="10">
        <v>3</v>
      </c>
      <c r="B8" s="250"/>
      <c r="C8" s="251"/>
      <c r="D8" s="11"/>
      <c r="E8" s="9"/>
      <c r="F8" s="11"/>
      <c r="G8" s="9"/>
      <c r="H8" s="11"/>
      <c r="I8" s="11"/>
      <c r="J8" s="11"/>
      <c r="K8" s="14"/>
    </row>
    <row r="9" spans="1:13">
      <c r="A9" s="10">
        <v>4</v>
      </c>
      <c r="B9" s="250"/>
      <c r="C9" s="251"/>
      <c r="D9" s="11"/>
      <c r="E9" s="9"/>
      <c r="F9" s="11"/>
      <c r="G9" s="9"/>
      <c r="H9" s="9"/>
      <c r="I9" s="9"/>
      <c r="J9" s="9"/>
      <c r="K9" s="14"/>
    </row>
    <row r="10" spans="1:13" ht="16.5" customHeight="1">
      <c r="A10" s="10">
        <v>5</v>
      </c>
      <c r="B10" s="250"/>
      <c r="C10" s="251"/>
      <c r="D10" s="11"/>
      <c r="E10" s="9"/>
      <c r="F10" s="11"/>
      <c r="G10" s="9"/>
      <c r="H10" s="9"/>
      <c r="I10" s="9"/>
      <c r="J10" s="9"/>
      <c r="K10" s="14"/>
      <c r="L10" s="244"/>
      <c r="M10" s="245"/>
    </row>
    <row r="11" spans="1:13" ht="16.5" customHeight="1">
      <c r="A11" s="10">
        <v>6</v>
      </c>
      <c r="B11" s="250"/>
      <c r="C11" s="251"/>
      <c r="D11" s="11"/>
      <c r="E11" s="9"/>
      <c r="F11" s="11"/>
      <c r="G11" s="9"/>
      <c r="H11" s="9"/>
      <c r="I11" s="9"/>
      <c r="J11" s="9"/>
      <c r="K11" s="14"/>
      <c r="L11" s="244"/>
      <c r="M11" s="245"/>
    </row>
    <row r="12" spans="1:13" ht="31.5" customHeight="1">
      <c r="A12" s="246" t="s">
        <v>197</v>
      </c>
      <c r="B12" s="247"/>
      <c r="C12" s="248"/>
      <c r="D12" s="12">
        <f t="shared" ref="D12:J12" si="0">SUM(D6:D11)</f>
        <v>446.65</v>
      </c>
      <c r="E12" s="12">
        <f t="shared" si="0"/>
        <v>1144.18</v>
      </c>
      <c r="F12" s="12">
        <f t="shared" si="0"/>
        <v>589.79</v>
      </c>
      <c r="G12" s="12">
        <f t="shared" si="0"/>
        <v>0</v>
      </c>
      <c r="H12" s="12">
        <f t="shared" si="0"/>
        <v>0</v>
      </c>
      <c r="I12" s="12"/>
      <c r="J12" s="12">
        <f t="shared" si="0"/>
        <v>0</v>
      </c>
      <c r="K12" s="14"/>
    </row>
    <row r="13" spans="1:13">
      <c r="D13" s="165"/>
      <c r="E13" s="165"/>
    </row>
    <row r="15" spans="1:13" ht="27.75" customHeight="1">
      <c r="C15" s="14"/>
      <c r="D15" s="243" t="s">
        <v>289</v>
      </c>
      <c r="E15" s="243"/>
      <c r="F15" s="243"/>
      <c r="G15" s="243"/>
      <c r="H15" s="243"/>
      <c r="I15" s="243"/>
      <c r="J15" s="243"/>
      <c r="K15" s="243"/>
    </row>
    <row r="16" spans="1:13">
      <c r="C16" s="243" t="s">
        <v>228</v>
      </c>
      <c r="D16" s="243"/>
      <c r="E16" s="255" t="s">
        <v>229</v>
      </c>
      <c r="F16" s="255"/>
      <c r="G16" s="255"/>
      <c r="H16" s="255"/>
      <c r="I16" s="255"/>
      <c r="J16" s="255"/>
      <c r="K16" s="255"/>
    </row>
    <row r="17" spans="3:11">
      <c r="C17" s="243"/>
      <c r="D17" s="243"/>
      <c r="E17" s="184" t="s">
        <v>235</v>
      </c>
      <c r="F17" s="184" t="s">
        <v>182</v>
      </c>
      <c r="G17" s="184" t="s">
        <v>183</v>
      </c>
      <c r="H17" s="184" t="s">
        <v>231</v>
      </c>
      <c r="I17" s="187" t="s">
        <v>233</v>
      </c>
      <c r="J17" s="187" t="s">
        <v>277</v>
      </c>
      <c r="K17" s="184" t="s">
        <v>236</v>
      </c>
    </row>
    <row r="18" spans="3:11" ht="33">
      <c r="C18" s="14" t="str">
        <f>D4</f>
        <v>前座总成</v>
      </c>
      <c r="D18" s="190" t="str">
        <f>D5</f>
        <v>6900010WH43-C00/A</v>
      </c>
      <c r="E18" s="206">
        <f>D12</f>
        <v>446.65</v>
      </c>
      <c r="F18" s="206">
        <f>E18*(1-0.03)</f>
        <v>433.25049999999999</v>
      </c>
      <c r="G18" s="206">
        <f t="shared" ref="G18:H18" si="1">F18*(1-0.03)</f>
        <v>420.25298499999997</v>
      </c>
      <c r="H18" s="206">
        <f t="shared" si="1"/>
        <v>407.64539544999997</v>
      </c>
      <c r="I18" s="206">
        <f t="shared" ref="I18:J18" si="2">H18*(1-0.03)</f>
        <v>395.41603358649996</v>
      </c>
      <c r="J18" s="206">
        <f t="shared" si="2"/>
        <v>383.55355257890494</v>
      </c>
      <c r="K18" s="173"/>
    </row>
    <row r="19" spans="3:11" ht="33">
      <c r="C19" s="14" t="str">
        <f>E4</f>
        <v>驾驶员总成</v>
      </c>
      <c r="D19" s="190" t="str">
        <f>E5</f>
        <v>6800010WH43-C00/A</v>
      </c>
      <c r="E19" s="207">
        <f>E12</f>
        <v>1144.18</v>
      </c>
      <c r="F19" s="206">
        <f t="shared" ref="F19:H19" si="3">E19*(1-0.03)</f>
        <v>1109.8546000000001</v>
      </c>
      <c r="G19" s="206">
        <f t="shared" si="3"/>
        <v>1076.5589620000001</v>
      </c>
      <c r="H19" s="206">
        <f t="shared" si="3"/>
        <v>1044.2621931400001</v>
      </c>
      <c r="I19" s="206">
        <f t="shared" ref="I19:J19" si="4">H19*(1-0.03)</f>
        <v>1012.9343273458001</v>
      </c>
      <c r="J19" s="206">
        <f t="shared" si="4"/>
        <v>982.54629752542598</v>
      </c>
      <c r="K19" s="173"/>
    </row>
    <row r="20" spans="3:11" ht="33">
      <c r="C20" s="14" t="str">
        <f>F4</f>
        <v>前座总成</v>
      </c>
      <c r="D20" s="190" t="str">
        <f>F5</f>
        <v>6900010JH13-C00/A</v>
      </c>
      <c r="E20" s="207">
        <f>F12</f>
        <v>589.79</v>
      </c>
      <c r="F20" s="206">
        <f t="shared" ref="F20:H20" si="5">E20*(1-0.03)</f>
        <v>572.09629999999993</v>
      </c>
      <c r="G20" s="206">
        <f t="shared" si="5"/>
        <v>554.93341099999986</v>
      </c>
      <c r="H20" s="206">
        <f t="shared" si="5"/>
        <v>538.28540866999981</v>
      </c>
      <c r="I20" s="206">
        <f t="shared" ref="I20:J20" si="6">H20*(1-0.03)</f>
        <v>522.13684640989982</v>
      </c>
      <c r="J20" s="206">
        <f t="shared" si="6"/>
        <v>506.4727410176028</v>
      </c>
      <c r="K20" s="173"/>
    </row>
    <row r="21" spans="3:11" ht="25.5" customHeight="1">
      <c r="C21" s="14">
        <f>G4</f>
        <v>0</v>
      </c>
      <c r="D21" s="190">
        <f>G5</f>
        <v>0</v>
      </c>
      <c r="E21" s="207">
        <f>G12</f>
        <v>0</v>
      </c>
      <c r="F21" s="206">
        <f>E21*(1-0.03)</f>
        <v>0</v>
      </c>
      <c r="G21" s="206">
        <f t="shared" ref="G21:H21" si="7">F21*(1-0.03)</f>
        <v>0</v>
      </c>
      <c r="H21" s="206">
        <f t="shared" si="7"/>
        <v>0</v>
      </c>
      <c r="I21" s="206">
        <f t="shared" ref="I21:J21" si="8">H21*(1-0.03)</f>
        <v>0</v>
      </c>
      <c r="J21" s="206">
        <f t="shared" si="8"/>
        <v>0</v>
      </c>
      <c r="K21" s="173"/>
    </row>
    <row r="22" spans="3:11">
      <c r="C22" s="14">
        <f>H4</f>
        <v>0</v>
      </c>
      <c r="D22" s="190">
        <f>H5</f>
        <v>0</v>
      </c>
      <c r="E22" s="207">
        <f>H12</f>
        <v>0</v>
      </c>
      <c r="F22" s="206">
        <f t="shared" ref="F22:H22" si="9">E22*(1-0.03)</f>
        <v>0</v>
      </c>
      <c r="G22" s="206">
        <f t="shared" si="9"/>
        <v>0</v>
      </c>
      <c r="H22" s="206">
        <f t="shared" si="9"/>
        <v>0</v>
      </c>
      <c r="I22" s="206">
        <f t="shared" ref="I22:J22" si="10">H22*(1-0.03)</f>
        <v>0</v>
      </c>
      <c r="J22" s="206">
        <f t="shared" si="10"/>
        <v>0</v>
      </c>
      <c r="K22" s="173"/>
    </row>
  </sheetData>
  <mergeCells count="20">
    <mergeCell ref="A1:B1"/>
    <mergeCell ref="A2:D2"/>
    <mergeCell ref="E2:K2"/>
    <mergeCell ref="D3:E3"/>
    <mergeCell ref="K3:K5"/>
    <mergeCell ref="C16:D17"/>
    <mergeCell ref="L10:M10"/>
    <mergeCell ref="L11:M11"/>
    <mergeCell ref="A12:C12"/>
    <mergeCell ref="A3:A5"/>
    <mergeCell ref="B3:B5"/>
    <mergeCell ref="B11:C11"/>
    <mergeCell ref="G3:J3"/>
    <mergeCell ref="D15:K15"/>
    <mergeCell ref="E16:K16"/>
    <mergeCell ref="B6:C6"/>
    <mergeCell ref="B7:C7"/>
    <mergeCell ref="B8:C8"/>
    <mergeCell ref="B9:C9"/>
    <mergeCell ref="B10:C10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2" activePane="bottomRight" state="frozen"/>
      <selection pane="topRight"/>
      <selection pane="bottomLeft"/>
      <selection pane="bottomRight" activeCell="C1" sqref="C1"/>
    </sheetView>
  </sheetViews>
  <sheetFormatPr defaultColWidth="9" defaultRowHeight="13.5"/>
  <cols>
    <col min="1" max="1" width="6.625" style="3" customWidth="1"/>
    <col min="2" max="2" width="29.625" style="3" customWidth="1"/>
    <col min="3" max="3" width="25.5" style="3" customWidth="1"/>
    <col min="4" max="4" width="18.625" style="3" customWidth="1"/>
    <col min="5" max="16384" width="9" style="3"/>
  </cols>
  <sheetData>
    <row r="1" spans="1:5" ht="27" customHeight="1">
      <c r="A1" s="191" t="s">
        <v>14</v>
      </c>
      <c r="B1" s="191" t="s">
        <v>198</v>
      </c>
      <c r="C1" s="191" t="s">
        <v>199</v>
      </c>
      <c r="D1" s="191" t="s">
        <v>200</v>
      </c>
    </row>
    <row r="2" spans="1:5" ht="15.75" customHeight="1">
      <c r="A2" s="191">
        <v>1</v>
      </c>
      <c r="B2" s="192" t="s">
        <v>201</v>
      </c>
      <c r="C2" s="193" t="s">
        <v>261</v>
      </c>
      <c r="D2" s="191"/>
    </row>
    <row r="3" spans="1:5" ht="15.75" customHeight="1">
      <c r="A3" s="191">
        <v>2</v>
      </c>
      <c r="B3" s="192" t="s">
        <v>202</v>
      </c>
      <c r="C3" s="194" t="s">
        <v>261</v>
      </c>
      <c r="D3" s="191" t="s">
        <v>237</v>
      </c>
    </row>
    <row r="4" spans="1:5" ht="15.75" customHeight="1">
      <c r="A4" s="191">
        <v>3</v>
      </c>
      <c r="B4" s="192" t="s">
        <v>203</v>
      </c>
      <c r="C4" s="193" t="s">
        <v>262</v>
      </c>
      <c r="D4" s="191" t="s">
        <v>238</v>
      </c>
    </row>
    <row r="5" spans="1:5" ht="15.75" customHeight="1">
      <c r="A5" s="195">
        <v>4</v>
      </c>
      <c r="B5" s="192" t="s">
        <v>204</v>
      </c>
      <c r="C5" s="193" t="s">
        <v>263</v>
      </c>
      <c r="D5" s="191"/>
    </row>
    <row r="6" spans="1:5" ht="15.75" customHeight="1">
      <c r="A6" s="195">
        <v>5</v>
      </c>
      <c r="B6" s="192" t="s">
        <v>205</v>
      </c>
      <c r="C6" s="193" t="s">
        <v>264</v>
      </c>
      <c r="D6" s="191"/>
    </row>
    <row r="7" spans="1:5" ht="15.75" customHeight="1">
      <c r="A7" s="191">
        <v>6</v>
      </c>
      <c r="B7" s="191" t="s">
        <v>206</v>
      </c>
      <c r="C7" s="194" t="s">
        <v>170</v>
      </c>
      <c r="D7" s="191"/>
    </row>
    <row r="8" spans="1:5" ht="15.75" customHeight="1">
      <c r="A8" s="191">
        <v>7</v>
      </c>
      <c r="B8" s="192" t="s">
        <v>207</v>
      </c>
      <c r="C8" s="197" t="s">
        <v>265</v>
      </c>
      <c r="D8" s="191"/>
    </row>
    <row r="9" spans="1:5" ht="15.75" customHeight="1">
      <c r="A9" s="191">
        <v>8</v>
      </c>
      <c r="B9" s="191" t="s">
        <v>208</v>
      </c>
      <c r="C9" s="197" t="s">
        <v>239</v>
      </c>
      <c r="D9" s="191"/>
    </row>
    <row r="10" spans="1:5" ht="15.75" customHeight="1">
      <c r="A10" s="191">
        <v>9</v>
      </c>
      <c r="B10" s="191" t="s">
        <v>209</v>
      </c>
      <c r="C10" s="197" t="s">
        <v>266</v>
      </c>
      <c r="D10" s="191"/>
    </row>
    <row r="11" spans="1:5" ht="15.75" customHeight="1">
      <c r="A11" s="191">
        <v>10</v>
      </c>
      <c r="B11" s="191" t="s">
        <v>210</v>
      </c>
      <c r="C11" s="197" t="s">
        <v>270</v>
      </c>
      <c r="D11" s="191" t="s">
        <v>240</v>
      </c>
      <c r="E11" s="163"/>
    </row>
    <row r="12" spans="1:5" ht="15.75" customHeight="1">
      <c r="A12" s="191">
        <v>11</v>
      </c>
      <c r="B12" s="191" t="s">
        <v>211</v>
      </c>
      <c r="C12" s="197" t="s">
        <v>239</v>
      </c>
      <c r="D12" s="191"/>
    </row>
    <row r="13" spans="1:5" ht="15.75" customHeight="1">
      <c r="A13" s="191">
        <v>12</v>
      </c>
      <c r="B13" s="192" t="s">
        <v>241</v>
      </c>
      <c r="C13" s="197" t="s">
        <v>267</v>
      </c>
      <c r="D13" s="191"/>
    </row>
    <row r="14" spans="1:5" ht="15.75" customHeight="1">
      <c r="A14" s="191">
        <v>13</v>
      </c>
      <c r="B14" s="192" t="s">
        <v>242</v>
      </c>
      <c r="C14" s="197" t="s">
        <v>268</v>
      </c>
      <c r="D14" s="191"/>
    </row>
    <row r="15" spans="1:5" ht="15.75" customHeight="1">
      <c r="A15" s="191">
        <v>14</v>
      </c>
      <c r="B15" s="192" t="s">
        <v>243</v>
      </c>
      <c r="C15" s="197" t="s">
        <v>269</v>
      </c>
      <c r="D15" s="191"/>
    </row>
    <row r="16" spans="1:5" ht="15.75" customHeight="1">
      <c r="A16" s="191">
        <v>15</v>
      </c>
      <c r="B16" s="191" t="s">
        <v>125</v>
      </c>
      <c r="C16" s="191"/>
      <c r="D16" s="191"/>
    </row>
    <row r="17" spans="1:4" ht="16.5">
      <c r="A17" s="196"/>
      <c r="B17" s="189" t="s">
        <v>244</v>
      </c>
      <c r="C17" s="196"/>
      <c r="D17" s="196"/>
    </row>
  </sheetData>
  <phoneticPr fontId="3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78"/>
  <sheetViews>
    <sheetView workbookViewId="0">
      <selection activeCell="E8" sqref="E8"/>
    </sheetView>
  </sheetViews>
  <sheetFormatPr defaultColWidth="9" defaultRowHeight="13.5"/>
  <cols>
    <col min="1" max="2" width="9" style="67"/>
    <col min="3" max="3" width="15.75" style="67" customWidth="1"/>
    <col min="4" max="4" width="13.625" style="67" customWidth="1"/>
    <col min="5" max="7" width="11.125" style="67" customWidth="1"/>
    <col min="8" max="8" width="12.875" style="150" customWidth="1"/>
    <col min="9" max="16384" width="9" style="67"/>
  </cols>
  <sheetData>
    <row r="1" spans="1:11" s="147" customFormat="1" ht="18.75" customHeight="1">
      <c r="F1" s="266" t="s">
        <v>212</v>
      </c>
      <c r="G1" s="266"/>
      <c r="H1" s="148"/>
    </row>
    <row r="2" spans="1:11" ht="19.5" customHeight="1">
      <c r="A2" s="272" t="s">
        <v>213</v>
      </c>
      <c r="B2" s="272"/>
      <c r="C2" s="273" t="s">
        <v>278</v>
      </c>
      <c r="D2" s="273"/>
      <c r="E2" s="273"/>
      <c r="F2" s="273"/>
      <c r="G2" s="269"/>
      <c r="H2" s="149" t="s">
        <v>220</v>
      </c>
      <c r="J2" s="168"/>
      <c r="K2" s="168"/>
    </row>
    <row r="3" spans="1:11" ht="34.5" customHeight="1">
      <c r="A3" s="272"/>
      <c r="B3" s="272"/>
      <c r="C3" s="157" t="s">
        <v>223</v>
      </c>
      <c r="D3" s="157" t="s">
        <v>222</v>
      </c>
      <c r="E3" s="158" t="s">
        <v>226</v>
      </c>
      <c r="F3" s="158" t="s">
        <v>225</v>
      </c>
      <c r="G3" s="158" t="s">
        <v>224</v>
      </c>
      <c r="H3" s="162">
        <f>销量!C8</f>
        <v>565</v>
      </c>
    </row>
    <row r="4" spans="1:11" ht="24" customHeight="1">
      <c r="A4" s="267" t="s">
        <v>214</v>
      </c>
      <c r="B4" s="267"/>
      <c r="C4" s="151"/>
      <c r="D4" s="152">
        <f>$H$3*E4</f>
        <v>8.8704999999999998</v>
      </c>
      <c r="E4" s="156">
        <v>1.5699999999999999E-2</v>
      </c>
      <c r="F4" s="152"/>
      <c r="G4" s="153">
        <v>4.48E-2</v>
      </c>
      <c r="I4" s="166"/>
      <c r="J4" s="68"/>
      <c r="K4" s="68"/>
    </row>
    <row r="5" spans="1:11" ht="24" customHeight="1">
      <c r="A5" s="267" t="s">
        <v>215</v>
      </c>
      <c r="B5" s="154" t="s">
        <v>216</v>
      </c>
      <c r="C5" s="151"/>
      <c r="D5" s="152">
        <f t="shared" ref="D5:D6" si="0">$H$3*E5</f>
        <v>26.894000000000002</v>
      </c>
      <c r="E5" s="153">
        <v>4.7600000000000003E-2</v>
      </c>
      <c r="F5" s="153"/>
      <c r="G5" s="153">
        <v>4.0399999999999998E-2</v>
      </c>
      <c r="I5" s="167"/>
      <c r="J5" s="68"/>
      <c r="K5" s="68"/>
    </row>
    <row r="6" spans="1:11" ht="24" customHeight="1">
      <c r="A6" s="267"/>
      <c r="B6" s="154" t="s">
        <v>217</v>
      </c>
      <c r="C6" s="151"/>
      <c r="D6" s="152">
        <f t="shared" si="0"/>
        <v>2.1469999999999998</v>
      </c>
      <c r="E6" s="156">
        <v>3.8E-3</v>
      </c>
      <c r="F6" s="152"/>
      <c r="G6" s="153">
        <v>1.66E-2</v>
      </c>
      <c r="I6" s="166"/>
      <c r="J6" s="68"/>
      <c r="K6" s="68"/>
    </row>
    <row r="7" spans="1:11" ht="24" customHeight="1">
      <c r="A7" s="268" t="s">
        <v>218</v>
      </c>
      <c r="B7" s="269"/>
      <c r="C7" s="155"/>
      <c r="D7" s="152">
        <f>$H$3*E7</f>
        <v>37.911499999999997</v>
      </c>
      <c r="E7" s="156">
        <f>SUM(E4:E6)</f>
        <v>6.7099999999999993E-2</v>
      </c>
      <c r="F7" s="152"/>
      <c r="G7" s="156">
        <f>SUM(G4:G6)</f>
        <v>0.1018</v>
      </c>
      <c r="I7" s="166"/>
      <c r="J7" s="68"/>
      <c r="K7" s="68"/>
    </row>
    <row r="8" spans="1:11" ht="24" customHeight="1">
      <c r="A8" s="267" t="s">
        <v>45</v>
      </c>
      <c r="B8" s="267"/>
      <c r="C8" s="151"/>
      <c r="D8" s="152">
        <f>$H$3*E8</f>
        <v>17.006499999999999</v>
      </c>
      <c r="E8" s="153">
        <v>3.0099999999999998E-2</v>
      </c>
      <c r="F8" s="152"/>
      <c r="G8" s="153">
        <f>1.97%+0.75%</f>
        <v>2.7199999999999998E-2</v>
      </c>
      <c r="I8" s="167"/>
      <c r="J8" s="68"/>
      <c r="K8" s="68"/>
    </row>
    <row r="9" spans="1:11" ht="24" customHeight="1">
      <c r="A9" s="270" t="s">
        <v>219</v>
      </c>
      <c r="B9" s="154" t="s">
        <v>216</v>
      </c>
      <c r="C9" s="151"/>
      <c r="D9" s="152">
        <f>$H$3*E9</f>
        <v>4.2374999999999998</v>
      </c>
      <c r="E9" s="153">
        <v>7.4999999999999997E-3</v>
      </c>
      <c r="F9" s="152"/>
      <c r="G9" s="153">
        <v>5.3E-3</v>
      </c>
      <c r="I9" s="150"/>
      <c r="J9" s="68"/>
      <c r="K9" s="68"/>
    </row>
    <row r="10" spans="1:11" ht="24" customHeight="1">
      <c r="A10" s="271"/>
      <c r="B10" s="154" t="s">
        <v>217</v>
      </c>
      <c r="C10" s="151"/>
      <c r="D10" s="152">
        <f>$H$3*E10</f>
        <v>14.5205</v>
      </c>
      <c r="E10" s="150">
        <v>2.5700000000000001E-2</v>
      </c>
      <c r="F10" s="152"/>
      <c r="G10" s="153">
        <v>3.4099999999999998E-2</v>
      </c>
      <c r="I10" s="150"/>
      <c r="J10" s="68"/>
      <c r="K10" s="68"/>
    </row>
    <row r="11" spans="1:11" ht="24" customHeight="1">
      <c r="A11" s="267" t="s">
        <v>48</v>
      </c>
      <c r="B11" s="267"/>
      <c r="C11" s="151"/>
      <c r="D11" s="152">
        <f t="shared" ref="D11" si="1">$H$3*E11</f>
        <v>13.051499999999999</v>
      </c>
      <c r="E11" s="153">
        <v>2.3099999999999999E-2</v>
      </c>
      <c r="F11" s="152"/>
      <c r="G11" s="153">
        <v>1.0999999999999999E-2</v>
      </c>
      <c r="I11" s="150"/>
      <c r="J11" s="68"/>
      <c r="K11" s="68"/>
    </row>
    <row r="15" spans="1:11">
      <c r="A15" s="147"/>
      <c r="B15" s="147"/>
      <c r="C15" s="147"/>
      <c r="D15" s="147"/>
      <c r="E15" s="147"/>
      <c r="F15" s="266" t="s">
        <v>212</v>
      </c>
      <c r="G15" s="266"/>
      <c r="H15" s="148"/>
    </row>
    <row r="16" spans="1:11" ht="26.25" customHeight="1">
      <c r="A16" s="272" t="s">
        <v>213</v>
      </c>
      <c r="B16" s="272"/>
      <c r="C16" s="273" t="str">
        <f>C2</f>
        <v>按长春2023年预算+财务费用按集团</v>
      </c>
      <c r="D16" s="273"/>
      <c r="E16" s="273"/>
      <c r="F16" s="273"/>
      <c r="G16" s="269"/>
      <c r="H16" s="149" t="s">
        <v>220</v>
      </c>
    </row>
    <row r="17" spans="1:8" ht="27">
      <c r="A17" s="272"/>
      <c r="B17" s="272"/>
      <c r="C17" s="157" t="s">
        <v>223</v>
      </c>
      <c r="D17" s="157" t="s">
        <v>221</v>
      </c>
      <c r="E17" s="158" t="s">
        <v>226</v>
      </c>
      <c r="F17" s="158" t="s">
        <v>225</v>
      </c>
      <c r="G17" s="158" t="s">
        <v>224</v>
      </c>
      <c r="H17" s="162">
        <f>销量!D8</f>
        <v>1350</v>
      </c>
    </row>
    <row r="18" spans="1:8">
      <c r="A18" s="267" t="s">
        <v>214</v>
      </c>
      <c r="B18" s="267"/>
      <c r="C18" s="151"/>
      <c r="D18" s="152">
        <f>$H$17*E18</f>
        <v>21.194999999999997</v>
      </c>
      <c r="E18" s="156">
        <v>1.5699999999999999E-2</v>
      </c>
      <c r="F18" s="152"/>
      <c r="G18" s="153">
        <v>4.48E-2</v>
      </c>
    </row>
    <row r="19" spans="1:8">
      <c r="A19" s="267" t="s">
        <v>215</v>
      </c>
      <c r="B19" s="177" t="s">
        <v>216</v>
      </c>
      <c r="C19" s="151"/>
      <c r="D19" s="152">
        <f t="shared" ref="D19:D25" si="2">$H$17*E19</f>
        <v>64.260000000000005</v>
      </c>
      <c r="E19" s="153">
        <v>4.7600000000000003E-2</v>
      </c>
      <c r="F19" s="152"/>
      <c r="G19" s="153">
        <v>4.0399999999999998E-2</v>
      </c>
    </row>
    <row r="20" spans="1:8">
      <c r="A20" s="267"/>
      <c r="B20" s="177" t="s">
        <v>217</v>
      </c>
      <c r="C20" s="151"/>
      <c r="D20" s="152">
        <f t="shared" si="2"/>
        <v>5.13</v>
      </c>
      <c r="E20" s="156">
        <v>3.8E-3</v>
      </c>
      <c r="F20" s="152"/>
      <c r="G20" s="153">
        <v>1.66E-2</v>
      </c>
    </row>
    <row r="21" spans="1:8">
      <c r="A21" s="268" t="s">
        <v>218</v>
      </c>
      <c r="B21" s="269"/>
      <c r="C21" s="155"/>
      <c r="D21" s="152">
        <f t="shared" si="2"/>
        <v>90.584999999999994</v>
      </c>
      <c r="E21" s="156">
        <f>SUM(E18:E20)</f>
        <v>6.7099999999999993E-2</v>
      </c>
      <c r="F21" s="152"/>
      <c r="G21" s="156">
        <f>SUM(G18:G20)</f>
        <v>0.1018</v>
      </c>
    </row>
    <row r="22" spans="1:8">
      <c r="A22" s="267" t="s">
        <v>45</v>
      </c>
      <c r="B22" s="267"/>
      <c r="C22" s="151"/>
      <c r="D22" s="152">
        <f t="shared" si="2"/>
        <v>40.634999999999998</v>
      </c>
      <c r="E22" s="153">
        <v>3.0099999999999998E-2</v>
      </c>
      <c r="F22" s="152"/>
      <c r="G22" s="153">
        <f>1.97%+0.75%</f>
        <v>2.7199999999999998E-2</v>
      </c>
    </row>
    <row r="23" spans="1:8">
      <c r="A23" s="270" t="s">
        <v>219</v>
      </c>
      <c r="B23" s="177" t="s">
        <v>216</v>
      </c>
      <c r="C23" s="151"/>
      <c r="D23" s="152">
        <f t="shared" si="2"/>
        <v>10.125</v>
      </c>
      <c r="E23" s="153">
        <v>7.4999999999999997E-3</v>
      </c>
      <c r="F23" s="152"/>
      <c r="G23" s="153">
        <v>5.3E-3</v>
      </c>
    </row>
    <row r="24" spans="1:8">
      <c r="A24" s="271"/>
      <c r="B24" s="177" t="s">
        <v>217</v>
      </c>
      <c r="C24" s="151"/>
      <c r="D24" s="152">
        <f t="shared" si="2"/>
        <v>34.695</v>
      </c>
      <c r="E24" s="150">
        <v>2.5700000000000001E-2</v>
      </c>
      <c r="F24" s="152"/>
      <c r="G24" s="153">
        <v>3.4099999999999998E-2</v>
      </c>
    </row>
    <row r="25" spans="1:8">
      <c r="A25" s="267" t="s">
        <v>48</v>
      </c>
      <c r="B25" s="267"/>
      <c r="C25" s="151"/>
      <c r="D25" s="152">
        <f t="shared" si="2"/>
        <v>31.184999999999999</v>
      </c>
      <c r="E25" s="153">
        <v>2.3099999999999999E-2</v>
      </c>
      <c r="F25" s="152"/>
      <c r="G25" s="153">
        <v>1.0999999999999999E-2</v>
      </c>
    </row>
    <row r="29" spans="1:8">
      <c r="A29" s="147"/>
      <c r="B29" s="147"/>
      <c r="C29" s="147"/>
      <c r="D29" s="147"/>
      <c r="E29" s="147"/>
      <c r="F29" s="266" t="s">
        <v>212</v>
      </c>
      <c r="G29" s="266"/>
      <c r="H29" s="148"/>
    </row>
    <row r="30" spans="1:8" ht="24" customHeight="1">
      <c r="A30" s="272" t="s">
        <v>213</v>
      </c>
      <c r="B30" s="272"/>
      <c r="C30" s="273" t="str">
        <f>C2</f>
        <v>按长春2023年预算+财务费用按集团</v>
      </c>
      <c r="D30" s="273"/>
      <c r="E30" s="273"/>
      <c r="F30" s="273"/>
      <c r="G30" s="269"/>
      <c r="H30" s="149" t="s">
        <v>220</v>
      </c>
    </row>
    <row r="31" spans="1:8" ht="27">
      <c r="A31" s="272"/>
      <c r="B31" s="272"/>
      <c r="C31" s="157" t="s">
        <v>223</v>
      </c>
      <c r="D31" s="157" t="s">
        <v>221</v>
      </c>
      <c r="E31" s="158" t="s">
        <v>226</v>
      </c>
      <c r="F31" s="158" t="s">
        <v>225</v>
      </c>
      <c r="G31" s="158" t="s">
        <v>224</v>
      </c>
      <c r="H31" s="162">
        <f>销量!E8</f>
        <v>650</v>
      </c>
    </row>
    <row r="32" spans="1:8">
      <c r="A32" s="267" t="s">
        <v>214</v>
      </c>
      <c r="B32" s="267"/>
      <c r="C32" s="151"/>
      <c r="D32" s="152">
        <f>$H$31*E32</f>
        <v>10.204999999999998</v>
      </c>
      <c r="E32" s="156">
        <v>1.5699999999999999E-2</v>
      </c>
      <c r="F32" s="152"/>
      <c r="G32" s="153">
        <v>4.48E-2</v>
      </c>
    </row>
    <row r="33" spans="1:8">
      <c r="A33" s="267" t="s">
        <v>215</v>
      </c>
      <c r="B33" s="177" t="s">
        <v>216</v>
      </c>
      <c r="C33" s="151"/>
      <c r="D33" s="152">
        <f t="shared" ref="D33:D39" si="3">$H$31*E33</f>
        <v>30.94</v>
      </c>
      <c r="E33" s="153">
        <v>4.7600000000000003E-2</v>
      </c>
      <c r="F33" s="152"/>
      <c r="G33" s="153">
        <v>4.0399999999999998E-2</v>
      </c>
    </row>
    <row r="34" spans="1:8">
      <c r="A34" s="267"/>
      <c r="B34" s="177" t="s">
        <v>217</v>
      </c>
      <c r="C34" s="151"/>
      <c r="D34" s="152">
        <f t="shared" si="3"/>
        <v>2.4700000000000002</v>
      </c>
      <c r="E34" s="156">
        <v>3.8E-3</v>
      </c>
      <c r="F34" s="152"/>
      <c r="G34" s="153">
        <v>1.66E-2</v>
      </c>
    </row>
    <row r="35" spans="1:8">
      <c r="A35" s="268" t="s">
        <v>218</v>
      </c>
      <c r="B35" s="269"/>
      <c r="C35" s="155"/>
      <c r="D35" s="152">
        <f t="shared" si="3"/>
        <v>43.614999999999995</v>
      </c>
      <c r="E35" s="156">
        <f>SUM(E32:E34)</f>
        <v>6.7099999999999993E-2</v>
      </c>
      <c r="F35" s="156"/>
      <c r="G35" s="156">
        <f>SUM(G32:G34)</f>
        <v>0.1018</v>
      </c>
    </row>
    <row r="36" spans="1:8">
      <c r="A36" s="267" t="s">
        <v>45</v>
      </c>
      <c r="B36" s="267"/>
      <c r="C36" s="151"/>
      <c r="D36" s="152">
        <f t="shared" si="3"/>
        <v>19.564999999999998</v>
      </c>
      <c r="E36" s="153">
        <v>3.0099999999999998E-2</v>
      </c>
      <c r="F36" s="152"/>
      <c r="G36" s="153">
        <f>1.97%+0.75%</f>
        <v>2.7199999999999998E-2</v>
      </c>
    </row>
    <row r="37" spans="1:8">
      <c r="A37" s="270" t="s">
        <v>219</v>
      </c>
      <c r="B37" s="177" t="s">
        <v>216</v>
      </c>
      <c r="C37" s="151"/>
      <c r="D37" s="152">
        <f t="shared" si="3"/>
        <v>4.875</v>
      </c>
      <c r="E37" s="153">
        <v>7.4999999999999997E-3</v>
      </c>
      <c r="F37" s="152"/>
      <c r="G37" s="153">
        <v>5.3E-3</v>
      </c>
    </row>
    <row r="38" spans="1:8">
      <c r="A38" s="271"/>
      <c r="B38" s="177" t="s">
        <v>217</v>
      </c>
      <c r="C38" s="151"/>
      <c r="D38" s="152">
        <f t="shared" si="3"/>
        <v>16.705000000000002</v>
      </c>
      <c r="E38" s="150">
        <v>2.5700000000000001E-2</v>
      </c>
      <c r="F38" s="152"/>
      <c r="G38" s="153">
        <v>3.4099999999999998E-2</v>
      </c>
    </row>
    <row r="39" spans="1:8">
      <c r="A39" s="267" t="s">
        <v>48</v>
      </c>
      <c r="B39" s="267"/>
      <c r="C39" s="151"/>
      <c r="D39" s="152">
        <f t="shared" si="3"/>
        <v>15.014999999999999</v>
      </c>
      <c r="E39" s="153">
        <v>2.3099999999999999E-2</v>
      </c>
      <c r="F39" s="152"/>
      <c r="G39" s="153">
        <v>1.0999999999999999E-2</v>
      </c>
    </row>
    <row r="42" spans="1:8">
      <c r="A42" s="147"/>
      <c r="B42" s="147"/>
      <c r="C42" s="147"/>
      <c r="D42" s="147"/>
      <c r="E42" s="147"/>
      <c r="F42" s="266" t="s">
        <v>212</v>
      </c>
      <c r="G42" s="266"/>
      <c r="H42" s="148"/>
    </row>
    <row r="43" spans="1:8">
      <c r="A43" s="272" t="s">
        <v>213</v>
      </c>
      <c r="B43" s="272"/>
      <c r="C43" s="273" t="str">
        <f>C2</f>
        <v>按长春2023年预算+财务费用按集团</v>
      </c>
      <c r="D43" s="273"/>
      <c r="E43" s="273"/>
      <c r="F43" s="273"/>
      <c r="G43" s="269"/>
      <c r="H43" s="149" t="s">
        <v>220</v>
      </c>
    </row>
    <row r="44" spans="1:8" ht="27">
      <c r="A44" s="272"/>
      <c r="B44" s="272"/>
      <c r="C44" s="157" t="s">
        <v>223</v>
      </c>
      <c r="D44" s="157" t="s">
        <v>221</v>
      </c>
      <c r="E44" s="158" t="s">
        <v>226</v>
      </c>
      <c r="F44" s="158" t="s">
        <v>225</v>
      </c>
      <c r="G44" s="158" t="s">
        <v>224</v>
      </c>
      <c r="H44" s="162">
        <f>销量!F8</f>
        <v>0</v>
      </c>
    </row>
    <row r="45" spans="1:8">
      <c r="A45" s="267" t="s">
        <v>214</v>
      </c>
      <c r="B45" s="267"/>
      <c r="C45" s="151"/>
      <c r="D45" s="152">
        <f>$H$44*E45</f>
        <v>0</v>
      </c>
      <c r="E45" s="156">
        <v>1.5699999999999999E-2</v>
      </c>
      <c r="F45" s="152"/>
      <c r="G45" s="153">
        <v>4.48E-2</v>
      </c>
    </row>
    <row r="46" spans="1:8">
      <c r="A46" s="267" t="s">
        <v>215</v>
      </c>
      <c r="B46" s="177" t="s">
        <v>216</v>
      </c>
      <c r="C46" s="151"/>
      <c r="D46" s="152">
        <f t="shared" ref="D46:D52" si="4">$H$44*E46</f>
        <v>0</v>
      </c>
      <c r="E46" s="153">
        <v>4.7600000000000003E-2</v>
      </c>
      <c r="F46" s="152"/>
      <c r="G46" s="153">
        <v>4.0399999999999998E-2</v>
      </c>
    </row>
    <row r="47" spans="1:8">
      <c r="A47" s="267"/>
      <c r="B47" s="177" t="s">
        <v>217</v>
      </c>
      <c r="C47" s="151"/>
      <c r="D47" s="152">
        <f t="shared" si="4"/>
        <v>0</v>
      </c>
      <c r="E47" s="156">
        <v>3.8E-3</v>
      </c>
      <c r="F47" s="152"/>
      <c r="G47" s="153">
        <v>1.66E-2</v>
      </c>
    </row>
    <row r="48" spans="1:8">
      <c r="A48" s="268" t="s">
        <v>218</v>
      </c>
      <c r="B48" s="269"/>
      <c r="C48" s="155"/>
      <c r="D48" s="152">
        <f t="shared" si="4"/>
        <v>0</v>
      </c>
      <c r="E48" s="156">
        <f>SUM(E45:E47)</f>
        <v>6.7099999999999993E-2</v>
      </c>
      <c r="F48" s="156"/>
      <c r="G48" s="156">
        <f>SUM(G45:G47)</f>
        <v>0.1018</v>
      </c>
    </row>
    <row r="49" spans="1:8">
      <c r="A49" s="267" t="s">
        <v>45</v>
      </c>
      <c r="B49" s="267"/>
      <c r="C49" s="151"/>
      <c r="D49" s="152">
        <f t="shared" si="4"/>
        <v>0</v>
      </c>
      <c r="E49" s="153">
        <v>3.0099999999999998E-2</v>
      </c>
      <c r="F49" s="152"/>
      <c r="G49" s="153">
        <f>1.97%+0.75%</f>
        <v>2.7199999999999998E-2</v>
      </c>
    </row>
    <row r="50" spans="1:8">
      <c r="A50" s="270" t="s">
        <v>219</v>
      </c>
      <c r="B50" s="177" t="s">
        <v>216</v>
      </c>
      <c r="C50" s="151"/>
      <c r="D50" s="152">
        <f t="shared" si="4"/>
        <v>0</v>
      </c>
      <c r="E50" s="153">
        <v>7.4999999999999997E-3</v>
      </c>
      <c r="F50" s="152"/>
      <c r="G50" s="153">
        <v>5.3E-3</v>
      </c>
    </row>
    <row r="51" spans="1:8">
      <c r="A51" s="271"/>
      <c r="B51" s="177" t="s">
        <v>217</v>
      </c>
      <c r="C51" s="151"/>
      <c r="D51" s="152">
        <f t="shared" si="4"/>
        <v>0</v>
      </c>
      <c r="E51" s="150">
        <v>2.5700000000000001E-2</v>
      </c>
      <c r="F51" s="152"/>
      <c r="G51" s="153">
        <v>3.4099999999999998E-2</v>
      </c>
    </row>
    <row r="52" spans="1:8">
      <c r="A52" s="267" t="s">
        <v>48</v>
      </c>
      <c r="B52" s="267"/>
      <c r="C52" s="151"/>
      <c r="D52" s="152">
        <f t="shared" si="4"/>
        <v>0</v>
      </c>
      <c r="E52" s="153">
        <v>2.3099999999999999E-2</v>
      </c>
      <c r="F52" s="152"/>
      <c r="G52" s="153">
        <v>1.0999999999999999E-2</v>
      </c>
    </row>
    <row r="55" spans="1:8">
      <c r="A55" s="147"/>
      <c r="B55" s="147"/>
      <c r="C55" s="147"/>
      <c r="D55" s="147"/>
      <c r="E55" s="147"/>
      <c r="F55" s="266" t="s">
        <v>212</v>
      </c>
      <c r="G55" s="266"/>
      <c r="H55" s="148"/>
    </row>
    <row r="56" spans="1:8">
      <c r="A56" s="272" t="s">
        <v>213</v>
      </c>
      <c r="B56" s="272"/>
      <c r="C56" s="273" t="str">
        <f>C2</f>
        <v>按长春2023年预算+财务费用按集团</v>
      </c>
      <c r="D56" s="273"/>
      <c r="E56" s="273"/>
      <c r="F56" s="273"/>
      <c r="G56" s="269"/>
      <c r="H56" s="149" t="s">
        <v>220</v>
      </c>
    </row>
    <row r="57" spans="1:8" ht="27">
      <c r="A57" s="272"/>
      <c r="B57" s="272"/>
      <c r="C57" s="157" t="s">
        <v>223</v>
      </c>
      <c r="D57" s="157" t="s">
        <v>221</v>
      </c>
      <c r="E57" s="158" t="s">
        <v>226</v>
      </c>
      <c r="F57" s="158" t="s">
        <v>225</v>
      </c>
      <c r="G57" s="158" t="s">
        <v>224</v>
      </c>
      <c r="H57" s="162">
        <f>销量!G8</f>
        <v>0</v>
      </c>
    </row>
    <row r="58" spans="1:8">
      <c r="A58" s="267" t="s">
        <v>214</v>
      </c>
      <c r="B58" s="267"/>
      <c r="C58" s="151"/>
      <c r="D58" s="152">
        <f>$H$57*E58</f>
        <v>0</v>
      </c>
      <c r="E58" s="156">
        <v>1.5699999999999999E-2</v>
      </c>
      <c r="F58" s="152"/>
      <c r="G58" s="153">
        <v>4.48E-2</v>
      </c>
    </row>
    <row r="59" spans="1:8">
      <c r="A59" s="267" t="s">
        <v>215</v>
      </c>
      <c r="B59" s="177" t="s">
        <v>216</v>
      </c>
      <c r="C59" s="151"/>
      <c r="D59" s="152">
        <f t="shared" ref="D59:D65" si="5">$H$57*E59</f>
        <v>0</v>
      </c>
      <c r="E59" s="153">
        <v>4.7600000000000003E-2</v>
      </c>
      <c r="F59" s="152"/>
      <c r="G59" s="153">
        <v>4.0399999999999998E-2</v>
      </c>
    </row>
    <row r="60" spans="1:8">
      <c r="A60" s="267"/>
      <c r="B60" s="177" t="s">
        <v>217</v>
      </c>
      <c r="C60" s="151"/>
      <c r="D60" s="152">
        <f t="shared" si="5"/>
        <v>0</v>
      </c>
      <c r="E60" s="156">
        <v>3.8E-3</v>
      </c>
      <c r="F60" s="152"/>
      <c r="G60" s="153">
        <v>1.66E-2</v>
      </c>
    </row>
    <row r="61" spans="1:8">
      <c r="A61" s="268" t="s">
        <v>218</v>
      </c>
      <c r="B61" s="269"/>
      <c r="C61" s="155"/>
      <c r="D61" s="152">
        <f t="shared" si="5"/>
        <v>0</v>
      </c>
      <c r="E61" s="156">
        <f>SUM(E58:E60)</f>
        <v>6.7099999999999993E-2</v>
      </c>
      <c r="F61" s="156"/>
      <c r="G61" s="156">
        <f>SUM(G58:G60)</f>
        <v>0.1018</v>
      </c>
    </row>
    <row r="62" spans="1:8">
      <c r="A62" s="267" t="s">
        <v>45</v>
      </c>
      <c r="B62" s="267"/>
      <c r="C62" s="151"/>
      <c r="D62" s="152">
        <f t="shared" si="5"/>
        <v>0</v>
      </c>
      <c r="E62" s="153">
        <v>3.0099999999999998E-2</v>
      </c>
      <c r="F62" s="152"/>
      <c r="G62" s="153">
        <f>1.97%+0.75%</f>
        <v>2.7199999999999998E-2</v>
      </c>
    </row>
    <row r="63" spans="1:8">
      <c r="A63" s="270" t="s">
        <v>219</v>
      </c>
      <c r="B63" s="177" t="s">
        <v>216</v>
      </c>
      <c r="C63" s="151"/>
      <c r="D63" s="152">
        <f t="shared" si="5"/>
        <v>0</v>
      </c>
      <c r="E63" s="153">
        <v>7.4999999999999997E-3</v>
      </c>
      <c r="F63" s="152"/>
      <c r="G63" s="153">
        <v>5.3E-3</v>
      </c>
    </row>
    <row r="64" spans="1:8">
      <c r="A64" s="271"/>
      <c r="B64" s="177" t="s">
        <v>217</v>
      </c>
      <c r="C64" s="151"/>
      <c r="D64" s="152">
        <f t="shared" si="5"/>
        <v>0</v>
      </c>
      <c r="E64" s="150">
        <v>2.5700000000000001E-2</v>
      </c>
      <c r="F64" s="152"/>
      <c r="G64" s="153">
        <v>3.4099999999999998E-2</v>
      </c>
    </row>
    <row r="65" spans="1:8">
      <c r="A65" s="267" t="s">
        <v>48</v>
      </c>
      <c r="B65" s="267"/>
      <c r="C65" s="151"/>
      <c r="D65" s="152">
        <f t="shared" si="5"/>
        <v>0</v>
      </c>
      <c r="E65" s="153">
        <v>2.3099999999999999E-2</v>
      </c>
      <c r="F65" s="152"/>
      <c r="G65" s="153">
        <v>1.0999999999999999E-2</v>
      </c>
    </row>
    <row r="68" spans="1:8">
      <c r="A68" s="147"/>
      <c r="B68" s="147"/>
      <c r="C68" s="147"/>
      <c r="D68" s="147"/>
      <c r="E68" s="147"/>
      <c r="F68" s="266" t="s">
        <v>212</v>
      </c>
      <c r="G68" s="266"/>
      <c r="H68" s="148"/>
    </row>
    <row r="69" spans="1:8">
      <c r="A69" s="272" t="s">
        <v>213</v>
      </c>
      <c r="B69" s="272"/>
      <c r="C69" s="273" t="str">
        <f>C2</f>
        <v>按长春2023年预算+财务费用按集团</v>
      </c>
      <c r="D69" s="273"/>
      <c r="E69" s="273"/>
      <c r="F69" s="273"/>
      <c r="G69" s="269"/>
      <c r="H69" s="149" t="s">
        <v>220</v>
      </c>
    </row>
    <row r="70" spans="1:8" ht="27">
      <c r="A70" s="272"/>
      <c r="B70" s="272"/>
      <c r="C70" s="157" t="s">
        <v>223</v>
      </c>
      <c r="D70" s="157" t="s">
        <v>221</v>
      </c>
      <c r="E70" s="158" t="s">
        <v>226</v>
      </c>
      <c r="F70" s="158" t="s">
        <v>225</v>
      </c>
      <c r="G70" s="158" t="s">
        <v>224</v>
      </c>
      <c r="H70" s="162">
        <f>销量!H8</f>
        <v>0</v>
      </c>
    </row>
    <row r="71" spans="1:8">
      <c r="A71" s="267" t="s">
        <v>214</v>
      </c>
      <c r="B71" s="267"/>
      <c r="C71" s="151"/>
      <c r="D71" s="152">
        <f>$H$70*E71</f>
        <v>0</v>
      </c>
      <c r="E71" s="156">
        <v>1.5699999999999999E-2</v>
      </c>
      <c r="F71" s="152"/>
      <c r="G71" s="153">
        <v>4.48E-2</v>
      </c>
    </row>
    <row r="72" spans="1:8">
      <c r="A72" s="267" t="s">
        <v>215</v>
      </c>
      <c r="B72" s="177" t="s">
        <v>216</v>
      </c>
      <c r="C72" s="151"/>
      <c r="D72" s="152">
        <f t="shared" ref="D72:D78" si="6">$H$70*E72</f>
        <v>0</v>
      </c>
      <c r="E72" s="153">
        <v>4.7600000000000003E-2</v>
      </c>
      <c r="F72" s="152"/>
      <c r="G72" s="153">
        <v>4.0399999999999998E-2</v>
      </c>
    </row>
    <row r="73" spans="1:8">
      <c r="A73" s="267"/>
      <c r="B73" s="177" t="s">
        <v>217</v>
      </c>
      <c r="C73" s="151"/>
      <c r="D73" s="152">
        <f t="shared" si="6"/>
        <v>0</v>
      </c>
      <c r="E73" s="156">
        <v>3.8E-3</v>
      </c>
      <c r="F73" s="152"/>
      <c r="G73" s="153">
        <v>1.66E-2</v>
      </c>
    </row>
    <row r="74" spans="1:8">
      <c r="A74" s="268" t="s">
        <v>218</v>
      </c>
      <c r="B74" s="269"/>
      <c r="C74" s="155"/>
      <c r="D74" s="152">
        <f t="shared" si="6"/>
        <v>0</v>
      </c>
      <c r="E74" s="156">
        <f>SUM(E71:E73)</f>
        <v>6.7099999999999993E-2</v>
      </c>
      <c r="F74" s="156"/>
      <c r="G74" s="156">
        <f>SUM(G71:G73)</f>
        <v>0.1018</v>
      </c>
    </row>
    <row r="75" spans="1:8">
      <c r="A75" s="267" t="s">
        <v>45</v>
      </c>
      <c r="B75" s="267"/>
      <c r="C75" s="151"/>
      <c r="D75" s="152">
        <f t="shared" si="6"/>
        <v>0</v>
      </c>
      <c r="E75" s="153">
        <v>3.0099999999999998E-2</v>
      </c>
      <c r="F75" s="152"/>
      <c r="G75" s="153">
        <f>1.97%+0.75%</f>
        <v>2.7199999999999998E-2</v>
      </c>
    </row>
    <row r="76" spans="1:8">
      <c r="A76" s="270" t="s">
        <v>219</v>
      </c>
      <c r="B76" s="177" t="s">
        <v>216</v>
      </c>
      <c r="C76" s="151"/>
      <c r="D76" s="152">
        <f t="shared" si="6"/>
        <v>0</v>
      </c>
      <c r="E76" s="153">
        <v>7.4999999999999997E-3</v>
      </c>
      <c r="F76" s="152"/>
      <c r="G76" s="153">
        <v>5.3E-3</v>
      </c>
    </row>
    <row r="77" spans="1:8">
      <c r="A77" s="271"/>
      <c r="B77" s="177" t="s">
        <v>217</v>
      </c>
      <c r="C77" s="151"/>
      <c r="D77" s="152">
        <f t="shared" si="6"/>
        <v>0</v>
      </c>
      <c r="E77" s="150">
        <v>2.5700000000000001E-2</v>
      </c>
      <c r="F77" s="152"/>
      <c r="G77" s="153">
        <v>3.4099999999999998E-2</v>
      </c>
    </row>
    <row r="78" spans="1:8">
      <c r="A78" s="267" t="s">
        <v>48</v>
      </c>
      <c r="B78" s="267"/>
      <c r="C78" s="151"/>
      <c r="D78" s="152">
        <f t="shared" si="6"/>
        <v>0</v>
      </c>
      <c r="E78" s="153">
        <v>2.3099999999999999E-2</v>
      </c>
      <c r="F78" s="152"/>
      <c r="G78" s="153">
        <v>1.0999999999999999E-2</v>
      </c>
    </row>
  </sheetData>
  <mergeCells count="54"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A59:A60"/>
    <mergeCell ref="A61:B61"/>
    <mergeCell ref="A62:B62"/>
    <mergeCell ref="A63:A64"/>
    <mergeCell ref="A65:B65"/>
    <mergeCell ref="A52:B52"/>
    <mergeCell ref="F55:G55"/>
    <mergeCell ref="A56:B57"/>
    <mergeCell ref="C56:G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F42:G42"/>
    <mergeCell ref="A43:B44"/>
    <mergeCell ref="C43:G43"/>
    <mergeCell ref="A30:B31"/>
    <mergeCell ref="C30:G30"/>
    <mergeCell ref="A32:B32"/>
    <mergeCell ref="A33:A34"/>
    <mergeCell ref="A35:B35"/>
    <mergeCell ref="A21:B21"/>
    <mergeCell ref="A22:B22"/>
    <mergeCell ref="A23:A24"/>
    <mergeCell ref="A25:B25"/>
    <mergeCell ref="F29:G29"/>
    <mergeCell ref="F15:G15"/>
    <mergeCell ref="A16:B17"/>
    <mergeCell ref="C16:G16"/>
    <mergeCell ref="A18:B18"/>
    <mergeCell ref="A19:A20"/>
    <mergeCell ref="F1:G1"/>
    <mergeCell ref="A4:B4"/>
    <mergeCell ref="A7:B7"/>
    <mergeCell ref="A8:B8"/>
    <mergeCell ref="A11:B11"/>
    <mergeCell ref="A5:A6"/>
    <mergeCell ref="A9:A10"/>
    <mergeCell ref="A2:B3"/>
    <mergeCell ref="C2:G2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3"/>
  <sheetViews>
    <sheetView tabSelected="1" workbookViewId="0">
      <pane xSplit="3" ySplit="6" topLeftCell="D13" activePane="bottomRight" state="frozen"/>
      <selection pane="topRight"/>
      <selection pane="bottomLeft"/>
      <selection pane="bottomRight" activeCell="E17" sqref="E17"/>
    </sheetView>
  </sheetViews>
  <sheetFormatPr defaultColWidth="9" defaultRowHeight="16.5"/>
  <cols>
    <col min="1" max="1" width="5.125" style="110" customWidth="1"/>
    <col min="2" max="2" width="32.625" style="110" bestFit="1" customWidth="1"/>
    <col min="3" max="3" width="14.5" style="111" customWidth="1"/>
    <col min="4" max="8" width="13" style="111" customWidth="1"/>
    <col min="9" max="9" width="16.5" style="111" customWidth="1"/>
    <col min="10" max="10" width="15.5" style="110" customWidth="1"/>
    <col min="11" max="36" width="9" style="110"/>
    <col min="37" max="37" width="4.375" style="110" customWidth="1"/>
    <col min="38" max="38" width="13.875" style="110" customWidth="1"/>
    <col min="39" max="16384" width="9" style="110"/>
  </cols>
  <sheetData>
    <row r="1" spans="1:39" ht="27" customHeight="1">
      <c r="A1" s="213" t="s">
        <v>254</v>
      </c>
      <c r="B1" s="213"/>
      <c r="C1" s="213"/>
      <c r="D1" s="213"/>
      <c r="E1" s="213"/>
      <c r="F1" s="213"/>
      <c r="G1" s="213"/>
      <c r="H1" s="213"/>
      <c r="I1" s="213"/>
    </row>
    <row r="2" spans="1:39" ht="15.75" customHeight="1">
      <c r="A2" s="214" t="s">
        <v>14</v>
      </c>
      <c r="B2" s="112" t="s">
        <v>1</v>
      </c>
      <c r="C2" s="112" t="s">
        <v>245</v>
      </c>
      <c r="D2" s="112" t="s">
        <v>246</v>
      </c>
      <c r="E2" s="112" t="s">
        <v>247</v>
      </c>
      <c r="F2" s="112" t="s">
        <v>248</v>
      </c>
      <c r="G2" s="112" t="s">
        <v>249</v>
      </c>
      <c r="H2" s="112" t="s">
        <v>291</v>
      </c>
      <c r="I2" s="51" t="s">
        <v>15</v>
      </c>
      <c r="AM2" s="110" t="s">
        <v>16</v>
      </c>
    </row>
    <row r="3" spans="1:39" s="48" customFormat="1" ht="15.75" customHeight="1">
      <c r="A3" s="215"/>
      <c r="B3" s="53" t="s">
        <v>3</v>
      </c>
      <c r="C3" s="113">
        <f>'2023年'!I6</f>
        <v>13000</v>
      </c>
      <c r="D3" s="113">
        <f>'2024年'!I6</f>
        <v>30000</v>
      </c>
      <c r="E3" s="113">
        <f>'2025年'!I6</f>
        <v>30000</v>
      </c>
      <c r="F3" s="113">
        <f>'2026年'!I6</f>
        <v>30000</v>
      </c>
      <c r="G3" s="113">
        <f>'2027年'!I6</f>
        <v>30000</v>
      </c>
      <c r="H3" s="113">
        <f>'2028年'!I6</f>
        <v>30000</v>
      </c>
      <c r="I3" s="113">
        <f>SUM(C3:H3)</f>
        <v>163000</v>
      </c>
      <c r="J3" s="69"/>
      <c r="AK3" s="52" t="s">
        <v>14</v>
      </c>
      <c r="AL3" s="53" t="s">
        <v>3</v>
      </c>
      <c r="AM3" s="48" t="s">
        <v>17</v>
      </c>
    </row>
    <row r="4" spans="1:39" s="48" customFormat="1" ht="15.75" customHeight="1">
      <c r="A4" s="62">
        <v>1</v>
      </c>
      <c r="B4" s="53" t="s">
        <v>18</v>
      </c>
      <c r="C4" s="113">
        <f>'2023年'!I7</f>
        <v>11525000</v>
      </c>
      <c r="D4" s="113">
        <f>'2024年'!I7</f>
        <v>25650000</v>
      </c>
      <c r="E4" s="113">
        <f>'2025年'!I7</f>
        <v>25650000</v>
      </c>
      <c r="F4" s="113">
        <f>'2026年'!I7</f>
        <v>25650000</v>
      </c>
      <c r="G4" s="113">
        <f>'2027年'!I7</f>
        <v>25650000</v>
      </c>
      <c r="H4" s="113">
        <f>'2028年'!I7</f>
        <v>25650000</v>
      </c>
      <c r="I4" s="113">
        <f t="shared" ref="I4:I10" si="0">SUM(C4:H4)</f>
        <v>139775000</v>
      </c>
      <c r="J4" s="69"/>
      <c r="AK4" s="52" t="s">
        <v>19</v>
      </c>
      <c r="AL4" s="53" t="s">
        <v>18</v>
      </c>
      <c r="AM4" s="48" t="s">
        <v>17</v>
      </c>
    </row>
    <row r="5" spans="1:39" s="48" customFormat="1" ht="15.75" customHeight="1">
      <c r="A5" s="62">
        <v>2</v>
      </c>
      <c r="B5" s="50" t="s">
        <v>20</v>
      </c>
      <c r="C5" s="113">
        <f>'2023年'!I8</f>
        <v>0</v>
      </c>
      <c r="D5" s="113">
        <f>'2024年'!I8</f>
        <v>769500.0000000007</v>
      </c>
      <c r="E5" s="113">
        <f>'2025年'!I8</f>
        <v>1515914.9999999981</v>
      </c>
      <c r="F5" s="113">
        <f>'2026年'!I8</f>
        <v>2239937.549999998</v>
      </c>
      <c r="G5" s="113">
        <f>'2027年'!I8</f>
        <v>2942239.4235000014</v>
      </c>
      <c r="H5" s="113">
        <f>'2028年'!I8</f>
        <v>3623472.2407949995</v>
      </c>
      <c r="I5" s="113">
        <f t="shared" si="0"/>
        <v>11091064.214294998</v>
      </c>
      <c r="J5" s="69"/>
      <c r="AK5" s="52" t="s">
        <v>21</v>
      </c>
      <c r="AL5" s="50" t="s">
        <v>22</v>
      </c>
      <c r="AM5" s="48" t="s">
        <v>17</v>
      </c>
    </row>
    <row r="6" spans="1:39" s="48" customFormat="1" ht="15.75" customHeight="1">
      <c r="A6" s="62">
        <v>3</v>
      </c>
      <c r="B6" s="53" t="s">
        <v>23</v>
      </c>
      <c r="C6" s="114">
        <f>+C4-C5</f>
        <v>11525000</v>
      </c>
      <c r="D6" s="114">
        <f>'2024年'!I9</f>
        <v>24880500</v>
      </c>
      <c r="E6" s="114">
        <f>'2025年'!I9</f>
        <v>24134085</v>
      </c>
      <c r="F6" s="114">
        <f>'2026年'!I9</f>
        <v>23410062.449999999</v>
      </c>
      <c r="G6" s="114">
        <f>'2027年'!I9</f>
        <v>22707760.576499999</v>
      </c>
      <c r="H6" s="114">
        <f>'2028年'!I9</f>
        <v>22026527.759204999</v>
      </c>
      <c r="I6" s="113">
        <f t="shared" si="0"/>
        <v>128683935.785705</v>
      </c>
      <c r="J6" s="69"/>
      <c r="AK6" s="52" t="s">
        <v>24</v>
      </c>
      <c r="AL6" s="53" t="s">
        <v>23</v>
      </c>
      <c r="AM6" s="48" t="s">
        <v>25</v>
      </c>
    </row>
    <row r="7" spans="1:39" s="48" customFormat="1" ht="15.75" customHeight="1">
      <c r="A7" s="62">
        <v>4</v>
      </c>
      <c r="B7" s="52" t="s">
        <v>26</v>
      </c>
      <c r="C7" s="113">
        <f>'2023年'!I10</f>
        <v>9723520</v>
      </c>
      <c r="D7" s="113">
        <f>'2024年'!I10</f>
        <v>21152014</v>
      </c>
      <c r="E7" s="113">
        <f>'2025年'!I10</f>
        <v>20517453.579999998</v>
      </c>
      <c r="F7" s="113">
        <f>'2026年'!I10</f>
        <v>19901929.972599998</v>
      </c>
      <c r="G7" s="113">
        <f>'2027年'!I10</f>
        <v>19304872.073422</v>
      </c>
      <c r="H7" s="113">
        <f>'2028年'!I10</f>
        <v>18725725.911219336</v>
      </c>
      <c r="I7" s="113">
        <f t="shared" si="0"/>
        <v>109325515.53724134</v>
      </c>
      <c r="J7" s="69"/>
      <c r="AK7" s="52" t="s">
        <v>27</v>
      </c>
      <c r="AL7" s="52" t="s">
        <v>26</v>
      </c>
      <c r="AM7" s="48" t="s">
        <v>28</v>
      </c>
    </row>
    <row r="8" spans="1:39" s="48" customFormat="1" ht="15.75" customHeight="1">
      <c r="A8" s="62">
        <v>5</v>
      </c>
      <c r="B8" s="52" t="s">
        <v>29</v>
      </c>
      <c r="C8" s="113">
        <f>'2023年'!I11</f>
        <v>180942.5</v>
      </c>
      <c r="D8" s="113">
        <f>'2024年'!I11</f>
        <v>402705</v>
      </c>
      <c r="E8" s="113">
        <f>'2025年'!I11</f>
        <v>402705</v>
      </c>
      <c r="F8" s="113">
        <f>'2026年'!I11</f>
        <v>402705</v>
      </c>
      <c r="G8" s="113">
        <f>'2027年'!I11</f>
        <v>402705</v>
      </c>
      <c r="H8" s="113">
        <f>'2028年'!I11</f>
        <v>402705</v>
      </c>
      <c r="I8" s="113">
        <f t="shared" si="0"/>
        <v>2194467.5</v>
      </c>
      <c r="J8" s="69"/>
      <c r="AK8" s="52" t="s">
        <v>30</v>
      </c>
      <c r="AL8" s="52" t="s">
        <v>29</v>
      </c>
    </row>
    <row r="9" spans="1:39" s="48" customFormat="1" ht="15.75" customHeight="1">
      <c r="A9" s="62">
        <v>6</v>
      </c>
      <c r="B9" s="52" t="s">
        <v>31</v>
      </c>
      <c r="C9" s="113">
        <f>'2023年'!I12</f>
        <v>43795</v>
      </c>
      <c r="D9" s="113">
        <f>'2024年'!I12</f>
        <v>97470</v>
      </c>
      <c r="E9" s="113">
        <f>'2025年'!I12</f>
        <v>97470</v>
      </c>
      <c r="F9" s="113">
        <f>'2026年'!I12</f>
        <v>97470</v>
      </c>
      <c r="G9" s="113">
        <f>'2027年'!I12</f>
        <v>97470</v>
      </c>
      <c r="H9" s="113">
        <f>'2028年'!I12</f>
        <v>97470</v>
      </c>
      <c r="I9" s="113">
        <f t="shared" si="0"/>
        <v>531145</v>
      </c>
      <c r="J9" s="69"/>
      <c r="AK9" s="52" t="s">
        <v>32</v>
      </c>
      <c r="AL9" s="52" t="s">
        <v>31</v>
      </c>
    </row>
    <row r="10" spans="1:39" s="48" customFormat="1" ht="15.75" customHeight="1">
      <c r="A10" s="62">
        <v>7</v>
      </c>
      <c r="B10" s="115" t="s">
        <v>33</v>
      </c>
      <c r="C10" s="113">
        <f>'2023年'!I13</f>
        <v>296192.5</v>
      </c>
      <c r="D10" s="113">
        <f>'2024年'!I13</f>
        <v>659205</v>
      </c>
      <c r="E10" s="113">
        <f>'2025年'!I13</f>
        <v>659205</v>
      </c>
      <c r="F10" s="113">
        <f>'2026年'!I13</f>
        <v>659205</v>
      </c>
      <c r="G10" s="113">
        <f>'2027年'!I13</f>
        <v>659205</v>
      </c>
      <c r="H10" s="113">
        <f>'2028年'!I13</f>
        <v>659205</v>
      </c>
      <c r="I10" s="113">
        <f t="shared" si="0"/>
        <v>3592217.5</v>
      </c>
      <c r="J10" s="69"/>
      <c r="AK10" s="52" t="s">
        <v>34</v>
      </c>
      <c r="AL10" s="52" t="s">
        <v>33</v>
      </c>
      <c r="AM10" s="48" t="s">
        <v>17</v>
      </c>
    </row>
    <row r="11" spans="1:39" s="48" customFormat="1" ht="15.75" customHeight="1">
      <c r="A11" s="62">
        <v>8</v>
      </c>
      <c r="B11" s="116" t="s">
        <v>35</v>
      </c>
      <c r="C11" s="117">
        <f>'2023年'!I14</f>
        <v>520930</v>
      </c>
      <c r="D11" s="117">
        <f>'2024年'!I14</f>
        <v>1159380</v>
      </c>
      <c r="E11" s="117">
        <f>'2025年'!I14</f>
        <v>1159380</v>
      </c>
      <c r="F11" s="117">
        <f>'2026年'!I14</f>
        <v>1159380</v>
      </c>
      <c r="G11" s="117">
        <f>'2027年'!I14</f>
        <v>1159380</v>
      </c>
      <c r="H11" s="117">
        <f>'2028年'!I14</f>
        <v>1159380</v>
      </c>
      <c r="I11" s="117">
        <f>SUM(C11:H11)</f>
        <v>6317830</v>
      </c>
      <c r="J11" s="69"/>
      <c r="AK11" s="52" t="s">
        <v>36</v>
      </c>
      <c r="AL11" s="55" t="s">
        <v>35</v>
      </c>
    </row>
    <row r="12" spans="1:39" s="48" customFormat="1" ht="15.75" customHeight="1">
      <c r="A12" s="62">
        <v>9</v>
      </c>
      <c r="B12" s="118" t="s">
        <v>37</v>
      </c>
      <c r="C12" s="113">
        <f>'2023年'!I15</f>
        <v>1280550</v>
      </c>
      <c r="D12" s="113">
        <f>'2024年'!I15</f>
        <v>2569105.9999999991</v>
      </c>
      <c r="E12" s="113">
        <f>'2025年'!I15</f>
        <v>2457251.4200000009</v>
      </c>
      <c r="F12" s="113">
        <f>'2026年'!I15</f>
        <v>2348752.4774000016</v>
      </c>
      <c r="G12" s="113">
        <f>'2027年'!I15</f>
        <v>2243508.5030779992</v>
      </c>
      <c r="H12" s="113">
        <f>'2028年'!I15</f>
        <v>2141421.8479856635</v>
      </c>
      <c r="I12" s="113">
        <f>I6-I7-I11</f>
        <v>13040590.24846366</v>
      </c>
      <c r="J12" s="69"/>
      <c r="L12" s="110"/>
      <c r="M12" s="110"/>
      <c r="N12" s="110"/>
      <c r="O12" s="110"/>
      <c r="P12" s="110"/>
      <c r="Q12" s="110"/>
      <c r="AK12" s="52" t="s">
        <v>38</v>
      </c>
      <c r="AL12" s="55" t="s">
        <v>37</v>
      </c>
    </row>
    <row r="13" spans="1:39" ht="15.75" customHeight="1">
      <c r="A13" s="62">
        <v>10</v>
      </c>
      <c r="B13" s="119" t="s">
        <v>39</v>
      </c>
      <c r="C13" s="120">
        <f>+C12/C6</f>
        <v>0.11111062906724511</v>
      </c>
      <c r="D13" s="120">
        <f>'2024年'!I16</f>
        <v>0.10325781234299949</v>
      </c>
      <c r="E13" s="120">
        <f>'2025年'!I16</f>
        <v>0.10181663899832957</v>
      </c>
      <c r="F13" s="120">
        <f>'2026年'!I16</f>
        <v>0.10033089328217498</v>
      </c>
      <c r="G13" s="120">
        <f>'2027年'!I16</f>
        <v>9.8799196667582467E-2</v>
      </c>
      <c r="H13" s="120">
        <f>'2028年'!I16</f>
        <v>9.7220127992745126E-2</v>
      </c>
      <c r="I13" s="120">
        <f>+I12/I6</f>
        <v>0.10133813648799114</v>
      </c>
      <c r="J13" s="69"/>
      <c r="AK13" s="119" t="s">
        <v>40</v>
      </c>
      <c r="AL13" s="119" t="s">
        <v>39</v>
      </c>
    </row>
    <row r="14" spans="1:39" ht="15.75" customHeight="1">
      <c r="A14" s="62">
        <v>11</v>
      </c>
      <c r="B14" s="119" t="s">
        <v>41</v>
      </c>
      <c r="C14" s="113">
        <f>'2023年'!I17</f>
        <v>600338.77300613502</v>
      </c>
      <c r="D14" s="113">
        <f>'2024年'!I17</f>
        <v>1340360.2453987731</v>
      </c>
      <c r="E14" s="113">
        <f>'2025年'!I17</f>
        <v>1340360.2453987731</v>
      </c>
      <c r="F14" s="113">
        <f>'2026年'!I17</f>
        <v>1340360.2453987731</v>
      </c>
      <c r="G14" s="113">
        <f>'2027年'!I17</f>
        <v>1340360.2453987731</v>
      </c>
      <c r="H14" s="113">
        <f>'2028年'!I17</f>
        <v>1340360.2453987731</v>
      </c>
      <c r="I14" s="113">
        <f t="shared" ref="I14" si="1">SUM(C14:H14)</f>
        <v>7302140</v>
      </c>
      <c r="J14" s="69"/>
      <c r="AK14" s="119" t="s">
        <v>42</v>
      </c>
      <c r="AL14" s="119" t="s">
        <v>41</v>
      </c>
    </row>
    <row r="15" spans="1:39" ht="15.75" customHeight="1">
      <c r="A15" s="159"/>
      <c r="B15" s="119"/>
      <c r="C15" s="113"/>
      <c r="D15" s="113"/>
      <c r="E15" s="113"/>
      <c r="F15" s="113"/>
      <c r="G15" s="113"/>
      <c r="H15" s="113"/>
      <c r="I15" s="113"/>
      <c r="J15" s="69"/>
      <c r="AK15" s="119"/>
      <c r="AL15" s="119"/>
    </row>
    <row r="16" spans="1:39" ht="15.75" customHeight="1">
      <c r="A16" s="62">
        <v>12</v>
      </c>
      <c r="B16" s="119" t="s">
        <v>43</v>
      </c>
      <c r="C16" s="121">
        <f>'2023年'!I19</f>
        <v>86437.5</v>
      </c>
      <c r="D16" s="121">
        <f>'2024年'!I19</f>
        <v>192375</v>
      </c>
      <c r="E16" s="121">
        <f>'2025年'!I19</f>
        <v>192375</v>
      </c>
      <c r="F16" s="121">
        <f>'2026年'!I19</f>
        <v>192375</v>
      </c>
      <c r="G16" s="121">
        <f>'2027年'!I19</f>
        <v>192375</v>
      </c>
      <c r="H16" s="121">
        <f>'2028年'!I19</f>
        <v>192375</v>
      </c>
      <c r="I16" s="113">
        <f t="shared" ref="I16" si="2">SUM(C16:E16)</f>
        <v>471187.5</v>
      </c>
      <c r="J16" s="69"/>
      <c r="R16" s="69"/>
      <c r="AK16" s="119" t="s">
        <v>44</v>
      </c>
      <c r="AL16" s="119" t="s">
        <v>43</v>
      </c>
      <c r="AM16" s="110" t="s">
        <v>17</v>
      </c>
    </row>
    <row r="17" spans="1:39" ht="15.75" customHeight="1">
      <c r="A17" s="62">
        <v>13</v>
      </c>
      <c r="B17" s="119" t="s">
        <v>45</v>
      </c>
      <c r="C17" s="121">
        <f>'2023年'!I20</f>
        <v>346902.5</v>
      </c>
      <c r="D17" s="121">
        <f>'2024年'!I20</f>
        <v>772065</v>
      </c>
      <c r="E17" s="121">
        <f>'2025年'!I20</f>
        <v>772065</v>
      </c>
      <c r="F17" s="121">
        <f>'2026年'!I20</f>
        <v>772065</v>
      </c>
      <c r="G17" s="121">
        <f>'2027年'!I20</f>
        <v>772065</v>
      </c>
      <c r="H17" s="121">
        <f>'2028年'!I20</f>
        <v>772065</v>
      </c>
      <c r="I17" s="113">
        <f t="shared" ref="I17:I19" si="3">SUM(C17:H17)</f>
        <v>4207227.5</v>
      </c>
      <c r="J17" s="69"/>
      <c r="AK17" s="119" t="s">
        <v>46</v>
      </c>
      <c r="AL17" s="119" t="s">
        <v>45</v>
      </c>
    </row>
    <row r="18" spans="1:39" s="47" customFormat="1" ht="15.75" customHeight="1">
      <c r="A18" s="62">
        <v>14</v>
      </c>
      <c r="B18" s="60" t="s">
        <v>47</v>
      </c>
      <c r="C18" s="122">
        <f>'2023年'!I21</f>
        <v>22985.276073619632</v>
      </c>
      <c r="D18" s="122">
        <f>'2024年'!I21</f>
        <v>53042.944785276071</v>
      </c>
      <c r="E18" s="122">
        <f>'2025年'!I21</f>
        <v>53042.944785276071</v>
      </c>
      <c r="F18" s="122">
        <f>'2026年'!I21</f>
        <v>53042.944785276071</v>
      </c>
      <c r="G18" s="122">
        <f>'2027年'!I21</f>
        <v>53042.944785276071</v>
      </c>
      <c r="H18" s="122">
        <f>'2028年'!I21</f>
        <v>53042.944785276071</v>
      </c>
      <c r="I18" s="113">
        <f t="shared" si="3"/>
        <v>288200</v>
      </c>
      <c r="J18" s="69"/>
      <c r="AK18" s="60"/>
      <c r="AL18" s="60"/>
    </row>
    <row r="19" spans="1:39" s="48" customFormat="1" ht="15.75" customHeight="1">
      <c r="A19" s="62">
        <v>15</v>
      </c>
      <c r="B19" s="52" t="s">
        <v>48</v>
      </c>
      <c r="C19" s="121">
        <f>'2023年'!I22</f>
        <v>266227.5</v>
      </c>
      <c r="D19" s="121">
        <f>'2024年'!I22</f>
        <v>592515</v>
      </c>
      <c r="E19" s="121">
        <f>'2025年'!I22</f>
        <v>592515</v>
      </c>
      <c r="F19" s="121">
        <f>'2026年'!I22</f>
        <v>592515</v>
      </c>
      <c r="G19" s="121">
        <f>'2027年'!I22</f>
        <v>592515</v>
      </c>
      <c r="H19" s="121">
        <f>'2028年'!I22</f>
        <v>592515</v>
      </c>
      <c r="I19" s="113">
        <f t="shared" si="3"/>
        <v>3228802.5</v>
      </c>
      <c r="J19" s="69"/>
      <c r="AK19" s="52" t="s">
        <v>49</v>
      </c>
      <c r="AL19" s="52" t="s">
        <v>48</v>
      </c>
    </row>
    <row r="20" spans="1:39" s="108" customFormat="1" ht="15.75" customHeight="1">
      <c r="A20" s="62">
        <v>16</v>
      </c>
      <c r="B20" s="123" t="s">
        <v>50</v>
      </c>
      <c r="C20" s="117">
        <f t="shared" ref="C20" si="4">+C19+C18+C17+C16+C14</f>
        <v>1322891.5490797546</v>
      </c>
      <c r="D20" s="117">
        <f>'2024年'!I23</f>
        <v>2950358.1901840493</v>
      </c>
      <c r="E20" s="117">
        <f>'2025年'!I23</f>
        <v>2950358.1901840493</v>
      </c>
      <c r="F20" s="117">
        <f>'2026年'!I23</f>
        <v>2950358.1901840493</v>
      </c>
      <c r="G20" s="117">
        <f>'2027年'!I23</f>
        <v>2950358.1901840493</v>
      </c>
      <c r="H20" s="117">
        <f>'2028年'!I23</f>
        <v>2950358.1901840493</v>
      </c>
      <c r="I20" s="117">
        <f>SUM(C20:H20)</f>
        <v>16074682.5</v>
      </c>
      <c r="J20" s="69"/>
      <c r="AK20" s="136" t="s">
        <v>51</v>
      </c>
      <c r="AL20" s="137" t="s">
        <v>50</v>
      </c>
    </row>
    <row r="21" spans="1:39" ht="15.75" customHeight="1">
      <c r="A21" s="62">
        <v>17</v>
      </c>
      <c r="B21" s="119" t="s">
        <v>52</v>
      </c>
      <c r="C21" s="124">
        <f>+C12-C20</f>
        <v>-42341.549079754623</v>
      </c>
      <c r="D21" s="124">
        <f>'2024年'!I24</f>
        <v>-381252.19018405024</v>
      </c>
      <c r="E21" s="124">
        <f>'2025年'!I24</f>
        <v>-493106.77018404845</v>
      </c>
      <c r="F21" s="124">
        <f>'2026年'!I24</f>
        <v>-601605.7127840477</v>
      </c>
      <c r="G21" s="124">
        <f>'2027年'!I24</f>
        <v>-706849.68710605009</v>
      </c>
      <c r="H21" s="124">
        <f>'2028年'!I24</f>
        <v>-808936.34219838586</v>
      </c>
      <c r="I21" s="124">
        <f>+I12-I20</f>
        <v>-3034092.2515363395</v>
      </c>
      <c r="J21" s="69"/>
      <c r="AK21" s="119" t="s">
        <v>53</v>
      </c>
      <c r="AL21" s="119" t="s">
        <v>52</v>
      </c>
    </row>
    <row r="22" spans="1:39" ht="15.75" customHeight="1">
      <c r="A22" s="62">
        <v>18</v>
      </c>
      <c r="B22" s="119" t="s">
        <v>54</v>
      </c>
      <c r="C22" s="124">
        <f>IF(C21&lt;0,0,C21*0.25)</f>
        <v>0</v>
      </c>
      <c r="D22" s="124">
        <f>'2024年'!I25</f>
        <v>0</v>
      </c>
      <c r="E22" s="124">
        <f>'2025年'!I25</f>
        <v>0</v>
      </c>
      <c r="F22" s="124">
        <f>'2026年'!I25</f>
        <v>0</v>
      </c>
      <c r="G22" s="124">
        <f>'2027年'!I25</f>
        <v>0</v>
      </c>
      <c r="H22" s="124">
        <f>'2028年'!I25</f>
        <v>0</v>
      </c>
      <c r="I22" s="124">
        <f>IF(I21&lt;0,0,I21*0.25)</f>
        <v>0</v>
      </c>
      <c r="J22" s="69"/>
      <c r="AK22" s="119" t="s">
        <v>55</v>
      </c>
      <c r="AL22" s="119" t="s">
        <v>54</v>
      </c>
    </row>
    <row r="23" spans="1:39" ht="15.75" customHeight="1">
      <c r="A23" s="62">
        <v>19</v>
      </c>
      <c r="B23" s="119" t="s">
        <v>56</v>
      </c>
      <c r="C23" s="124">
        <f>C21-C22</f>
        <v>-42341.549079754623</v>
      </c>
      <c r="D23" s="124">
        <f>'2024年'!I26</f>
        <v>-437060.25766871258</v>
      </c>
      <c r="E23" s="124">
        <f>'2025年'!I26</f>
        <v>-540304.87516871095</v>
      </c>
      <c r="F23" s="124">
        <f>'2026年'!I26</f>
        <v>-640452.15414371016</v>
      </c>
      <c r="G23" s="124">
        <f>'2027年'!I26</f>
        <v>-737595.01474946225</v>
      </c>
      <c r="H23" s="124">
        <f>'2028年'!I26</f>
        <v>-831823.58953703591</v>
      </c>
      <c r="I23" s="124">
        <f>I21-I22</f>
        <v>-3034092.2515363395</v>
      </c>
      <c r="J23" s="69"/>
      <c r="AK23" s="119" t="s">
        <v>57</v>
      </c>
      <c r="AL23" s="119" t="s">
        <v>56</v>
      </c>
    </row>
    <row r="24" spans="1:39" ht="15.75" customHeight="1">
      <c r="A24" s="62">
        <v>20</v>
      </c>
      <c r="B24" s="119" t="s">
        <v>58</v>
      </c>
      <c r="C24" s="125">
        <f>(C23/C4)*100%</f>
        <v>-3.6738871218876027E-3</v>
      </c>
      <c r="D24" s="125">
        <f>'2024年'!I27</f>
        <v>-1.7039386263887429E-2</v>
      </c>
      <c r="E24" s="125">
        <f>'2025年'!I27</f>
        <v>-2.1064517550437072E-2</v>
      </c>
      <c r="F24" s="125">
        <f>'2026年'!I27</f>
        <v>-2.496889489839026E-2</v>
      </c>
      <c r="G24" s="125">
        <f>'2027年'!I27</f>
        <v>-2.875614092590496E-2</v>
      </c>
      <c r="H24" s="125">
        <f>'2028年'!I27</f>
        <v>-3.242976957259399E-2</v>
      </c>
      <c r="I24" s="125">
        <f>(I23/I4)*100%</f>
        <v>-2.170697371873611E-2</v>
      </c>
      <c r="J24" s="69"/>
      <c r="AK24" s="138" t="s">
        <v>59</v>
      </c>
      <c r="AL24" s="138" t="s">
        <v>60</v>
      </c>
    </row>
    <row r="25" spans="1:39" s="109" customFormat="1" ht="15.75" customHeight="1">
      <c r="C25" s="126"/>
      <c r="D25" s="126"/>
      <c r="E25" s="126"/>
      <c r="F25" s="126"/>
      <c r="G25" s="126"/>
      <c r="H25" s="126"/>
      <c r="I25" s="126"/>
      <c r="J25" s="135"/>
    </row>
    <row r="26" spans="1:39" s="109" customFormat="1" ht="15.75" customHeight="1">
      <c r="A26" s="109" t="s">
        <v>61</v>
      </c>
      <c r="C26" s="127"/>
      <c r="D26" s="127"/>
      <c r="E26" s="127"/>
      <c r="F26" s="127"/>
      <c r="G26" s="127"/>
      <c r="H26" s="127"/>
      <c r="I26" s="127"/>
      <c r="J26" s="135"/>
      <c r="AK26" s="109" t="s">
        <v>61</v>
      </c>
    </row>
    <row r="27" spans="1:39" ht="15.75" customHeight="1">
      <c r="A27" s="119" t="s">
        <v>14</v>
      </c>
      <c r="B27" s="128" t="s">
        <v>1</v>
      </c>
      <c r="C27" s="112" t="s">
        <v>245</v>
      </c>
      <c r="D27" s="112" t="s">
        <v>246</v>
      </c>
      <c r="E27" s="112" t="s">
        <v>247</v>
      </c>
      <c r="F27" s="112" t="s">
        <v>248</v>
      </c>
      <c r="G27" s="112" t="s">
        <v>291</v>
      </c>
      <c r="H27" s="112" t="s">
        <v>291</v>
      </c>
      <c r="I27" s="51" t="s">
        <v>15</v>
      </c>
      <c r="AM27" s="110" t="s">
        <v>16</v>
      </c>
    </row>
    <row r="28" spans="1:39" s="48" customFormat="1" ht="15.75" customHeight="1">
      <c r="A28" s="52" t="s">
        <v>62</v>
      </c>
      <c r="B28" s="55" t="s">
        <v>63</v>
      </c>
      <c r="C28" s="59"/>
      <c r="D28" s="59"/>
      <c r="E28" s="59"/>
      <c r="F28" s="59"/>
      <c r="G28" s="59"/>
      <c r="H28" s="59"/>
      <c r="I28" s="59"/>
      <c r="J28" s="69"/>
      <c r="AK28" s="52" t="s">
        <v>64</v>
      </c>
      <c r="AL28" s="55" t="s">
        <v>63</v>
      </c>
    </row>
    <row r="29" spans="1:39" s="48" customFormat="1" ht="15.75" customHeight="1">
      <c r="A29" s="52" t="s">
        <v>19</v>
      </c>
      <c r="B29" s="52" t="s">
        <v>65</v>
      </c>
      <c r="C29" s="54">
        <f>+C6/C3</f>
        <v>886.53846153846155</v>
      </c>
      <c r="D29" s="54">
        <f t="shared" ref="D29:H29" si="5">+D6/D3</f>
        <v>829.35</v>
      </c>
      <c r="E29" s="54">
        <f t="shared" si="5"/>
        <v>804.46950000000004</v>
      </c>
      <c r="F29" s="54">
        <f t="shared" si="5"/>
        <v>780.33541500000001</v>
      </c>
      <c r="G29" s="54">
        <f t="shared" ref="G29" si="6">+G6/G3</f>
        <v>756.92535254999996</v>
      </c>
      <c r="H29" s="54">
        <f t="shared" si="5"/>
        <v>734.21759197349991</v>
      </c>
      <c r="I29" s="54">
        <f>+I6/I3</f>
        <v>789.47199868530674</v>
      </c>
      <c r="J29" s="69"/>
      <c r="AK29" s="52" t="s">
        <v>19</v>
      </c>
      <c r="AL29" s="52" t="s">
        <v>65</v>
      </c>
    </row>
    <row r="30" spans="1:39" s="48" customFormat="1" ht="15.75" customHeight="1">
      <c r="A30" s="52" t="s">
        <v>21</v>
      </c>
      <c r="B30" s="52" t="s">
        <v>66</v>
      </c>
      <c r="C30" s="54">
        <f>+C7/C3</f>
        <v>747.96307692307687</v>
      </c>
      <c r="D30" s="54">
        <f t="shared" ref="D30:H30" si="7">+D7/D3</f>
        <v>705.06713333333335</v>
      </c>
      <c r="E30" s="54">
        <f t="shared" si="7"/>
        <v>683.91511933333322</v>
      </c>
      <c r="F30" s="54">
        <f t="shared" si="7"/>
        <v>663.39766575333329</v>
      </c>
      <c r="G30" s="54">
        <f t="shared" ref="G30" si="8">+G7/G3</f>
        <v>643.4957357807333</v>
      </c>
      <c r="H30" s="54">
        <f t="shared" si="7"/>
        <v>624.19086370731122</v>
      </c>
      <c r="I30" s="54">
        <f>+I7/I3</f>
        <v>670.7086842775542</v>
      </c>
      <c r="J30" s="69"/>
      <c r="AK30" s="52" t="s">
        <v>21</v>
      </c>
      <c r="AL30" s="52" t="s">
        <v>66</v>
      </c>
    </row>
    <row r="31" spans="1:39" s="48" customFormat="1" ht="15.75" customHeight="1">
      <c r="A31" s="52" t="s">
        <v>67</v>
      </c>
      <c r="B31" s="52" t="s">
        <v>68</v>
      </c>
      <c r="C31" s="59">
        <f t="shared" ref="C31:I31" si="9">C29-C30</f>
        <v>138.57538461538468</v>
      </c>
      <c r="D31" s="59">
        <f t="shared" si="9"/>
        <v>124.28286666666668</v>
      </c>
      <c r="E31" s="59">
        <f t="shared" si="9"/>
        <v>120.55438066666682</v>
      </c>
      <c r="F31" s="59">
        <f t="shared" si="9"/>
        <v>116.93774924666673</v>
      </c>
      <c r="G31" s="59">
        <f t="shared" ref="G31" si="10">G29-G30</f>
        <v>113.42961676926666</v>
      </c>
      <c r="H31" s="59">
        <f t="shared" si="9"/>
        <v>110.02672826618868</v>
      </c>
      <c r="I31" s="59">
        <f t="shared" si="9"/>
        <v>118.76331440775255</v>
      </c>
      <c r="J31" s="69"/>
      <c r="AK31" s="52" t="s">
        <v>67</v>
      </c>
      <c r="AL31" s="52" t="s">
        <v>68</v>
      </c>
    </row>
    <row r="32" spans="1:39" s="48" customFormat="1" ht="15.75" customHeight="1">
      <c r="A32" s="52">
        <v>3.1</v>
      </c>
      <c r="B32" s="52" t="s">
        <v>69</v>
      </c>
      <c r="C32" s="129">
        <f t="shared" ref="C32:I32" si="11">C31/C29</f>
        <v>0.15631062906724519</v>
      </c>
      <c r="D32" s="129">
        <f t="shared" si="11"/>
        <v>0.14985575048732944</v>
      </c>
      <c r="E32" s="129">
        <f t="shared" si="11"/>
        <v>0.1498557504873296</v>
      </c>
      <c r="F32" s="129">
        <f t="shared" si="11"/>
        <v>0.14985575048732952</v>
      </c>
      <c r="G32" s="129">
        <f t="shared" ref="G32" si="12">G31/G29</f>
        <v>0.14985575048732944</v>
      </c>
      <c r="H32" s="129">
        <f t="shared" si="11"/>
        <v>0.14985575048732946</v>
      </c>
      <c r="I32" s="129">
        <f t="shared" si="11"/>
        <v>0.15043385275921997</v>
      </c>
      <c r="J32" s="69"/>
      <c r="AK32" s="52"/>
      <c r="AL32" s="52"/>
    </row>
    <row r="33" spans="1:38" s="48" customFormat="1" ht="15.75" customHeight="1">
      <c r="A33" s="52" t="s">
        <v>64</v>
      </c>
      <c r="B33" s="55" t="s">
        <v>8</v>
      </c>
      <c r="C33" s="59"/>
      <c r="D33" s="59"/>
      <c r="E33" s="59"/>
      <c r="F33" s="59"/>
      <c r="G33" s="59"/>
      <c r="H33" s="59"/>
      <c r="I33" s="59"/>
      <c r="J33" s="69"/>
      <c r="AK33" s="52" t="s">
        <v>70</v>
      </c>
      <c r="AL33" s="55" t="s">
        <v>8</v>
      </c>
    </row>
    <row r="34" spans="1:38" s="48" customFormat="1" ht="15.75" customHeight="1">
      <c r="A34" s="52" t="s">
        <v>19</v>
      </c>
      <c r="B34" s="60" t="s">
        <v>71</v>
      </c>
      <c r="C34" s="54">
        <f>+C8/C3</f>
        <v>13.918653846153846</v>
      </c>
      <c r="D34" s="54">
        <f t="shared" ref="D34:H34" si="13">+D8/D3</f>
        <v>13.423500000000001</v>
      </c>
      <c r="E34" s="54">
        <f t="shared" si="13"/>
        <v>13.423500000000001</v>
      </c>
      <c r="F34" s="54">
        <f t="shared" si="13"/>
        <v>13.423500000000001</v>
      </c>
      <c r="G34" s="54">
        <f t="shared" ref="G34" si="14">+G8/G3</f>
        <v>13.423500000000001</v>
      </c>
      <c r="H34" s="54">
        <f t="shared" si="13"/>
        <v>13.423500000000001</v>
      </c>
      <c r="I34" s="54">
        <f>+I8/I3</f>
        <v>13.462990797546013</v>
      </c>
      <c r="J34" s="69"/>
      <c r="AK34" s="52" t="s">
        <v>67</v>
      </c>
      <c r="AL34" s="52" t="s">
        <v>71</v>
      </c>
    </row>
    <row r="35" spans="1:38" s="48" customFormat="1" ht="15.75" customHeight="1">
      <c r="A35" s="52" t="s">
        <v>21</v>
      </c>
      <c r="B35" s="60" t="s">
        <v>72</v>
      </c>
      <c r="C35" s="54">
        <f>+C9/C3</f>
        <v>3.368846153846154</v>
      </c>
      <c r="D35" s="54">
        <f t="shared" ref="D35:H35" si="15">+D9/D3</f>
        <v>3.2490000000000001</v>
      </c>
      <c r="E35" s="54">
        <f t="shared" si="15"/>
        <v>3.2490000000000001</v>
      </c>
      <c r="F35" s="54">
        <f t="shared" si="15"/>
        <v>3.2490000000000001</v>
      </c>
      <c r="G35" s="54">
        <f t="shared" ref="G35" si="16">+G9/G3</f>
        <v>3.2490000000000001</v>
      </c>
      <c r="H35" s="54">
        <f t="shared" si="15"/>
        <v>3.2490000000000001</v>
      </c>
      <c r="I35" s="54">
        <f>+I9/I3</f>
        <v>3.2585582822085888</v>
      </c>
      <c r="J35" s="69"/>
      <c r="AK35" s="52" t="s">
        <v>24</v>
      </c>
      <c r="AL35" s="52" t="s">
        <v>72</v>
      </c>
    </row>
    <row r="36" spans="1:38" s="48" customFormat="1" ht="15.75" customHeight="1">
      <c r="A36" s="52" t="s">
        <v>67</v>
      </c>
      <c r="B36" s="60" t="s">
        <v>73</v>
      </c>
      <c r="C36" s="54">
        <f>+C10/C3</f>
        <v>22.784038461538461</v>
      </c>
      <c r="D36" s="54">
        <f t="shared" ref="D36:H36" si="17">+D10/D3</f>
        <v>21.973500000000001</v>
      </c>
      <c r="E36" s="54">
        <f t="shared" si="17"/>
        <v>21.973500000000001</v>
      </c>
      <c r="F36" s="54">
        <f t="shared" si="17"/>
        <v>21.973500000000001</v>
      </c>
      <c r="G36" s="54">
        <f t="shared" ref="G36" si="18">+G10/G3</f>
        <v>21.973500000000001</v>
      </c>
      <c r="H36" s="54">
        <f t="shared" si="17"/>
        <v>21.973500000000001</v>
      </c>
      <c r="I36" s="54">
        <f>+I10/I3</f>
        <v>22.038144171779141</v>
      </c>
      <c r="J36" s="69"/>
      <c r="AK36" s="52" t="s">
        <v>30</v>
      </c>
      <c r="AL36" s="52" t="s">
        <v>73</v>
      </c>
    </row>
    <row r="37" spans="1:38" s="48" customFormat="1" ht="15.75" customHeight="1">
      <c r="A37" s="52" t="s">
        <v>74</v>
      </c>
      <c r="B37" s="118" t="s">
        <v>75</v>
      </c>
      <c r="C37" s="54"/>
      <c r="D37" s="54"/>
      <c r="E37" s="54"/>
      <c r="F37" s="54"/>
      <c r="G37" s="54"/>
      <c r="H37" s="54"/>
      <c r="I37" s="54"/>
      <c r="J37" s="69"/>
      <c r="AK37" s="52" t="s">
        <v>74</v>
      </c>
      <c r="AL37" s="55" t="s">
        <v>75</v>
      </c>
    </row>
    <row r="38" spans="1:38" s="48" customFormat="1">
      <c r="A38" s="52" t="s">
        <v>19</v>
      </c>
      <c r="B38" s="60" t="s">
        <v>76</v>
      </c>
      <c r="C38" s="54">
        <f>+C12/C3</f>
        <v>98.503846153846155</v>
      </c>
      <c r="D38" s="54">
        <f t="shared" ref="D38:H38" si="19">+D12/D3</f>
        <v>85.636866666666634</v>
      </c>
      <c r="E38" s="54">
        <f t="shared" si="19"/>
        <v>81.908380666666702</v>
      </c>
      <c r="F38" s="54">
        <f t="shared" si="19"/>
        <v>78.291749246666726</v>
      </c>
      <c r="G38" s="54">
        <f t="shared" ref="G38" si="20">+G12/G3</f>
        <v>74.783616769266644</v>
      </c>
      <c r="H38" s="54">
        <f t="shared" si="19"/>
        <v>71.380728266188783</v>
      </c>
      <c r="I38" s="54">
        <f>+I12/I3</f>
        <v>80.00362115621877</v>
      </c>
      <c r="J38" s="69"/>
      <c r="AK38" s="52" t="s">
        <v>19</v>
      </c>
      <c r="AL38" s="52" t="s">
        <v>77</v>
      </c>
    </row>
    <row r="39" spans="1:38" s="48" customFormat="1" ht="15.75" customHeight="1">
      <c r="A39" s="52" t="s">
        <v>21</v>
      </c>
      <c r="B39" s="60" t="s">
        <v>78</v>
      </c>
      <c r="C39" s="113">
        <f t="shared" ref="C39:H39" si="21">+C20/C38</f>
        <v>13429.846658105353</v>
      </c>
      <c r="D39" s="113">
        <f t="shared" si="21"/>
        <v>34451.963331027022</v>
      </c>
      <c r="E39" s="113">
        <f t="shared" si="21"/>
        <v>36020.223647086728</v>
      </c>
      <c r="F39" s="113">
        <f t="shared" si="21"/>
        <v>37684.152143396655</v>
      </c>
      <c r="G39" s="113">
        <f t="shared" ref="G39" si="22">+G20/G38</f>
        <v>39451.9323568814</v>
      </c>
      <c r="H39" s="113">
        <f t="shared" si="21"/>
        <v>41332.699481318661</v>
      </c>
      <c r="I39" s="182">
        <f t="shared" ref="I39" si="23">+I20/I38</f>
        <v>200924.43651534012</v>
      </c>
      <c r="J39" s="69"/>
      <c r="AK39" s="52" t="s">
        <v>21</v>
      </c>
      <c r="AL39" s="52" t="s">
        <v>78</v>
      </c>
    </row>
    <row r="40" spans="1:38" s="48" customFormat="1" ht="15.75" customHeight="1">
      <c r="A40" s="52" t="s">
        <v>79</v>
      </c>
      <c r="B40" s="55" t="s">
        <v>80</v>
      </c>
      <c r="C40" s="59"/>
      <c r="D40" s="59"/>
      <c r="E40" s="59"/>
      <c r="F40" s="59"/>
      <c r="G40" s="59"/>
      <c r="H40" s="59"/>
      <c r="I40" s="59"/>
      <c r="J40" s="69"/>
      <c r="AK40" s="52" t="s">
        <v>79</v>
      </c>
      <c r="AL40" s="55" t="s">
        <v>80</v>
      </c>
    </row>
    <row r="41" spans="1:38" s="48" customFormat="1" ht="15.75" customHeight="1">
      <c r="A41" s="52" t="s">
        <v>19</v>
      </c>
      <c r="B41" s="52" t="s">
        <v>81</v>
      </c>
      <c r="C41" s="59">
        <f>+C14/C3</f>
        <v>46.179905615856541</v>
      </c>
      <c r="D41" s="59">
        <f t="shared" ref="D41:H41" si="24">+D14/D3</f>
        <v>44.678674846625768</v>
      </c>
      <c r="E41" s="59">
        <f t="shared" si="24"/>
        <v>44.678674846625768</v>
      </c>
      <c r="F41" s="59">
        <f t="shared" si="24"/>
        <v>44.678674846625768</v>
      </c>
      <c r="G41" s="59">
        <f t="shared" ref="G41" si="25">+G14/G3</f>
        <v>44.678674846625768</v>
      </c>
      <c r="H41" s="59">
        <f t="shared" si="24"/>
        <v>44.678674846625768</v>
      </c>
      <c r="I41" s="59">
        <f>+I14/I3</f>
        <v>44.79840490797546</v>
      </c>
      <c r="J41" s="69"/>
      <c r="AK41" s="52" t="s">
        <v>19</v>
      </c>
      <c r="AL41" s="52" t="s">
        <v>81</v>
      </c>
    </row>
    <row r="42" spans="1:38" s="48" customFormat="1" ht="15.75" customHeight="1">
      <c r="A42" s="52" t="s">
        <v>21</v>
      </c>
      <c r="B42" s="52" t="s">
        <v>82</v>
      </c>
      <c r="C42" s="59">
        <f>+C16/C3</f>
        <v>6.6490384615384617</v>
      </c>
      <c r="D42" s="59">
        <f t="shared" ref="D42:H42" si="26">+D16/D3</f>
        <v>6.4124999999999996</v>
      </c>
      <c r="E42" s="59">
        <f t="shared" si="26"/>
        <v>6.4124999999999996</v>
      </c>
      <c r="F42" s="59">
        <f t="shared" si="26"/>
        <v>6.4124999999999996</v>
      </c>
      <c r="G42" s="59">
        <f t="shared" ref="G42" si="27">+G16/G3</f>
        <v>6.4124999999999996</v>
      </c>
      <c r="H42" s="59">
        <f t="shared" si="26"/>
        <v>6.4124999999999996</v>
      </c>
      <c r="I42" s="59">
        <f>+I16/I3</f>
        <v>2.8907208588957056</v>
      </c>
      <c r="J42" s="69"/>
      <c r="AK42" s="52" t="s">
        <v>21</v>
      </c>
      <c r="AL42" s="52" t="s">
        <v>82</v>
      </c>
    </row>
    <row r="43" spans="1:38" s="48" customFormat="1" ht="15.75" customHeight="1">
      <c r="A43" s="52" t="s">
        <v>67</v>
      </c>
      <c r="B43" s="52" t="s">
        <v>83</v>
      </c>
      <c r="C43" s="59">
        <f>+C17/C3</f>
        <v>26.684807692307693</v>
      </c>
      <c r="D43" s="59">
        <f t="shared" ref="D43:H43" si="28">+D17/D3</f>
        <v>25.735499999999998</v>
      </c>
      <c r="E43" s="59">
        <f t="shared" si="28"/>
        <v>25.735499999999998</v>
      </c>
      <c r="F43" s="59">
        <f t="shared" si="28"/>
        <v>25.735499999999998</v>
      </c>
      <c r="G43" s="59">
        <f t="shared" ref="G43" si="29">+G17/G3</f>
        <v>25.735499999999998</v>
      </c>
      <c r="H43" s="59">
        <f t="shared" si="28"/>
        <v>25.735499999999998</v>
      </c>
      <c r="I43" s="59">
        <f>+I17/I3</f>
        <v>25.811211656441717</v>
      </c>
      <c r="J43" s="69"/>
      <c r="AK43" s="52" t="s">
        <v>67</v>
      </c>
      <c r="AL43" s="52" t="s">
        <v>83</v>
      </c>
    </row>
    <row r="44" spans="1:38" s="48" customFormat="1" ht="15.75" customHeight="1">
      <c r="A44" s="52" t="s">
        <v>24</v>
      </c>
      <c r="B44" s="52" t="s">
        <v>84</v>
      </c>
      <c r="C44" s="59"/>
      <c r="D44" s="59"/>
      <c r="E44" s="59"/>
      <c r="F44" s="59"/>
      <c r="G44" s="59"/>
      <c r="H44" s="59"/>
      <c r="I44" s="59"/>
      <c r="J44" s="69"/>
      <c r="AK44" s="52" t="s">
        <v>24</v>
      </c>
      <c r="AL44" s="52" t="s">
        <v>85</v>
      </c>
    </row>
    <row r="45" spans="1:38" s="48" customFormat="1" ht="15.75" customHeight="1">
      <c r="A45" s="52" t="s">
        <v>27</v>
      </c>
      <c r="B45" s="52" t="s">
        <v>86</v>
      </c>
      <c r="C45" s="59"/>
      <c r="D45" s="59"/>
      <c r="E45" s="59"/>
      <c r="F45" s="59"/>
      <c r="G45" s="59"/>
      <c r="H45" s="59"/>
      <c r="I45" s="59"/>
      <c r="J45" s="69"/>
      <c r="AK45" s="52" t="s">
        <v>27</v>
      </c>
      <c r="AL45" s="52" t="s">
        <v>86</v>
      </c>
    </row>
    <row r="46" spans="1:38" s="48" customFormat="1" ht="15.75" customHeight="1">
      <c r="A46" s="52" t="s">
        <v>87</v>
      </c>
      <c r="B46" s="55" t="s">
        <v>88</v>
      </c>
      <c r="C46" s="59"/>
      <c r="D46" s="59"/>
      <c r="E46" s="59"/>
      <c r="F46" s="59"/>
      <c r="G46" s="59"/>
      <c r="H46" s="59"/>
      <c r="I46" s="59"/>
      <c r="J46" s="69"/>
      <c r="AK46" s="52" t="s">
        <v>87</v>
      </c>
      <c r="AL46" s="55" t="s">
        <v>88</v>
      </c>
    </row>
    <row r="47" spans="1:38" s="48" customFormat="1" ht="15.75" customHeight="1">
      <c r="A47" s="52" t="s">
        <v>19</v>
      </c>
      <c r="B47" s="52" t="s">
        <v>89</v>
      </c>
      <c r="C47" s="130">
        <f>+(C10+C16)/C6</f>
        <v>3.32E-2</v>
      </c>
      <c r="D47" s="130">
        <f t="shared" ref="D47:H47" si="30">+(D10+D16)/D6</f>
        <v>3.4226804123711339E-2</v>
      </c>
      <c r="E47" s="130">
        <f t="shared" si="30"/>
        <v>3.5285365075991074E-2</v>
      </c>
      <c r="F47" s="130">
        <f t="shared" si="30"/>
        <v>3.6376665026794923E-2</v>
      </c>
      <c r="G47" s="130">
        <f t="shared" ref="G47" si="31">+(G10+G16)/G6</f>
        <v>3.7501716522468989E-2</v>
      </c>
      <c r="H47" s="130">
        <f t="shared" si="30"/>
        <v>3.8661563425225767E-2</v>
      </c>
      <c r="I47" s="130">
        <f>+(I10+I16)/I6</f>
        <v>3.1576629788248892E-2</v>
      </c>
      <c r="J47" s="69"/>
      <c r="AK47" s="52" t="s">
        <v>19</v>
      </c>
      <c r="AL47" s="52" t="s">
        <v>89</v>
      </c>
    </row>
    <row r="48" spans="1:38" s="48" customFormat="1" ht="15.75" customHeight="1">
      <c r="A48" s="52" t="s">
        <v>21</v>
      </c>
      <c r="B48" s="52" t="s">
        <v>90</v>
      </c>
      <c r="C48" s="130">
        <f>+(C8+C9+C14)/C6</f>
        <v>7.1590132148037749E-2</v>
      </c>
      <c r="D48" s="130">
        <f t="shared" ref="D48:H48" si="32">+(D8+D9+D14)/D6</f>
        <v>7.3975010365498001E-2</v>
      </c>
      <c r="E48" s="130">
        <f t="shared" si="32"/>
        <v>7.6262897284018569E-2</v>
      </c>
      <c r="F48" s="130">
        <f t="shared" si="32"/>
        <v>7.8621543591771717E-2</v>
      </c>
      <c r="G48" s="130">
        <f t="shared" ref="G48" si="33">+(G8+G9+G14)/G6</f>
        <v>8.1053137723475999E-2</v>
      </c>
      <c r="H48" s="130">
        <f t="shared" si="32"/>
        <v>8.3559935797397941E-2</v>
      </c>
      <c r="I48" s="130">
        <f>+(I8+I9+I14)/I6</f>
        <v>7.7925441421833982E-2</v>
      </c>
      <c r="J48" s="69"/>
      <c r="AK48" s="52" t="s">
        <v>21</v>
      </c>
      <c r="AL48" s="52" t="s">
        <v>90</v>
      </c>
    </row>
    <row r="49" spans="1:38" s="48" customFormat="1" ht="15.75" customHeight="1">
      <c r="A49" s="52" t="s">
        <v>67</v>
      </c>
      <c r="B49" s="52" t="s">
        <v>91</v>
      </c>
      <c r="C49" s="130">
        <f>+C17/C6</f>
        <v>3.0099999999999998E-2</v>
      </c>
      <c r="D49" s="130">
        <f t="shared" ref="D49:H49" si="34">+D17/D6</f>
        <v>3.1030927835051545E-2</v>
      </c>
      <c r="E49" s="130">
        <f t="shared" si="34"/>
        <v>3.1990647252630462E-2</v>
      </c>
      <c r="F49" s="130">
        <f t="shared" si="34"/>
        <v>3.2980048714052024E-2</v>
      </c>
      <c r="G49" s="130">
        <f t="shared" ref="G49" si="35">+G17/G6</f>
        <v>3.4000050220672186E-2</v>
      </c>
      <c r="H49" s="130">
        <f t="shared" si="34"/>
        <v>3.5051598165641434E-2</v>
      </c>
      <c r="I49" s="130">
        <f>+I17/I6</f>
        <v>3.2694271233716529E-2</v>
      </c>
      <c r="J49" s="69"/>
      <c r="AK49" s="52" t="s">
        <v>67</v>
      </c>
      <c r="AL49" s="52" t="s">
        <v>91</v>
      </c>
    </row>
    <row r="50" spans="1:38" s="48" customFormat="1" ht="15.75" customHeight="1">
      <c r="A50" s="52" t="s">
        <v>24</v>
      </c>
      <c r="B50" s="52" t="s">
        <v>92</v>
      </c>
      <c r="C50" s="130">
        <f>+C18/C6</f>
        <v>1.9943840410949791E-3</v>
      </c>
      <c r="D50" s="130">
        <f t="shared" ref="D50:H50" si="36">+D18/D6</f>
        <v>2.1319083131478896E-3</v>
      </c>
      <c r="E50" s="130">
        <f t="shared" si="36"/>
        <v>2.1978436218019481E-3</v>
      </c>
      <c r="F50" s="130">
        <f t="shared" si="36"/>
        <v>2.2658181668061324E-3</v>
      </c>
      <c r="G50" s="130">
        <f t="shared" ref="G50" si="37">+G18/G6</f>
        <v>2.3358950173259095E-3</v>
      </c>
      <c r="H50" s="130">
        <f t="shared" si="36"/>
        <v>2.4081391931194945E-3</v>
      </c>
      <c r="I50" s="130">
        <f>+I18/I6</f>
        <v>2.239595783578878E-3</v>
      </c>
      <c r="J50" s="69"/>
      <c r="AK50" s="52" t="s">
        <v>24</v>
      </c>
      <c r="AL50" s="52" t="s">
        <v>92</v>
      </c>
    </row>
    <row r="51" spans="1:38" s="48" customFormat="1" ht="15.75" customHeight="1">
      <c r="A51" s="52" t="s">
        <v>27</v>
      </c>
      <c r="B51" s="52" t="s">
        <v>93</v>
      </c>
      <c r="C51" s="130">
        <f>+C19/C6</f>
        <v>2.3099999999999999E-2</v>
      </c>
      <c r="D51" s="130">
        <f t="shared" ref="D51:H51" si="38">+D19/D6</f>
        <v>2.3814432989690722E-2</v>
      </c>
      <c r="E51" s="130">
        <f t="shared" si="38"/>
        <v>2.455096184504198E-2</v>
      </c>
      <c r="F51" s="130">
        <f t="shared" si="38"/>
        <v>2.5310269943342248E-2</v>
      </c>
      <c r="G51" s="130">
        <f t="shared" ref="G51" si="39">+G19/G6</f>
        <v>2.609306179726005E-2</v>
      </c>
      <c r="H51" s="130">
        <f t="shared" si="38"/>
        <v>2.6900063708515519E-2</v>
      </c>
      <c r="I51" s="130">
        <f>+I19/I6</f>
        <v>2.5090952342154544E-2</v>
      </c>
      <c r="J51" s="69"/>
      <c r="AK51" s="52" t="s">
        <v>27</v>
      </c>
      <c r="AL51" s="52" t="s">
        <v>93</v>
      </c>
    </row>
    <row r="52" spans="1:38" s="48" customFormat="1" ht="15.75" customHeight="1">
      <c r="A52" s="52" t="s">
        <v>30</v>
      </c>
      <c r="B52" s="52" t="s">
        <v>94</v>
      </c>
      <c r="C52" s="130">
        <f>+C23/C6</f>
        <v>-3.6738871218876027E-3</v>
      </c>
      <c r="D52" s="130">
        <f t="shared" ref="D52:H52" si="40">+D23/D6</f>
        <v>-1.7566377591636526E-2</v>
      </c>
      <c r="E52" s="130">
        <f t="shared" si="40"/>
        <v>-2.2387626262554017E-2</v>
      </c>
      <c r="F52" s="130">
        <f t="shared" si="40"/>
        <v>-2.7357985717108166E-2</v>
      </c>
      <c r="G52" s="130">
        <f t="shared" ref="G52" si="41">+G23/G6</f>
        <v>-3.2482067629019784E-2</v>
      </c>
      <c r="H52" s="130">
        <f t="shared" si="40"/>
        <v>-3.7764626301093354E-2</v>
      </c>
      <c r="I52" s="130">
        <f>+I23/I6</f>
        <v>-2.3577863336329389E-2</v>
      </c>
      <c r="J52" s="69"/>
      <c r="AK52" s="52" t="s">
        <v>30</v>
      </c>
      <c r="AL52" s="52" t="s">
        <v>95</v>
      </c>
    </row>
    <row r="53" spans="1:38" s="48" customFormat="1" ht="15.75" customHeight="1">
      <c r="A53" s="52" t="s">
        <v>96</v>
      </c>
      <c r="B53" s="55" t="s">
        <v>97</v>
      </c>
      <c r="C53" s="59">
        <f>+C21/C3</f>
        <v>-3.2570422369042018</v>
      </c>
      <c r="D53" s="59">
        <f t="shared" ref="D53:H53" si="42">+D21/D3</f>
        <v>-12.708406339468342</v>
      </c>
      <c r="E53" s="59">
        <f t="shared" si="42"/>
        <v>-16.436892339468283</v>
      </c>
      <c r="F53" s="59">
        <f t="shared" si="42"/>
        <v>-20.053523759468256</v>
      </c>
      <c r="G53" s="59">
        <f t="shared" ref="G53" si="43">+G21/G3</f>
        <v>-23.561656236868338</v>
      </c>
      <c r="H53" s="59">
        <f t="shared" si="42"/>
        <v>-26.964544739946195</v>
      </c>
      <c r="I53" s="59">
        <f>+I21/I3</f>
        <v>-18.614062892860979</v>
      </c>
      <c r="J53" s="69"/>
      <c r="AK53" s="52" t="s">
        <v>96</v>
      </c>
      <c r="AL53" s="55" t="s">
        <v>97</v>
      </c>
    </row>
    <row r="54" spans="1:38" s="48" customFormat="1" ht="15.75" customHeight="1">
      <c r="A54" s="52" t="s">
        <v>98</v>
      </c>
      <c r="B54" s="131" t="s">
        <v>99</v>
      </c>
      <c r="C54" s="59"/>
      <c r="D54" s="59"/>
      <c r="E54" s="59"/>
      <c r="F54" s="59"/>
      <c r="G54" s="59"/>
      <c r="H54" s="59"/>
      <c r="I54" s="59"/>
      <c r="J54" s="69"/>
      <c r="AK54" s="52"/>
      <c r="AL54" s="55"/>
    </row>
    <row r="55" spans="1:38" s="48" customFormat="1" ht="15.75" customHeight="1">
      <c r="A55" s="52" t="s">
        <v>19</v>
      </c>
      <c r="B55" s="52" t="s">
        <v>100</v>
      </c>
      <c r="C55" s="59">
        <f>C56+C57</f>
        <v>971200.00000000012</v>
      </c>
      <c r="D55" s="59"/>
      <c r="E55" s="59"/>
      <c r="F55" s="59"/>
      <c r="G55" s="59"/>
      <c r="H55" s="59"/>
      <c r="I55" s="59"/>
      <c r="J55" s="69"/>
    </row>
    <row r="56" spans="1:38" s="48" customFormat="1" ht="15.75" customHeight="1">
      <c r="A56" s="52">
        <v>1.1000000000000001</v>
      </c>
      <c r="B56" s="132" t="s">
        <v>101</v>
      </c>
      <c r="C56" s="59">
        <f>项目投资!B27</f>
        <v>288200</v>
      </c>
      <c r="D56" s="59"/>
      <c r="E56" s="59"/>
      <c r="F56" s="59"/>
      <c r="G56" s="59"/>
      <c r="H56" s="59"/>
      <c r="I56" s="59"/>
      <c r="J56" s="69"/>
    </row>
    <row r="57" spans="1:38" s="48" customFormat="1" ht="15.75" customHeight="1">
      <c r="A57" s="52">
        <v>1.2</v>
      </c>
      <c r="B57" s="52" t="s">
        <v>102</v>
      </c>
      <c r="C57" s="59">
        <f>项目投资!B26</f>
        <v>683000.00000000012</v>
      </c>
      <c r="D57" s="59"/>
      <c r="E57" s="59"/>
      <c r="F57" s="59"/>
      <c r="G57" s="59"/>
      <c r="H57" s="59"/>
      <c r="I57" s="59"/>
      <c r="J57" s="69"/>
    </row>
    <row r="58" spans="1:38" ht="15.75" customHeight="1">
      <c r="A58" s="119" t="s">
        <v>21</v>
      </c>
      <c r="B58" s="119" t="s">
        <v>103</v>
      </c>
      <c r="C58" s="133">
        <f t="shared" ref="C58:H58" si="44">C59+C60</f>
        <v>9407.2239263803567</v>
      </c>
      <c r="D58" s="133">
        <f t="shared" si="44"/>
        <v>-317640.01226993953</v>
      </c>
      <c r="E58" s="133">
        <f t="shared" si="44"/>
        <v>-420884.62976993795</v>
      </c>
      <c r="F58" s="133">
        <f t="shared" si="44"/>
        <v>-521031.90874493716</v>
      </c>
      <c r="G58" s="133">
        <f t="shared" ref="G58" si="45">G59+G60</f>
        <v>-618174.76935068925</v>
      </c>
      <c r="H58" s="133">
        <f t="shared" si="44"/>
        <v>-712403.34413826291</v>
      </c>
      <c r="I58" s="133">
        <f t="shared" ref="I58" si="46">I59+I60</f>
        <v>-2385242.2515363395</v>
      </c>
      <c r="J58" s="69"/>
    </row>
    <row r="59" spans="1:38" ht="15.75" customHeight="1">
      <c r="A59" s="119" t="s">
        <v>67</v>
      </c>
      <c r="B59" s="119" t="s">
        <v>104</v>
      </c>
      <c r="C59" s="133">
        <f t="shared" ref="C59:H59" si="47">C23</f>
        <v>-42341.549079754623</v>
      </c>
      <c r="D59" s="133">
        <f t="shared" si="47"/>
        <v>-437060.25766871258</v>
      </c>
      <c r="E59" s="133">
        <f t="shared" si="47"/>
        <v>-540304.87516871095</v>
      </c>
      <c r="F59" s="133">
        <f t="shared" si="47"/>
        <v>-640452.15414371016</v>
      </c>
      <c r="G59" s="133">
        <f t="shared" ref="G59" si="48">G23</f>
        <v>-737595.01474946225</v>
      </c>
      <c r="H59" s="133">
        <f t="shared" si="47"/>
        <v>-831823.58953703591</v>
      </c>
      <c r="I59" s="133">
        <f t="shared" ref="I59" si="49">I23</f>
        <v>-3034092.2515363395</v>
      </c>
      <c r="J59" s="69"/>
    </row>
    <row r="60" spans="1:38" ht="15.75" customHeight="1">
      <c r="A60" s="119" t="s">
        <v>24</v>
      </c>
      <c r="B60" s="119" t="s">
        <v>105</v>
      </c>
      <c r="C60" s="133">
        <f>'2023年'!I18</f>
        <v>51748.773006134979</v>
      </c>
      <c r="D60" s="133">
        <f>'2024年'!I18</f>
        <v>119420.24539877303</v>
      </c>
      <c r="E60" s="133">
        <f>'2025年'!I18</f>
        <v>119420.24539877303</v>
      </c>
      <c r="F60" s="133">
        <f>'2026年'!I18</f>
        <v>119420.24539877303</v>
      </c>
      <c r="G60" s="133">
        <f>'2027年'!I18</f>
        <v>119420.24539877303</v>
      </c>
      <c r="H60" s="133">
        <f>'2028年'!I18</f>
        <v>119420.24539877303</v>
      </c>
      <c r="I60" s="133">
        <f>项目投资!K26</f>
        <v>648850</v>
      </c>
      <c r="J60" s="69"/>
    </row>
    <row r="61" spans="1:38" ht="15.75" customHeight="1">
      <c r="A61" s="119" t="s">
        <v>27</v>
      </c>
      <c r="B61" s="119" t="s">
        <v>106</v>
      </c>
      <c r="C61" s="134"/>
      <c r="D61" s="134"/>
      <c r="E61" s="134"/>
      <c r="F61" s="134"/>
      <c r="G61" s="134"/>
      <c r="H61" s="134"/>
      <c r="I61" s="133"/>
      <c r="J61" s="69"/>
    </row>
    <row r="63" spans="1:38">
      <c r="B63"/>
    </row>
  </sheetData>
  <mergeCells count="2">
    <mergeCell ref="A1:I1"/>
    <mergeCell ref="A2:A3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3" customWidth="1"/>
    <col min="2" max="2" width="28.5" style="73" customWidth="1"/>
    <col min="3" max="4" width="9.125" style="73"/>
    <col min="5" max="5" width="13.875" style="73" customWidth="1"/>
    <col min="6" max="12" width="16.125" style="73" customWidth="1"/>
    <col min="13" max="13" width="10.625" style="73" customWidth="1"/>
    <col min="14" max="254" width="9.125" style="73"/>
    <col min="255" max="255" width="8" style="73" customWidth="1"/>
    <col min="256" max="256" width="28.5" style="73" customWidth="1"/>
    <col min="257" max="268" width="9.125" style="73"/>
    <col min="269" max="269" width="10.625" style="73" customWidth="1"/>
    <col min="270" max="510" width="9.125" style="73"/>
    <col min="511" max="511" width="8" style="73" customWidth="1"/>
    <col min="512" max="512" width="28.5" style="73" customWidth="1"/>
    <col min="513" max="524" width="9.125" style="73"/>
    <col min="525" max="525" width="10.625" style="73" customWidth="1"/>
    <col min="526" max="766" width="9.125" style="73"/>
    <col min="767" max="767" width="8" style="73" customWidth="1"/>
    <col min="768" max="768" width="28.5" style="73" customWidth="1"/>
    <col min="769" max="780" width="9.125" style="73"/>
    <col min="781" max="781" width="10.625" style="73" customWidth="1"/>
    <col min="782" max="1022" width="9.125" style="73"/>
    <col min="1023" max="1023" width="8" style="73" customWidth="1"/>
    <col min="1024" max="1024" width="28.5" style="73" customWidth="1"/>
    <col min="1025" max="1036" width="9.125" style="73"/>
    <col min="1037" max="1037" width="10.625" style="73" customWidth="1"/>
    <col min="1038" max="1278" width="9.125" style="73"/>
    <col min="1279" max="1279" width="8" style="73" customWidth="1"/>
    <col min="1280" max="1280" width="28.5" style="73" customWidth="1"/>
    <col min="1281" max="1292" width="9.125" style="73"/>
    <col min="1293" max="1293" width="10.625" style="73" customWidth="1"/>
    <col min="1294" max="1534" width="9.125" style="73"/>
    <col min="1535" max="1535" width="8" style="73" customWidth="1"/>
    <col min="1536" max="1536" width="28.5" style="73" customWidth="1"/>
    <col min="1537" max="1548" width="9.125" style="73"/>
    <col min="1549" max="1549" width="10.625" style="73" customWidth="1"/>
    <col min="1550" max="1790" width="9.125" style="73"/>
    <col min="1791" max="1791" width="8" style="73" customWidth="1"/>
    <col min="1792" max="1792" width="28.5" style="73" customWidth="1"/>
    <col min="1793" max="1804" width="9.125" style="73"/>
    <col min="1805" max="1805" width="10.625" style="73" customWidth="1"/>
    <col min="1806" max="2046" width="9.125" style="73"/>
    <col min="2047" max="2047" width="8" style="73" customWidth="1"/>
    <col min="2048" max="2048" width="28.5" style="73" customWidth="1"/>
    <col min="2049" max="2060" width="9.125" style="73"/>
    <col min="2061" max="2061" width="10.625" style="73" customWidth="1"/>
    <col min="2062" max="2302" width="9.125" style="73"/>
    <col min="2303" max="2303" width="8" style="73" customWidth="1"/>
    <col min="2304" max="2304" width="28.5" style="73" customWidth="1"/>
    <col min="2305" max="2316" width="9.125" style="73"/>
    <col min="2317" max="2317" width="10.625" style="73" customWidth="1"/>
    <col min="2318" max="2558" width="9.125" style="73"/>
    <col min="2559" max="2559" width="8" style="73" customWidth="1"/>
    <col min="2560" max="2560" width="28.5" style="73" customWidth="1"/>
    <col min="2561" max="2572" width="9.125" style="73"/>
    <col min="2573" max="2573" width="10.625" style="73" customWidth="1"/>
    <col min="2574" max="2814" width="9.125" style="73"/>
    <col min="2815" max="2815" width="8" style="73" customWidth="1"/>
    <col min="2816" max="2816" width="28.5" style="73" customWidth="1"/>
    <col min="2817" max="2828" width="9.125" style="73"/>
    <col min="2829" max="2829" width="10.625" style="73" customWidth="1"/>
    <col min="2830" max="3070" width="9.125" style="73"/>
    <col min="3071" max="3071" width="8" style="73" customWidth="1"/>
    <col min="3072" max="3072" width="28.5" style="73" customWidth="1"/>
    <col min="3073" max="3084" width="9.125" style="73"/>
    <col min="3085" max="3085" width="10.625" style="73" customWidth="1"/>
    <col min="3086" max="3326" width="9.125" style="73"/>
    <col min="3327" max="3327" width="8" style="73" customWidth="1"/>
    <col min="3328" max="3328" width="28.5" style="73" customWidth="1"/>
    <col min="3329" max="3340" width="9.125" style="73"/>
    <col min="3341" max="3341" width="10.625" style="73" customWidth="1"/>
    <col min="3342" max="3582" width="9.125" style="73"/>
    <col min="3583" max="3583" width="8" style="73" customWidth="1"/>
    <col min="3584" max="3584" width="28.5" style="73" customWidth="1"/>
    <col min="3585" max="3596" width="9.125" style="73"/>
    <col min="3597" max="3597" width="10.625" style="73" customWidth="1"/>
    <col min="3598" max="3838" width="9.125" style="73"/>
    <col min="3839" max="3839" width="8" style="73" customWidth="1"/>
    <col min="3840" max="3840" width="28.5" style="73" customWidth="1"/>
    <col min="3841" max="3852" width="9.125" style="73"/>
    <col min="3853" max="3853" width="10.625" style="73" customWidth="1"/>
    <col min="3854" max="4094" width="9.125" style="73"/>
    <col min="4095" max="4095" width="8" style="73" customWidth="1"/>
    <col min="4096" max="4096" width="28.5" style="73" customWidth="1"/>
    <col min="4097" max="4108" width="9.125" style="73"/>
    <col min="4109" max="4109" width="10.625" style="73" customWidth="1"/>
    <col min="4110" max="4350" width="9.125" style="73"/>
    <col min="4351" max="4351" width="8" style="73" customWidth="1"/>
    <col min="4352" max="4352" width="28.5" style="73" customWidth="1"/>
    <col min="4353" max="4364" width="9.125" style="73"/>
    <col min="4365" max="4365" width="10.625" style="73" customWidth="1"/>
    <col min="4366" max="4606" width="9.125" style="73"/>
    <col min="4607" max="4607" width="8" style="73" customWidth="1"/>
    <col min="4608" max="4608" width="28.5" style="73" customWidth="1"/>
    <col min="4609" max="4620" width="9.125" style="73"/>
    <col min="4621" max="4621" width="10.625" style="73" customWidth="1"/>
    <col min="4622" max="4862" width="9.125" style="73"/>
    <col min="4863" max="4863" width="8" style="73" customWidth="1"/>
    <col min="4864" max="4864" width="28.5" style="73" customWidth="1"/>
    <col min="4865" max="4876" width="9.125" style="73"/>
    <col min="4877" max="4877" width="10.625" style="73" customWidth="1"/>
    <col min="4878" max="5118" width="9.125" style="73"/>
    <col min="5119" max="5119" width="8" style="73" customWidth="1"/>
    <col min="5120" max="5120" width="28.5" style="73" customWidth="1"/>
    <col min="5121" max="5132" width="9.125" style="73"/>
    <col min="5133" max="5133" width="10.625" style="73" customWidth="1"/>
    <col min="5134" max="5374" width="9.125" style="73"/>
    <col min="5375" max="5375" width="8" style="73" customWidth="1"/>
    <col min="5376" max="5376" width="28.5" style="73" customWidth="1"/>
    <col min="5377" max="5388" width="9.125" style="73"/>
    <col min="5389" max="5389" width="10.625" style="73" customWidth="1"/>
    <col min="5390" max="5630" width="9.125" style="73"/>
    <col min="5631" max="5631" width="8" style="73" customWidth="1"/>
    <col min="5632" max="5632" width="28.5" style="73" customWidth="1"/>
    <col min="5633" max="5644" width="9.125" style="73"/>
    <col min="5645" max="5645" width="10.625" style="73" customWidth="1"/>
    <col min="5646" max="5886" width="9.125" style="73"/>
    <col min="5887" max="5887" width="8" style="73" customWidth="1"/>
    <col min="5888" max="5888" width="28.5" style="73" customWidth="1"/>
    <col min="5889" max="5900" width="9.125" style="73"/>
    <col min="5901" max="5901" width="10.625" style="73" customWidth="1"/>
    <col min="5902" max="6142" width="9.125" style="73"/>
    <col min="6143" max="6143" width="8" style="73" customWidth="1"/>
    <col min="6144" max="6144" width="28.5" style="73" customWidth="1"/>
    <col min="6145" max="6156" width="9.125" style="73"/>
    <col min="6157" max="6157" width="10.625" style="73" customWidth="1"/>
    <col min="6158" max="6398" width="9.125" style="73"/>
    <col min="6399" max="6399" width="8" style="73" customWidth="1"/>
    <col min="6400" max="6400" width="28.5" style="73" customWidth="1"/>
    <col min="6401" max="6412" width="9.125" style="73"/>
    <col min="6413" max="6413" width="10.625" style="73" customWidth="1"/>
    <col min="6414" max="6654" width="9.125" style="73"/>
    <col min="6655" max="6655" width="8" style="73" customWidth="1"/>
    <col min="6656" max="6656" width="28.5" style="73" customWidth="1"/>
    <col min="6657" max="6668" width="9.125" style="73"/>
    <col min="6669" max="6669" width="10.625" style="73" customWidth="1"/>
    <col min="6670" max="6910" width="9.125" style="73"/>
    <col min="6911" max="6911" width="8" style="73" customWidth="1"/>
    <col min="6912" max="6912" width="28.5" style="73" customWidth="1"/>
    <col min="6913" max="6924" width="9.125" style="73"/>
    <col min="6925" max="6925" width="10.625" style="73" customWidth="1"/>
    <col min="6926" max="7166" width="9.125" style="73"/>
    <col min="7167" max="7167" width="8" style="73" customWidth="1"/>
    <col min="7168" max="7168" width="28.5" style="73" customWidth="1"/>
    <col min="7169" max="7180" width="9.125" style="73"/>
    <col min="7181" max="7181" width="10.625" style="73" customWidth="1"/>
    <col min="7182" max="7422" width="9.125" style="73"/>
    <col min="7423" max="7423" width="8" style="73" customWidth="1"/>
    <col min="7424" max="7424" width="28.5" style="73" customWidth="1"/>
    <col min="7425" max="7436" width="9.125" style="73"/>
    <col min="7437" max="7437" width="10.625" style="73" customWidth="1"/>
    <col min="7438" max="7678" width="9.125" style="73"/>
    <col min="7679" max="7679" width="8" style="73" customWidth="1"/>
    <col min="7680" max="7680" width="28.5" style="73" customWidth="1"/>
    <col min="7681" max="7692" width="9.125" style="73"/>
    <col min="7693" max="7693" width="10.625" style="73" customWidth="1"/>
    <col min="7694" max="7934" width="9.125" style="73"/>
    <col min="7935" max="7935" width="8" style="73" customWidth="1"/>
    <col min="7936" max="7936" width="28.5" style="73" customWidth="1"/>
    <col min="7937" max="7948" width="9.125" style="73"/>
    <col min="7949" max="7949" width="10.625" style="73" customWidth="1"/>
    <col min="7950" max="8190" width="9.125" style="73"/>
    <col min="8191" max="8191" width="8" style="73" customWidth="1"/>
    <col min="8192" max="8192" width="28.5" style="73" customWidth="1"/>
    <col min="8193" max="8204" width="9.125" style="73"/>
    <col min="8205" max="8205" width="10.625" style="73" customWidth="1"/>
    <col min="8206" max="8446" width="9.125" style="73"/>
    <col min="8447" max="8447" width="8" style="73" customWidth="1"/>
    <col min="8448" max="8448" width="28.5" style="73" customWidth="1"/>
    <col min="8449" max="8460" width="9.125" style="73"/>
    <col min="8461" max="8461" width="10.625" style="73" customWidth="1"/>
    <col min="8462" max="8702" width="9.125" style="73"/>
    <col min="8703" max="8703" width="8" style="73" customWidth="1"/>
    <col min="8704" max="8704" width="28.5" style="73" customWidth="1"/>
    <col min="8705" max="8716" width="9.125" style="73"/>
    <col min="8717" max="8717" width="10.625" style="73" customWidth="1"/>
    <col min="8718" max="8958" width="9.125" style="73"/>
    <col min="8959" max="8959" width="8" style="73" customWidth="1"/>
    <col min="8960" max="8960" width="28.5" style="73" customWidth="1"/>
    <col min="8961" max="8972" width="9.125" style="73"/>
    <col min="8973" max="8973" width="10.625" style="73" customWidth="1"/>
    <col min="8974" max="9214" width="9.125" style="73"/>
    <col min="9215" max="9215" width="8" style="73" customWidth="1"/>
    <col min="9216" max="9216" width="28.5" style="73" customWidth="1"/>
    <col min="9217" max="9228" width="9.125" style="73"/>
    <col min="9229" max="9229" width="10.625" style="73" customWidth="1"/>
    <col min="9230" max="9470" width="9.125" style="73"/>
    <col min="9471" max="9471" width="8" style="73" customWidth="1"/>
    <col min="9472" max="9472" width="28.5" style="73" customWidth="1"/>
    <col min="9473" max="9484" width="9.125" style="73"/>
    <col min="9485" max="9485" width="10.625" style="73" customWidth="1"/>
    <col min="9486" max="9726" width="9.125" style="73"/>
    <col min="9727" max="9727" width="8" style="73" customWidth="1"/>
    <col min="9728" max="9728" width="28.5" style="73" customWidth="1"/>
    <col min="9729" max="9740" width="9.125" style="73"/>
    <col min="9741" max="9741" width="10.625" style="73" customWidth="1"/>
    <col min="9742" max="9982" width="9.125" style="73"/>
    <col min="9983" max="9983" width="8" style="73" customWidth="1"/>
    <col min="9984" max="9984" width="28.5" style="73" customWidth="1"/>
    <col min="9985" max="9996" width="9.125" style="73"/>
    <col min="9997" max="9997" width="10.625" style="73" customWidth="1"/>
    <col min="9998" max="10238" width="9.125" style="73"/>
    <col min="10239" max="10239" width="8" style="73" customWidth="1"/>
    <col min="10240" max="10240" width="28.5" style="73" customWidth="1"/>
    <col min="10241" max="10252" width="9.125" style="73"/>
    <col min="10253" max="10253" width="10.625" style="73" customWidth="1"/>
    <col min="10254" max="10494" width="9.125" style="73"/>
    <col min="10495" max="10495" width="8" style="73" customWidth="1"/>
    <col min="10496" max="10496" width="28.5" style="73" customWidth="1"/>
    <col min="10497" max="10508" width="9.125" style="73"/>
    <col min="10509" max="10509" width="10.625" style="73" customWidth="1"/>
    <col min="10510" max="10750" width="9.125" style="73"/>
    <col min="10751" max="10751" width="8" style="73" customWidth="1"/>
    <col min="10752" max="10752" width="28.5" style="73" customWidth="1"/>
    <col min="10753" max="10764" width="9.125" style="73"/>
    <col min="10765" max="10765" width="10.625" style="73" customWidth="1"/>
    <col min="10766" max="11006" width="9.125" style="73"/>
    <col min="11007" max="11007" width="8" style="73" customWidth="1"/>
    <col min="11008" max="11008" width="28.5" style="73" customWidth="1"/>
    <col min="11009" max="11020" width="9.125" style="73"/>
    <col min="11021" max="11021" width="10.625" style="73" customWidth="1"/>
    <col min="11022" max="11262" width="9.125" style="73"/>
    <col min="11263" max="11263" width="8" style="73" customWidth="1"/>
    <col min="11264" max="11264" width="28.5" style="73" customWidth="1"/>
    <col min="11265" max="11276" width="9.125" style="73"/>
    <col min="11277" max="11277" width="10.625" style="73" customWidth="1"/>
    <col min="11278" max="11518" width="9.125" style="73"/>
    <col min="11519" max="11519" width="8" style="73" customWidth="1"/>
    <col min="11520" max="11520" width="28.5" style="73" customWidth="1"/>
    <col min="11521" max="11532" width="9.125" style="73"/>
    <col min="11533" max="11533" width="10.625" style="73" customWidth="1"/>
    <col min="11534" max="11774" width="9.125" style="73"/>
    <col min="11775" max="11775" width="8" style="73" customWidth="1"/>
    <col min="11776" max="11776" width="28.5" style="73" customWidth="1"/>
    <col min="11777" max="11788" width="9.125" style="73"/>
    <col min="11789" max="11789" width="10.625" style="73" customWidth="1"/>
    <col min="11790" max="12030" width="9.125" style="73"/>
    <col min="12031" max="12031" width="8" style="73" customWidth="1"/>
    <col min="12032" max="12032" width="28.5" style="73" customWidth="1"/>
    <col min="12033" max="12044" width="9.125" style="73"/>
    <col min="12045" max="12045" width="10.625" style="73" customWidth="1"/>
    <col min="12046" max="12286" width="9.125" style="73"/>
    <col min="12287" max="12287" width="8" style="73" customWidth="1"/>
    <col min="12288" max="12288" width="28.5" style="73" customWidth="1"/>
    <col min="12289" max="12300" width="9.125" style="73"/>
    <col min="12301" max="12301" width="10.625" style="73" customWidth="1"/>
    <col min="12302" max="12542" width="9.125" style="73"/>
    <col min="12543" max="12543" width="8" style="73" customWidth="1"/>
    <col min="12544" max="12544" width="28.5" style="73" customWidth="1"/>
    <col min="12545" max="12556" width="9.125" style="73"/>
    <col min="12557" max="12557" width="10.625" style="73" customWidth="1"/>
    <col min="12558" max="12798" width="9.125" style="73"/>
    <col min="12799" max="12799" width="8" style="73" customWidth="1"/>
    <col min="12800" max="12800" width="28.5" style="73" customWidth="1"/>
    <col min="12801" max="12812" width="9.125" style="73"/>
    <col min="12813" max="12813" width="10.625" style="73" customWidth="1"/>
    <col min="12814" max="13054" width="9.125" style="73"/>
    <col min="13055" max="13055" width="8" style="73" customWidth="1"/>
    <col min="13056" max="13056" width="28.5" style="73" customWidth="1"/>
    <col min="13057" max="13068" width="9.125" style="73"/>
    <col min="13069" max="13069" width="10.625" style="73" customWidth="1"/>
    <col min="13070" max="13310" width="9.125" style="73"/>
    <col min="13311" max="13311" width="8" style="73" customWidth="1"/>
    <col min="13312" max="13312" width="28.5" style="73" customWidth="1"/>
    <col min="13313" max="13324" width="9.125" style="73"/>
    <col min="13325" max="13325" width="10.625" style="73" customWidth="1"/>
    <col min="13326" max="13566" width="9.125" style="73"/>
    <col min="13567" max="13567" width="8" style="73" customWidth="1"/>
    <col min="13568" max="13568" width="28.5" style="73" customWidth="1"/>
    <col min="13569" max="13580" width="9.125" style="73"/>
    <col min="13581" max="13581" width="10.625" style="73" customWidth="1"/>
    <col min="13582" max="13822" width="9.125" style="73"/>
    <col min="13823" max="13823" width="8" style="73" customWidth="1"/>
    <col min="13824" max="13824" width="28.5" style="73" customWidth="1"/>
    <col min="13825" max="13836" width="9.125" style="73"/>
    <col min="13837" max="13837" width="10.625" style="73" customWidth="1"/>
    <col min="13838" max="14078" width="9.125" style="73"/>
    <col min="14079" max="14079" width="8" style="73" customWidth="1"/>
    <col min="14080" max="14080" width="28.5" style="73" customWidth="1"/>
    <col min="14081" max="14092" width="9.125" style="73"/>
    <col min="14093" max="14093" width="10.625" style="73" customWidth="1"/>
    <col min="14094" max="14334" width="9.125" style="73"/>
    <col min="14335" max="14335" width="8" style="73" customWidth="1"/>
    <col min="14336" max="14336" width="28.5" style="73" customWidth="1"/>
    <col min="14337" max="14348" width="9.125" style="73"/>
    <col min="14349" max="14349" width="10.625" style="73" customWidth="1"/>
    <col min="14350" max="14590" width="9.125" style="73"/>
    <col min="14591" max="14591" width="8" style="73" customWidth="1"/>
    <col min="14592" max="14592" width="28.5" style="73" customWidth="1"/>
    <col min="14593" max="14604" width="9.125" style="73"/>
    <col min="14605" max="14605" width="10.625" style="73" customWidth="1"/>
    <col min="14606" max="14846" width="9.125" style="73"/>
    <col min="14847" max="14847" width="8" style="73" customWidth="1"/>
    <col min="14848" max="14848" width="28.5" style="73" customWidth="1"/>
    <col min="14849" max="14860" width="9.125" style="73"/>
    <col min="14861" max="14861" width="10.625" style="73" customWidth="1"/>
    <col min="14862" max="15102" width="9.125" style="73"/>
    <col min="15103" max="15103" width="8" style="73" customWidth="1"/>
    <col min="15104" max="15104" width="28.5" style="73" customWidth="1"/>
    <col min="15105" max="15116" width="9.125" style="73"/>
    <col min="15117" max="15117" width="10.625" style="73" customWidth="1"/>
    <col min="15118" max="15358" width="9.125" style="73"/>
    <col min="15359" max="15359" width="8" style="73" customWidth="1"/>
    <col min="15360" max="15360" width="28.5" style="73" customWidth="1"/>
    <col min="15361" max="15372" width="9.125" style="73"/>
    <col min="15373" max="15373" width="10.625" style="73" customWidth="1"/>
    <col min="15374" max="15614" width="9.125" style="73"/>
    <col min="15615" max="15615" width="8" style="73" customWidth="1"/>
    <col min="15616" max="15616" width="28.5" style="73" customWidth="1"/>
    <col min="15617" max="15628" width="9.125" style="73"/>
    <col min="15629" max="15629" width="10.625" style="73" customWidth="1"/>
    <col min="15630" max="15870" width="9.125" style="73"/>
    <col min="15871" max="15871" width="8" style="73" customWidth="1"/>
    <col min="15872" max="15872" width="28.5" style="73" customWidth="1"/>
    <col min="15873" max="15884" width="9.125" style="73"/>
    <col min="15885" max="15885" width="10.625" style="73" customWidth="1"/>
    <col min="15886" max="16126" width="9.125" style="73"/>
    <col min="16127" max="16127" width="8" style="73" customWidth="1"/>
    <col min="16128" max="16128" width="28.5" style="73" customWidth="1"/>
    <col min="16129" max="16140" width="9.125" style="73"/>
    <col min="16141" max="16141" width="10.625" style="73" customWidth="1"/>
    <col min="16142" max="16384" width="9.125" style="73"/>
  </cols>
  <sheetData>
    <row r="1" spans="1:13" ht="18.75">
      <c r="A1" s="74" t="s">
        <v>107</v>
      </c>
      <c r="B1" s="75"/>
      <c r="C1" s="76"/>
      <c r="D1" s="76"/>
      <c r="E1" s="75"/>
      <c r="F1" s="76"/>
      <c r="G1" s="76"/>
      <c r="H1" s="75"/>
      <c r="I1" s="76"/>
      <c r="J1" s="76"/>
      <c r="K1" s="76"/>
      <c r="L1" s="76"/>
      <c r="M1" s="76"/>
    </row>
    <row r="2" spans="1:13" ht="12">
      <c r="A2" s="73" t="s">
        <v>108</v>
      </c>
      <c r="B2" s="77"/>
    </row>
    <row r="3" spans="1:13" ht="16.899999999999999" customHeight="1">
      <c r="A3" s="78" t="s">
        <v>14</v>
      </c>
      <c r="B3" s="78" t="s">
        <v>109</v>
      </c>
      <c r="C3" s="216" t="s">
        <v>110</v>
      </c>
      <c r="D3" s="216"/>
      <c r="E3" s="216"/>
      <c r="F3" s="80"/>
      <c r="G3" s="81"/>
      <c r="H3" s="82"/>
      <c r="I3" s="82"/>
      <c r="J3" s="82" t="s">
        <v>111</v>
      </c>
      <c r="K3" s="82"/>
      <c r="L3" s="82"/>
      <c r="M3" s="103"/>
    </row>
    <row r="4" spans="1:13" ht="16.149999999999999" customHeight="1">
      <c r="A4" s="83"/>
      <c r="B4" s="83" t="s">
        <v>112</v>
      </c>
      <c r="C4" s="79">
        <v>2017</v>
      </c>
      <c r="D4" s="79">
        <f t="shared" ref="D4:L4" si="0">C4+1</f>
        <v>2018</v>
      </c>
      <c r="E4" s="79">
        <f t="shared" si="0"/>
        <v>2019</v>
      </c>
      <c r="F4" s="79">
        <f t="shared" si="0"/>
        <v>2020</v>
      </c>
      <c r="G4" s="79">
        <f t="shared" si="0"/>
        <v>2021</v>
      </c>
      <c r="H4" s="84">
        <f t="shared" si="0"/>
        <v>2022</v>
      </c>
      <c r="I4" s="84">
        <f t="shared" si="0"/>
        <v>2023</v>
      </c>
      <c r="J4" s="84">
        <f t="shared" si="0"/>
        <v>2024</v>
      </c>
      <c r="K4" s="84">
        <f t="shared" si="0"/>
        <v>2025</v>
      </c>
      <c r="L4" s="84">
        <f t="shared" si="0"/>
        <v>2026</v>
      </c>
      <c r="M4" s="104" t="s">
        <v>113</v>
      </c>
    </row>
    <row r="5" spans="1:13" ht="15.6" customHeight="1">
      <c r="A5" s="85">
        <v>1</v>
      </c>
      <c r="B5" s="86" t="s">
        <v>114</v>
      </c>
      <c r="C5" s="87">
        <f>SUM(C6:C9)</f>
        <v>0</v>
      </c>
      <c r="D5" s="87">
        <f t="shared" ref="D5:L5" si="1">SUM(D6:D9)</f>
        <v>0</v>
      </c>
      <c r="E5" s="87" t="e">
        <f t="shared" si="1"/>
        <v>#REF!</v>
      </c>
      <c r="F5" s="87">
        <f t="shared" si="1"/>
        <v>11525000</v>
      </c>
      <c r="G5" s="87">
        <f t="shared" si="1"/>
        <v>25650000</v>
      </c>
      <c r="H5" s="87">
        <f t="shared" si="1"/>
        <v>25650000</v>
      </c>
      <c r="I5" s="87" t="e">
        <f t="shared" si="1"/>
        <v>#REF!</v>
      </c>
      <c r="J5" s="87" t="e">
        <f t="shared" si="1"/>
        <v>#REF!</v>
      </c>
      <c r="K5" s="87" t="e">
        <f t="shared" si="1"/>
        <v>#REF!</v>
      </c>
      <c r="L5" s="87">
        <f t="shared" si="1"/>
        <v>139775000</v>
      </c>
      <c r="M5" s="91" t="e">
        <f t="shared" ref="M5:M17" si="2">SUM(C5:L5)</f>
        <v>#REF!</v>
      </c>
    </row>
    <row r="6" spans="1:13" ht="15.6" customHeight="1">
      <c r="A6" s="85">
        <v>1.1000000000000001</v>
      </c>
      <c r="B6" s="88" t="s">
        <v>115</v>
      </c>
      <c r="C6" s="89"/>
      <c r="D6" s="89"/>
      <c r="E6" s="89" t="e">
        <f>损益表!#REF!</f>
        <v>#REF!</v>
      </c>
      <c r="F6" s="89">
        <f>损益表!C4</f>
        <v>11525000</v>
      </c>
      <c r="G6" s="89">
        <f>损益表!D4</f>
        <v>25650000</v>
      </c>
      <c r="H6" s="89">
        <f>损益表!E4</f>
        <v>25650000</v>
      </c>
      <c r="I6" s="89" t="e">
        <f>损益表!#REF!</f>
        <v>#REF!</v>
      </c>
      <c r="J6" s="89" t="e">
        <f>损益表!#REF!</f>
        <v>#REF!</v>
      </c>
      <c r="K6" s="89" t="e">
        <f>损益表!#REF!</f>
        <v>#REF!</v>
      </c>
      <c r="L6" s="89">
        <f>损益表!I4</f>
        <v>139775000</v>
      </c>
      <c r="M6" s="91" t="e">
        <f t="shared" si="2"/>
        <v>#REF!</v>
      </c>
    </row>
    <row r="7" spans="1:13" ht="15.6" customHeight="1">
      <c r="A7" s="85">
        <v>1.2</v>
      </c>
      <c r="B7" s="88" t="s">
        <v>116</v>
      </c>
      <c r="C7" s="89"/>
      <c r="D7" s="89"/>
      <c r="E7" s="89">
        <f>[1]折、摊!G18</f>
        <v>0</v>
      </c>
      <c r="F7" s="89">
        <f>[1]折、摊!H18</f>
        <v>0</v>
      </c>
      <c r="G7" s="89">
        <f>[1]折、摊!I18</f>
        <v>0</v>
      </c>
      <c r="H7" s="89">
        <f>[1]折、摊!J18</f>
        <v>0</v>
      </c>
      <c r="I7" s="89">
        <f>[1]折、摊!K18</f>
        <v>0</v>
      </c>
      <c r="J7" s="89">
        <f>[1]折、摊!L18</f>
        <v>0</v>
      </c>
      <c r="K7" s="89">
        <f>[1]折、摊!M18</f>
        <v>0</v>
      </c>
      <c r="L7" s="89">
        <f>[1]折、摊!N18</f>
        <v>0</v>
      </c>
      <c r="M7" s="91">
        <f t="shared" si="2"/>
        <v>0</v>
      </c>
    </row>
    <row r="8" spans="1:13" ht="15.6" customHeight="1">
      <c r="A8" s="85">
        <v>1.3</v>
      </c>
      <c r="B8" s="88" t="s">
        <v>117</v>
      </c>
      <c r="C8" s="89" t="s">
        <v>118</v>
      </c>
      <c r="D8" s="89" t="s">
        <v>118</v>
      </c>
      <c r="E8" s="89" t="s">
        <v>118</v>
      </c>
      <c r="F8" s="89" t="s">
        <v>118</v>
      </c>
      <c r="G8" s="89" t="s">
        <v>118</v>
      </c>
      <c r="H8" s="89" t="s">
        <v>118</v>
      </c>
      <c r="I8" s="89" t="s">
        <v>118</v>
      </c>
      <c r="J8" s="89" t="s">
        <v>118</v>
      </c>
      <c r="K8" s="89" t="s">
        <v>118</v>
      </c>
      <c r="L8" s="89"/>
      <c r="M8" s="91">
        <f t="shared" si="2"/>
        <v>0</v>
      </c>
    </row>
    <row r="9" spans="1:13" s="72" customFormat="1" ht="15.6" customHeight="1">
      <c r="A9" s="90">
        <v>1.4</v>
      </c>
      <c r="B9" s="91" t="s">
        <v>119</v>
      </c>
      <c r="C9" s="89" t="s">
        <v>118</v>
      </c>
      <c r="D9" s="89" t="s">
        <v>118</v>
      </c>
      <c r="E9" s="89" t="s">
        <v>118</v>
      </c>
      <c r="F9" s="89" t="s">
        <v>118</v>
      </c>
      <c r="G9" s="89" t="s">
        <v>118</v>
      </c>
      <c r="H9" s="89" t="s">
        <v>118</v>
      </c>
      <c r="I9" s="89" t="s">
        <v>118</v>
      </c>
      <c r="J9" s="89" t="s">
        <v>118</v>
      </c>
      <c r="K9" s="89" t="s">
        <v>118</v>
      </c>
      <c r="L9" s="89" t="s">
        <v>118</v>
      </c>
      <c r="M9" s="91">
        <f t="shared" si="2"/>
        <v>0</v>
      </c>
    </row>
    <row r="10" spans="1:13" ht="15.6" customHeight="1">
      <c r="A10" s="90">
        <v>2</v>
      </c>
      <c r="B10" s="86" t="s">
        <v>120</v>
      </c>
      <c r="C10" s="87">
        <f t="shared" ref="C10:L10" si="3">SUM(C11:C16)</f>
        <v>0</v>
      </c>
      <c r="D10" s="87">
        <f t="shared" si="3"/>
        <v>0</v>
      </c>
      <c r="E10" s="87">
        <f t="shared" si="3"/>
        <v>0</v>
      </c>
      <c r="F10" s="87">
        <f t="shared" si="3"/>
        <v>0</v>
      </c>
      <c r="G10" s="87">
        <f t="shared" si="3"/>
        <v>0</v>
      </c>
      <c r="H10" s="87">
        <f t="shared" si="3"/>
        <v>0</v>
      </c>
      <c r="I10" s="87">
        <f t="shared" si="3"/>
        <v>0</v>
      </c>
      <c r="J10" s="87">
        <f t="shared" si="3"/>
        <v>0</v>
      </c>
      <c r="K10" s="87">
        <f t="shared" si="3"/>
        <v>0</v>
      </c>
      <c r="L10" s="87">
        <f t="shared" si="3"/>
        <v>0</v>
      </c>
      <c r="M10" s="91">
        <f t="shared" si="2"/>
        <v>0</v>
      </c>
    </row>
    <row r="11" spans="1:13" ht="15" customHeight="1">
      <c r="A11" s="85">
        <v>2.1</v>
      </c>
      <c r="B11" s="85" t="s">
        <v>121</v>
      </c>
      <c r="C11" s="89">
        <f>([1]计划!C6-[1]计划!C7)</f>
        <v>0</v>
      </c>
      <c r="D11" s="89">
        <f>([1]计划!D6-[1]计划!D7)</f>
        <v>0</v>
      </c>
      <c r="E11" s="89">
        <f>([1]计划!E6-[1]计划!E7)</f>
        <v>0</v>
      </c>
      <c r="F11" s="89">
        <f>([1]计划!F6-[1]计划!F7)</f>
        <v>0</v>
      </c>
      <c r="G11" s="89">
        <f>([1]计划!G6-[1]计划!G7)</f>
        <v>0</v>
      </c>
      <c r="H11" s="89">
        <f>([1]计划!H6-[1]计划!H7)</f>
        <v>0</v>
      </c>
      <c r="I11" s="89">
        <f>([1]计划!I6-[1]计划!I7)</f>
        <v>0</v>
      </c>
      <c r="J11" s="89">
        <f>([1]计划!J6-[1]计划!J7)</f>
        <v>0</v>
      </c>
      <c r="K11" s="89">
        <f>([1]计划!K6-[1]计划!K7)</f>
        <v>0</v>
      </c>
      <c r="L11" s="89">
        <f>([1]计划!L6-[1]计划!L7)</f>
        <v>0</v>
      </c>
      <c r="M11" s="91">
        <f t="shared" si="2"/>
        <v>0</v>
      </c>
    </row>
    <row r="12" spans="1:13" s="72" customFormat="1" ht="15" customHeight="1">
      <c r="A12" s="85">
        <v>2.2000000000000002</v>
      </c>
      <c r="B12" s="91" t="s">
        <v>122</v>
      </c>
      <c r="C12" s="89">
        <f>[1]计划!C8</f>
        <v>0</v>
      </c>
      <c r="D12" s="89">
        <f>[1]计划!D8</f>
        <v>0</v>
      </c>
      <c r="E12" s="89">
        <f>[1]计划!E8</f>
        <v>0</v>
      </c>
      <c r="F12" s="89">
        <f>[1]计划!F8</f>
        <v>0</v>
      </c>
      <c r="G12" s="89">
        <f>[1]计划!G8</f>
        <v>0</v>
      </c>
      <c r="H12" s="89">
        <f>[1]计划!H8</f>
        <v>0</v>
      </c>
      <c r="I12" s="89">
        <f>[1]计划!I8</f>
        <v>0</v>
      </c>
      <c r="J12" s="89">
        <f>[1]计划!J8</f>
        <v>0</v>
      </c>
      <c r="K12" s="89">
        <f>[1]计划!K8</f>
        <v>0</v>
      </c>
      <c r="L12" s="89">
        <f>[1]计划!L8</f>
        <v>0</v>
      </c>
      <c r="M12" s="91">
        <f t="shared" si="2"/>
        <v>0</v>
      </c>
    </row>
    <row r="13" spans="1:13" ht="15" customHeight="1">
      <c r="A13" s="85">
        <v>2.2999999999999998</v>
      </c>
      <c r="B13" s="88" t="s">
        <v>123</v>
      </c>
      <c r="C13" s="89">
        <f>[1]总成本!C22</f>
        <v>0</v>
      </c>
      <c r="D13" s="89">
        <f>[1]总成本!D22</f>
        <v>0</v>
      </c>
      <c r="E13" s="89">
        <f>[1]总成本!E22</f>
        <v>0</v>
      </c>
      <c r="F13" s="89">
        <f>[1]总成本!F22</f>
        <v>0</v>
      </c>
      <c r="G13" s="89">
        <f>[1]总成本!G22</f>
        <v>0</v>
      </c>
      <c r="H13" s="89">
        <f>[1]总成本!H22</f>
        <v>0</v>
      </c>
      <c r="I13" s="89">
        <f>[1]总成本!I22</f>
        <v>0</v>
      </c>
      <c r="J13" s="89">
        <f>[1]总成本!J22</f>
        <v>0</v>
      </c>
      <c r="K13" s="89">
        <f>[1]总成本!K22</f>
        <v>0</v>
      </c>
      <c r="L13" s="89">
        <f>[1]总成本!L22</f>
        <v>0</v>
      </c>
      <c r="M13" s="91">
        <f t="shared" si="2"/>
        <v>0</v>
      </c>
    </row>
    <row r="14" spans="1:13" ht="15" customHeight="1">
      <c r="A14" s="85">
        <v>2.4</v>
      </c>
      <c r="B14" s="88" t="s">
        <v>124</v>
      </c>
      <c r="C14" s="89">
        <f>[1]价格!D15</f>
        <v>0</v>
      </c>
      <c r="D14" s="89">
        <f>[1]价格!E15</f>
        <v>0</v>
      </c>
      <c r="E14" s="89">
        <f>[1]价格!F15</f>
        <v>0</v>
      </c>
      <c r="F14" s="89">
        <f>[1]价格!G15</f>
        <v>0</v>
      </c>
      <c r="G14" s="89">
        <f>[1]价格!H15</f>
        <v>0</v>
      </c>
      <c r="H14" s="89">
        <f>[1]价格!I15</f>
        <v>0</v>
      </c>
      <c r="I14" s="89">
        <f>[1]价格!J15</f>
        <v>0</v>
      </c>
      <c r="J14" s="89">
        <f>[1]价格!K15</f>
        <v>0</v>
      </c>
      <c r="K14" s="89">
        <f>[1]价格!L15</f>
        <v>0</v>
      </c>
      <c r="L14" s="89">
        <f>[1]价格!M15</f>
        <v>0</v>
      </c>
      <c r="M14" s="91">
        <f t="shared" si="2"/>
        <v>0</v>
      </c>
    </row>
    <row r="15" spans="1:13" ht="15" customHeight="1">
      <c r="A15" s="85">
        <v>2.5</v>
      </c>
      <c r="B15" s="88" t="s">
        <v>54</v>
      </c>
      <c r="C15" s="89">
        <f>[1]利润!C13</f>
        <v>0</v>
      </c>
      <c r="D15" s="89">
        <f>[1]利润!D13</f>
        <v>0</v>
      </c>
      <c r="E15" s="89">
        <f>[1]利润!E13</f>
        <v>0</v>
      </c>
      <c r="F15" s="89">
        <f>[1]利润!F13</f>
        <v>0</v>
      </c>
      <c r="G15" s="89">
        <f>[1]利润!G13</f>
        <v>0</v>
      </c>
      <c r="H15" s="89">
        <f>[1]利润!H13</f>
        <v>0</v>
      </c>
      <c r="I15" s="89">
        <f>[1]利润!I13</f>
        <v>0</v>
      </c>
      <c r="J15" s="89">
        <f>[1]利润!J13</f>
        <v>0</v>
      </c>
      <c r="K15" s="89">
        <f>[1]利润!K13</f>
        <v>0</v>
      </c>
      <c r="L15" s="89">
        <f>[1]利润!L13</f>
        <v>0</v>
      </c>
      <c r="M15" s="91">
        <f t="shared" si="2"/>
        <v>0</v>
      </c>
    </row>
    <row r="16" spans="1:13" ht="15" customHeight="1">
      <c r="A16" s="85">
        <v>2.6</v>
      </c>
      <c r="B16" s="88" t="s">
        <v>125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1">
        <f t="shared" si="2"/>
        <v>0</v>
      </c>
    </row>
    <row r="17" spans="1:18" ht="12">
      <c r="A17" s="85">
        <v>3</v>
      </c>
      <c r="B17" s="86" t="s">
        <v>126</v>
      </c>
      <c r="C17" s="87">
        <f t="shared" ref="C17:L17" si="4">C5-C10</f>
        <v>0</v>
      </c>
      <c r="D17" s="87">
        <f t="shared" si="4"/>
        <v>0</v>
      </c>
      <c r="E17" s="87" t="e">
        <f t="shared" si="4"/>
        <v>#REF!</v>
      </c>
      <c r="F17" s="87">
        <f t="shared" si="4"/>
        <v>11525000</v>
      </c>
      <c r="G17" s="87">
        <f t="shared" si="4"/>
        <v>25650000</v>
      </c>
      <c r="H17" s="87">
        <f t="shared" si="4"/>
        <v>25650000</v>
      </c>
      <c r="I17" s="87" t="e">
        <f t="shared" si="4"/>
        <v>#REF!</v>
      </c>
      <c r="J17" s="87" t="e">
        <f t="shared" si="4"/>
        <v>#REF!</v>
      </c>
      <c r="K17" s="87" t="e">
        <f t="shared" si="4"/>
        <v>#REF!</v>
      </c>
      <c r="L17" s="87">
        <f t="shared" si="4"/>
        <v>139775000</v>
      </c>
      <c r="M17" s="91" t="e">
        <f t="shared" si="2"/>
        <v>#REF!</v>
      </c>
    </row>
    <row r="18" spans="1:18" ht="12">
      <c r="A18" s="92">
        <v>4</v>
      </c>
      <c r="B18" s="88" t="s">
        <v>127</v>
      </c>
      <c r="C18" s="89">
        <f>C17</f>
        <v>0</v>
      </c>
      <c r="D18" s="89">
        <f t="shared" ref="D18:L18" si="5">C18+D17</f>
        <v>0</v>
      </c>
      <c r="E18" s="89" t="e">
        <f t="shared" si="5"/>
        <v>#REF!</v>
      </c>
      <c r="F18" s="89" t="e">
        <f t="shared" si="5"/>
        <v>#REF!</v>
      </c>
      <c r="G18" s="89" t="e">
        <f t="shared" si="5"/>
        <v>#REF!</v>
      </c>
      <c r="H18" s="89" t="e">
        <f t="shared" si="5"/>
        <v>#REF!</v>
      </c>
      <c r="I18" s="89" t="e">
        <f t="shared" si="5"/>
        <v>#REF!</v>
      </c>
      <c r="J18" s="89" t="e">
        <f t="shared" si="5"/>
        <v>#REF!</v>
      </c>
      <c r="K18" s="89" t="e">
        <f t="shared" si="5"/>
        <v>#REF!</v>
      </c>
      <c r="L18" s="89" t="e">
        <f t="shared" si="5"/>
        <v>#REF!</v>
      </c>
      <c r="M18" s="88" t="s">
        <v>118</v>
      </c>
    </row>
    <row r="19" spans="1:18" s="72" customFormat="1" ht="12">
      <c r="A19" s="92">
        <v>5</v>
      </c>
      <c r="B19" s="88" t="s">
        <v>128</v>
      </c>
      <c r="C19" s="89">
        <f t="shared" ref="C19:L19" si="6">C17+C15</f>
        <v>0</v>
      </c>
      <c r="D19" s="89">
        <f t="shared" si="6"/>
        <v>0</v>
      </c>
      <c r="E19" s="89" t="e">
        <f t="shared" si="6"/>
        <v>#REF!</v>
      </c>
      <c r="F19" s="89">
        <f t="shared" si="6"/>
        <v>11525000</v>
      </c>
      <c r="G19" s="89">
        <f t="shared" si="6"/>
        <v>25650000</v>
      </c>
      <c r="H19" s="89">
        <f t="shared" si="6"/>
        <v>25650000</v>
      </c>
      <c r="I19" s="89" t="e">
        <f t="shared" si="6"/>
        <v>#REF!</v>
      </c>
      <c r="J19" s="89" t="e">
        <f t="shared" si="6"/>
        <v>#REF!</v>
      </c>
      <c r="K19" s="89" t="e">
        <f t="shared" si="6"/>
        <v>#REF!</v>
      </c>
      <c r="L19" s="89">
        <f t="shared" si="6"/>
        <v>139775000</v>
      </c>
      <c r="M19" s="91" t="e">
        <f>SUM(C19:L19)</f>
        <v>#REF!</v>
      </c>
    </row>
    <row r="20" spans="1:18" s="72" customFormat="1" ht="12">
      <c r="A20" s="85">
        <v>6</v>
      </c>
      <c r="B20" s="88" t="s">
        <v>129</v>
      </c>
      <c r="C20" s="89">
        <f>C19</f>
        <v>0</v>
      </c>
      <c r="D20" s="89">
        <f t="shared" ref="D20:L20" si="7">C20+D19</f>
        <v>0</v>
      </c>
      <c r="E20" s="89" t="e">
        <f t="shared" si="7"/>
        <v>#REF!</v>
      </c>
      <c r="F20" s="89" t="e">
        <f t="shared" si="7"/>
        <v>#REF!</v>
      </c>
      <c r="G20" s="89" t="e">
        <f t="shared" si="7"/>
        <v>#REF!</v>
      </c>
      <c r="H20" s="89" t="e">
        <f t="shared" si="7"/>
        <v>#REF!</v>
      </c>
      <c r="I20" s="89" t="e">
        <f t="shared" si="7"/>
        <v>#REF!</v>
      </c>
      <c r="J20" s="89" t="e">
        <f t="shared" si="7"/>
        <v>#REF!</v>
      </c>
      <c r="K20" s="89" t="e">
        <f t="shared" si="7"/>
        <v>#REF!</v>
      </c>
      <c r="L20" s="89" t="e">
        <f t="shared" si="7"/>
        <v>#REF!</v>
      </c>
      <c r="M20" s="88" t="s">
        <v>118</v>
      </c>
    </row>
    <row r="21" spans="1:18" ht="12">
      <c r="A21" s="93"/>
      <c r="B21" s="94" t="s">
        <v>130</v>
      </c>
      <c r="C21" s="94"/>
      <c r="D21" s="94"/>
      <c r="E21" s="94" t="s">
        <v>131</v>
      </c>
      <c r="F21" s="94"/>
      <c r="G21" s="94"/>
      <c r="H21" s="94"/>
      <c r="I21" s="94" t="s">
        <v>132</v>
      </c>
      <c r="J21" s="94"/>
      <c r="K21" s="94"/>
      <c r="L21" s="94"/>
      <c r="M21" s="105"/>
    </row>
    <row r="22" spans="1:18" ht="12">
      <c r="A22" s="95"/>
      <c r="B22" s="96" t="s">
        <v>133</v>
      </c>
      <c r="C22" s="96"/>
      <c r="D22" s="97" t="s">
        <v>134</v>
      </c>
      <c r="E22" s="98" t="e">
        <f>IRR(C17:L17,0.15)</f>
        <v>#VALUE!</v>
      </c>
      <c r="F22" s="96"/>
      <c r="G22" s="96"/>
      <c r="H22" s="96"/>
      <c r="I22" s="98" t="e">
        <f>IRR(C19:L19,0.15)</f>
        <v>#VALUE!</v>
      </c>
      <c r="J22" s="96"/>
      <c r="K22" s="96"/>
      <c r="L22" s="96"/>
      <c r="M22" s="106"/>
    </row>
    <row r="23" spans="1:18" ht="12">
      <c r="A23" s="95"/>
      <c r="B23" s="96" t="s">
        <v>135</v>
      </c>
      <c r="C23" s="96"/>
      <c r="D23" s="96"/>
      <c r="E23" s="99" t="e">
        <f>NPV(0.12,C17:L17)</f>
        <v>#REF!</v>
      </c>
      <c r="F23" s="96"/>
      <c r="G23" s="96"/>
      <c r="H23" s="96"/>
      <c r="I23" s="99" t="e">
        <f>NPV(0.12,C19:L19)</f>
        <v>#REF!</v>
      </c>
      <c r="J23" s="96"/>
      <c r="K23" s="96"/>
      <c r="L23" s="96"/>
      <c r="M23" s="106"/>
      <c r="R23" s="73">
        <f>30.9-29.82</f>
        <v>1.0799999999999983</v>
      </c>
    </row>
    <row r="24" spans="1:18" ht="12">
      <c r="A24" s="100"/>
      <c r="B24" s="101" t="s">
        <v>136</v>
      </c>
      <c r="C24" s="101"/>
      <c r="D24" s="101"/>
      <c r="E24" s="102" t="e">
        <f>6-H18/I17</f>
        <v>#REF!</v>
      </c>
      <c r="F24" s="101"/>
      <c r="G24" s="101"/>
      <c r="H24" s="101"/>
      <c r="I24" s="102" t="e">
        <f>6-H20/I19</f>
        <v>#REF!</v>
      </c>
      <c r="J24" s="101"/>
      <c r="K24" s="101"/>
      <c r="L24" s="101"/>
      <c r="M24" s="107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C13" sqref="C13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7" t="s">
        <v>137</v>
      </c>
      <c r="B1" s="217"/>
      <c r="C1" s="221" t="s">
        <v>255</v>
      </c>
      <c r="D1" s="222"/>
      <c r="E1" s="222"/>
      <c r="F1" s="222"/>
      <c r="G1" s="222"/>
      <c r="H1" s="222"/>
      <c r="I1" s="223"/>
    </row>
    <row r="2" spans="1:38">
      <c r="A2" s="217" t="s">
        <v>138</v>
      </c>
      <c r="B2" s="217"/>
      <c r="C2" s="224" t="s">
        <v>230</v>
      </c>
      <c r="D2" s="224"/>
      <c r="E2" s="224"/>
      <c r="F2" s="224"/>
      <c r="G2" s="224"/>
      <c r="H2" s="224"/>
      <c r="I2" s="224"/>
    </row>
    <row r="3" spans="1:38">
      <c r="A3" s="217" t="s">
        <v>139</v>
      </c>
      <c r="B3" s="217"/>
      <c r="C3" s="160" t="str">
        <f>销量!C5</f>
        <v>前座总成</v>
      </c>
      <c r="D3" s="160" t="str">
        <f>销量!D5</f>
        <v>驾驶员总成</v>
      </c>
      <c r="E3" s="160" t="str">
        <f>销量!E5</f>
        <v>前座总成</v>
      </c>
      <c r="F3" s="160">
        <f>销量!F5</f>
        <v>0</v>
      </c>
      <c r="G3" s="160">
        <f>销量!G5</f>
        <v>0</v>
      </c>
      <c r="H3" s="160">
        <f>销量!H5</f>
        <v>0</v>
      </c>
      <c r="I3" s="218" t="s">
        <v>15</v>
      </c>
    </row>
    <row r="4" spans="1:38" ht="28.5">
      <c r="A4" s="217" t="s">
        <v>140</v>
      </c>
      <c r="B4" s="217"/>
      <c r="C4" s="160" t="str">
        <f>销量!C6</f>
        <v>6900010WH43-C00/A</v>
      </c>
      <c r="D4" s="160" t="str">
        <f>销量!D6</f>
        <v>6800010WH43-C00/A</v>
      </c>
      <c r="E4" s="160" t="str">
        <f>销量!E6</f>
        <v>6900010JH13-C00/A</v>
      </c>
      <c r="F4" s="160">
        <f>销量!F6</f>
        <v>0</v>
      </c>
      <c r="G4" s="160">
        <f>销量!G6</f>
        <v>0</v>
      </c>
      <c r="H4" s="160">
        <f>销量!H6</f>
        <v>0</v>
      </c>
      <c r="I4" s="219"/>
    </row>
    <row r="5" spans="1:38">
      <c r="A5" s="217" t="s">
        <v>141</v>
      </c>
      <c r="B5" s="217"/>
      <c r="C5" s="51"/>
      <c r="D5" s="51"/>
      <c r="E5" s="51"/>
      <c r="F5" s="51"/>
      <c r="G5" s="51"/>
      <c r="H5" s="51"/>
      <c r="I5" s="220"/>
      <c r="AL5" s="48" t="s">
        <v>16</v>
      </c>
    </row>
    <row r="6" spans="1:38" ht="17.25">
      <c r="A6" s="52" t="s">
        <v>14</v>
      </c>
      <c r="B6" s="53" t="s">
        <v>142</v>
      </c>
      <c r="C6" s="21">
        <f>销量!C9</f>
        <v>5000</v>
      </c>
      <c r="D6" s="21">
        <f>销量!D9</f>
        <v>5000</v>
      </c>
      <c r="E6" s="21">
        <f>销量!E9</f>
        <v>3000</v>
      </c>
      <c r="F6" s="21">
        <f>销量!F9</f>
        <v>0</v>
      </c>
      <c r="G6" s="21">
        <f>销量!G9</f>
        <v>0</v>
      </c>
      <c r="H6" s="21">
        <f>销量!H9</f>
        <v>0</v>
      </c>
      <c r="I6" s="54">
        <f>SUM(C6:H6)</f>
        <v>13000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50">
        <v>1</v>
      </c>
      <c r="B7" s="53" t="s">
        <v>18</v>
      </c>
      <c r="C7" s="54">
        <f>C6*销量!C8</f>
        <v>2825000</v>
      </c>
      <c r="D7" s="54">
        <f>D6*销量!D8</f>
        <v>6750000</v>
      </c>
      <c r="E7" s="54">
        <f>E6*销量!E8</f>
        <v>1950000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>SUM(C7:H7)</f>
        <v>11525000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50">
        <v>2</v>
      </c>
      <c r="B8" s="50" t="s">
        <v>20</v>
      </c>
      <c r="C8" s="54"/>
      <c r="D8" s="54"/>
      <c r="E8" s="54"/>
      <c r="F8" s="54"/>
      <c r="G8" s="54"/>
      <c r="H8" s="54"/>
      <c r="I8" s="54">
        <f>SUM(C8:H8)</f>
        <v>0</v>
      </c>
      <c r="J8" s="69"/>
      <c r="T8" s="50" t="s">
        <v>22</v>
      </c>
      <c r="AJ8" s="52" t="s">
        <v>21</v>
      </c>
      <c r="AK8" s="50" t="s">
        <v>22</v>
      </c>
      <c r="AL8" s="48" t="s">
        <v>17</v>
      </c>
    </row>
    <row r="9" spans="1:38">
      <c r="A9" s="50">
        <v>3</v>
      </c>
      <c r="B9" s="53" t="s">
        <v>23</v>
      </c>
      <c r="C9" s="54">
        <f>+C7-C8</f>
        <v>2825000</v>
      </c>
      <c r="D9" s="54">
        <f t="shared" ref="D9:H9" si="0">+D7-D8</f>
        <v>6750000</v>
      </c>
      <c r="E9" s="54">
        <f t="shared" si="0"/>
        <v>1950000</v>
      </c>
      <c r="F9" s="54">
        <f t="shared" si="0"/>
        <v>0</v>
      </c>
      <c r="G9" s="54">
        <f t="shared" si="0"/>
        <v>0</v>
      </c>
      <c r="H9" s="54">
        <f t="shared" si="0"/>
        <v>0</v>
      </c>
      <c r="I9" s="54">
        <f>SUM(C9:H9)</f>
        <v>11525000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50">
        <v>4</v>
      </c>
      <c r="B10" s="52" t="s">
        <v>26</v>
      </c>
      <c r="C10" s="54">
        <f>C6*材料成本!E18</f>
        <v>2233250</v>
      </c>
      <c r="D10" s="54">
        <f>D6*材料成本!E19</f>
        <v>5720900</v>
      </c>
      <c r="E10" s="54">
        <f>E6*材料成本!E20</f>
        <v>1769370</v>
      </c>
      <c r="F10" s="54">
        <f>F6*材料成本!E21</f>
        <v>0</v>
      </c>
      <c r="G10" s="54">
        <f>G6*材料成本!E22</f>
        <v>0</v>
      </c>
      <c r="H10" s="54"/>
      <c r="I10" s="54">
        <f>SUM(C10:H10)</f>
        <v>9723520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50">
        <v>5</v>
      </c>
      <c r="B11" s="52" t="s">
        <v>29</v>
      </c>
      <c r="C11" s="54">
        <f>+C6*C36</f>
        <v>44352.5</v>
      </c>
      <c r="D11" s="54">
        <f t="shared" ref="D11:H11" si="1">+D6*D36</f>
        <v>105974.99999999999</v>
      </c>
      <c r="E11" s="54">
        <f t="shared" si="1"/>
        <v>30614.999999999996</v>
      </c>
      <c r="F11" s="54">
        <f t="shared" si="1"/>
        <v>0</v>
      </c>
      <c r="G11" s="54">
        <f t="shared" si="1"/>
        <v>0</v>
      </c>
      <c r="H11" s="54">
        <f t="shared" si="1"/>
        <v>0</v>
      </c>
      <c r="I11" s="54">
        <f t="shared" ref="I11:I15" si="2">SUM(C11:H11)</f>
        <v>180942.5</v>
      </c>
      <c r="T11" s="52" t="s">
        <v>29</v>
      </c>
      <c r="AJ11" s="52" t="s">
        <v>30</v>
      </c>
      <c r="AK11" s="52" t="s">
        <v>29</v>
      </c>
    </row>
    <row r="12" spans="1:38">
      <c r="A12" s="50">
        <v>6</v>
      </c>
      <c r="B12" s="52" t="s">
        <v>31</v>
      </c>
      <c r="C12" s="54">
        <f>+C6*C37</f>
        <v>10734.999999999998</v>
      </c>
      <c r="D12" s="54">
        <f t="shared" ref="D12:H12" si="3">+D6*D37</f>
        <v>25650</v>
      </c>
      <c r="E12" s="54">
        <f t="shared" si="3"/>
        <v>7410.0000000000009</v>
      </c>
      <c r="F12" s="54">
        <f t="shared" si="3"/>
        <v>0</v>
      </c>
      <c r="G12" s="54">
        <f t="shared" si="3"/>
        <v>0</v>
      </c>
      <c r="H12" s="54">
        <f t="shared" si="3"/>
        <v>0</v>
      </c>
      <c r="I12" s="54">
        <f t="shared" si="2"/>
        <v>43795</v>
      </c>
      <c r="T12" s="52" t="s">
        <v>31</v>
      </c>
      <c r="AJ12" s="52" t="s">
        <v>32</v>
      </c>
      <c r="AK12" s="52" t="s">
        <v>31</v>
      </c>
    </row>
    <row r="13" spans="1:38">
      <c r="A13" s="50">
        <v>7</v>
      </c>
      <c r="B13" s="52" t="s">
        <v>33</v>
      </c>
      <c r="C13" s="54">
        <f>+C6*C38</f>
        <v>72602.5</v>
      </c>
      <c r="D13" s="54">
        <f t="shared" ref="D13:H13" si="4">+D6*D38</f>
        <v>173475</v>
      </c>
      <c r="E13" s="54">
        <f t="shared" si="4"/>
        <v>50115.000000000007</v>
      </c>
      <c r="F13" s="54">
        <f t="shared" si="4"/>
        <v>0</v>
      </c>
      <c r="G13" s="54">
        <f t="shared" si="4"/>
        <v>0</v>
      </c>
      <c r="H13" s="54">
        <f t="shared" si="4"/>
        <v>0</v>
      </c>
      <c r="I13" s="54">
        <f t="shared" si="2"/>
        <v>296192.5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50">
        <v>8</v>
      </c>
      <c r="B14" s="55" t="s">
        <v>35</v>
      </c>
      <c r="C14" s="54">
        <f>SUM(C11:C13)</f>
        <v>127690</v>
      </c>
      <c r="D14" s="54">
        <f t="shared" ref="D14:H14" si="5">SUM(D11:D13)</f>
        <v>305100</v>
      </c>
      <c r="E14" s="54">
        <f t="shared" si="5"/>
        <v>88140</v>
      </c>
      <c r="F14" s="54">
        <f t="shared" si="5"/>
        <v>0</v>
      </c>
      <c r="G14" s="54">
        <f t="shared" si="5"/>
        <v>0</v>
      </c>
      <c r="H14" s="54">
        <f t="shared" si="5"/>
        <v>0</v>
      </c>
      <c r="I14" s="54">
        <f t="shared" si="2"/>
        <v>520930</v>
      </c>
      <c r="T14" s="55" t="s">
        <v>35</v>
      </c>
      <c r="AJ14" s="52" t="s">
        <v>36</v>
      </c>
      <c r="AK14" s="55" t="s">
        <v>35</v>
      </c>
    </row>
    <row r="15" spans="1:38">
      <c r="A15" s="50">
        <v>9</v>
      </c>
      <c r="B15" s="55" t="s">
        <v>37</v>
      </c>
      <c r="C15" s="54">
        <f>+C9-C10-C14</f>
        <v>464060</v>
      </c>
      <c r="D15" s="54">
        <f t="shared" ref="D15:H15" si="6">+D9-D10-D14</f>
        <v>724000</v>
      </c>
      <c r="E15" s="54">
        <f t="shared" si="6"/>
        <v>92490</v>
      </c>
      <c r="F15" s="54">
        <f t="shared" si="6"/>
        <v>0</v>
      </c>
      <c r="G15" s="54">
        <f t="shared" si="6"/>
        <v>0</v>
      </c>
      <c r="H15" s="54">
        <f t="shared" si="6"/>
        <v>0</v>
      </c>
      <c r="I15" s="54">
        <f t="shared" si="2"/>
        <v>1280550</v>
      </c>
      <c r="T15" s="55" t="s">
        <v>37</v>
      </c>
      <c r="AJ15" s="52" t="s">
        <v>38</v>
      </c>
      <c r="AK15" s="55" t="s">
        <v>37</v>
      </c>
    </row>
    <row r="16" spans="1:38">
      <c r="A16" s="50">
        <v>10</v>
      </c>
      <c r="B16" s="52" t="s">
        <v>39</v>
      </c>
      <c r="C16" s="56">
        <f>+C15/C9</f>
        <v>0.16426902654867256</v>
      </c>
      <c r="D16" s="56">
        <f t="shared" ref="D16:H16" si="7">+D15/D9</f>
        <v>0.10725925925925926</v>
      </c>
      <c r="E16" s="56">
        <f t="shared" si="7"/>
        <v>4.7430769230769228E-2</v>
      </c>
      <c r="F16" s="56" t="e">
        <f t="shared" si="7"/>
        <v>#DIV/0!</v>
      </c>
      <c r="G16" s="56" t="e">
        <f t="shared" si="7"/>
        <v>#DIV/0!</v>
      </c>
      <c r="H16" s="56" t="e">
        <f t="shared" si="7"/>
        <v>#DIV/0!</v>
      </c>
      <c r="I16" s="56">
        <f t="shared" ref="I16" si="8">+I15/I9</f>
        <v>0.11111062906724511</v>
      </c>
      <c r="T16" s="52" t="s">
        <v>39</v>
      </c>
      <c r="AJ16" s="52" t="s">
        <v>40</v>
      </c>
      <c r="AK16" s="52" t="s">
        <v>39</v>
      </c>
    </row>
    <row r="17" spans="1:38">
      <c r="A17" s="50">
        <v>11</v>
      </c>
      <c r="B17" s="52" t="s">
        <v>41</v>
      </c>
      <c r="C17" s="54">
        <f>C6*C43+C18</f>
        <v>154373.37423312885</v>
      </c>
      <c r="D17" s="54">
        <f t="shared" ref="D17:H17" si="9">D6*D43+D18</f>
        <v>341203.37423312885</v>
      </c>
      <c r="E17" s="54">
        <f t="shared" si="9"/>
        <v>104762.02453987731</v>
      </c>
      <c r="F17" s="54">
        <f t="shared" si="9"/>
        <v>0</v>
      </c>
      <c r="G17" s="54">
        <f t="shared" si="9"/>
        <v>0</v>
      </c>
      <c r="H17" s="54">
        <f t="shared" si="9"/>
        <v>0</v>
      </c>
      <c r="I17" s="54">
        <f>SUM(C17:H17)</f>
        <v>600338.77300613502</v>
      </c>
      <c r="J17" s="169"/>
      <c r="K17" s="170"/>
      <c r="L17" s="170"/>
      <c r="T17" s="52" t="s">
        <v>41</v>
      </c>
      <c r="AJ17" s="52" t="s">
        <v>42</v>
      </c>
      <c r="AK17" s="52" t="s">
        <v>41</v>
      </c>
    </row>
    <row r="18" spans="1:38" s="46" customFormat="1">
      <c r="A18" s="50">
        <v>12</v>
      </c>
      <c r="B18" s="57" t="s">
        <v>143</v>
      </c>
      <c r="C18" s="58">
        <f>$I$18/$I$6*C6</f>
        <v>19903.374233128838</v>
      </c>
      <c r="D18" s="58">
        <f t="shared" ref="D18:H18" si="10">$I$18/$I$6*D6</f>
        <v>19903.374233128838</v>
      </c>
      <c r="E18" s="58">
        <f t="shared" si="10"/>
        <v>11942.024539877304</v>
      </c>
      <c r="F18" s="58">
        <f t="shared" si="10"/>
        <v>0</v>
      </c>
      <c r="G18" s="58">
        <f t="shared" si="10"/>
        <v>0</v>
      </c>
      <c r="H18" s="58">
        <f t="shared" si="10"/>
        <v>0</v>
      </c>
      <c r="I18" s="58">
        <f>项目投资!D26</f>
        <v>51748.773006134979</v>
      </c>
      <c r="J18" s="171" t="s">
        <v>144</v>
      </c>
      <c r="K18" s="171"/>
      <c r="L18" s="171"/>
    </row>
    <row r="19" spans="1:38">
      <c r="A19" s="50">
        <v>13</v>
      </c>
      <c r="B19" s="52" t="s">
        <v>43</v>
      </c>
      <c r="C19" s="54">
        <f>C6*C44</f>
        <v>21187.5</v>
      </c>
      <c r="D19" s="54">
        <f t="shared" ref="D19:H19" si="11">D6*D44</f>
        <v>50625</v>
      </c>
      <c r="E19" s="54">
        <f t="shared" si="11"/>
        <v>14625</v>
      </c>
      <c r="F19" s="54">
        <f>F6*F44</f>
        <v>0</v>
      </c>
      <c r="G19" s="54">
        <f t="shared" si="11"/>
        <v>0</v>
      </c>
      <c r="H19" s="54">
        <f t="shared" si="11"/>
        <v>0</v>
      </c>
      <c r="I19" s="54">
        <f>SUM(C19:H19)</f>
        <v>86437.5</v>
      </c>
      <c r="J19" s="172"/>
      <c r="K19" s="170"/>
      <c r="L19" s="170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50">
        <v>14</v>
      </c>
      <c r="B20" s="52" t="s">
        <v>45</v>
      </c>
      <c r="C20" s="54">
        <f>C6*C45</f>
        <v>85032.5</v>
      </c>
      <c r="D20" s="54">
        <f t="shared" ref="D20:H20" si="12">D6*D45</f>
        <v>203175</v>
      </c>
      <c r="E20" s="54">
        <f t="shared" si="12"/>
        <v>58694.999999999993</v>
      </c>
      <c r="F20" s="54">
        <f t="shared" si="12"/>
        <v>0</v>
      </c>
      <c r="G20" s="54">
        <f t="shared" si="12"/>
        <v>0</v>
      </c>
      <c r="H20" s="54">
        <f t="shared" si="12"/>
        <v>0</v>
      </c>
      <c r="I20" s="54">
        <f>SUM(C20:H20)</f>
        <v>346902.5</v>
      </c>
      <c r="T20" s="52" t="s">
        <v>45</v>
      </c>
      <c r="AJ20" s="52" t="s">
        <v>46</v>
      </c>
      <c r="AK20" s="52" t="s">
        <v>45</v>
      </c>
    </row>
    <row r="21" spans="1:38">
      <c r="A21" s="50">
        <v>15</v>
      </c>
      <c r="B21" s="52" t="s">
        <v>47</v>
      </c>
      <c r="C21" s="59">
        <f>$I$21/$I$6*C6</f>
        <v>8840.4907975460119</v>
      </c>
      <c r="D21" s="59">
        <f t="shared" ref="D21:H21" si="13">$I$21/$I$6*D6</f>
        <v>8840.4907975460119</v>
      </c>
      <c r="E21" s="59">
        <f t="shared" si="13"/>
        <v>5304.2944785276077</v>
      </c>
      <c r="F21" s="59">
        <f t="shared" si="13"/>
        <v>0</v>
      </c>
      <c r="G21" s="59">
        <f t="shared" si="13"/>
        <v>0</v>
      </c>
      <c r="H21" s="59">
        <f t="shared" si="13"/>
        <v>0</v>
      </c>
      <c r="I21" s="54">
        <f>项目投资!D27</f>
        <v>22985.276073619632</v>
      </c>
      <c r="T21" s="52" t="s">
        <v>47</v>
      </c>
      <c r="AJ21" s="52"/>
      <c r="AK21" s="52"/>
    </row>
    <row r="22" spans="1:38">
      <c r="A22" s="50">
        <v>16</v>
      </c>
      <c r="B22" s="52" t="s">
        <v>48</v>
      </c>
      <c r="C22" s="54">
        <f>C6*C47</f>
        <v>65257.499999999993</v>
      </c>
      <c r="D22" s="54">
        <f t="shared" ref="D22:H22" si="14">D6*D47</f>
        <v>155925</v>
      </c>
      <c r="E22" s="54">
        <f t="shared" si="14"/>
        <v>45045</v>
      </c>
      <c r="F22" s="54">
        <f t="shared" si="14"/>
        <v>0</v>
      </c>
      <c r="G22" s="54">
        <f t="shared" si="14"/>
        <v>0</v>
      </c>
      <c r="H22" s="54">
        <f t="shared" si="14"/>
        <v>0</v>
      </c>
      <c r="I22" s="54">
        <f>SUM(C22:H22)</f>
        <v>266227.5</v>
      </c>
      <c r="T22" s="52" t="s">
        <v>48</v>
      </c>
      <c r="AJ22" s="52" t="s">
        <v>49</v>
      </c>
      <c r="AK22" s="52" t="s">
        <v>48</v>
      </c>
    </row>
    <row r="23" spans="1:38">
      <c r="A23" s="50">
        <v>17</v>
      </c>
      <c r="B23" s="55" t="s">
        <v>50</v>
      </c>
      <c r="C23" s="59">
        <f>+C22+C21+C20+C19+C17</f>
        <v>334691.36503067485</v>
      </c>
      <c r="D23" s="59">
        <f t="shared" ref="D23:H23" si="15">+D22+D21+D20+D19+D17</f>
        <v>759768.86503067485</v>
      </c>
      <c r="E23" s="59">
        <f t="shared" si="15"/>
        <v>228431.3190184049</v>
      </c>
      <c r="F23" s="59">
        <f t="shared" si="15"/>
        <v>0</v>
      </c>
      <c r="G23" s="59">
        <f t="shared" si="15"/>
        <v>0</v>
      </c>
      <c r="H23" s="59">
        <f t="shared" si="15"/>
        <v>0</v>
      </c>
      <c r="I23" s="59">
        <f t="shared" ref="I23" si="16">+I22+I21+I20+I19+I17</f>
        <v>1322891.5490797546</v>
      </c>
      <c r="T23" s="55" t="s">
        <v>50</v>
      </c>
      <c r="AJ23" s="52" t="s">
        <v>51</v>
      </c>
      <c r="AK23" s="55" t="s">
        <v>50</v>
      </c>
    </row>
    <row r="24" spans="1:38">
      <c r="A24" s="50">
        <v>18</v>
      </c>
      <c r="B24" s="60" t="s">
        <v>52</v>
      </c>
      <c r="C24" s="59">
        <f>+C15-C23</f>
        <v>129368.63496932515</v>
      </c>
      <c r="D24" s="59">
        <f t="shared" ref="D24:H24" si="17">+D15-D23</f>
        <v>-35768.865030674846</v>
      </c>
      <c r="E24" s="59">
        <f t="shared" si="17"/>
        <v>-135941.3190184049</v>
      </c>
      <c r="F24" s="59">
        <f t="shared" si="17"/>
        <v>0</v>
      </c>
      <c r="G24" s="59">
        <f t="shared" si="17"/>
        <v>0</v>
      </c>
      <c r="H24" s="59">
        <f t="shared" si="17"/>
        <v>0</v>
      </c>
      <c r="I24" s="59">
        <f t="shared" ref="I24" si="18">+I15-I23</f>
        <v>-42341.549079754623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50">
        <v>19</v>
      </c>
      <c r="B25" s="52" t="s">
        <v>145</v>
      </c>
      <c r="C25" s="59">
        <f>IF(C24&lt;0,0,C24*0.25)</f>
        <v>32342.158742331289</v>
      </c>
      <c r="D25" s="59">
        <f>IF(D24&lt;0,0,D24*0.15)</f>
        <v>0</v>
      </c>
      <c r="E25" s="59">
        <f t="shared" ref="E25:I25" si="19">IF(E24&lt;0,0,E24*0.25)</f>
        <v>0</v>
      </c>
      <c r="F25" s="59">
        <f>IF(F24&lt;0,0,F24*0.15)</f>
        <v>0</v>
      </c>
      <c r="G25" s="59">
        <f t="shared" si="19"/>
        <v>0</v>
      </c>
      <c r="H25" s="59">
        <f t="shared" si="19"/>
        <v>0</v>
      </c>
      <c r="I25" s="59">
        <f t="shared" si="19"/>
        <v>0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50">
        <v>20</v>
      </c>
      <c r="B26" s="52" t="s">
        <v>56</v>
      </c>
      <c r="C26" s="59">
        <f t="shared" ref="C26:H26" si="20">C24-C25</f>
        <v>97026.476226993866</v>
      </c>
      <c r="D26" s="59">
        <f t="shared" si="20"/>
        <v>-35768.865030674846</v>
      </c>
      <c r="E26" s="59">
        <f t="shared" si="20"/>
        <v>-135941.3190184049</v>
      </c>
      <c r="F26" s="59">
        <f t="shared" si="20"/>
        <v>0</v>
      </c>
      <c r="G26" s="59">
        <f t="shared" si="20"/>
        <v>0</v>
      </c>
      <c r="H26" s="59">
        <f t="shared" si="20"/>
        <v>0</v>
      </c>
      <c r="I26" s="54">
        <f>SUM(C26:H26)</f>
        <v>-74683.707822085882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50">
        <v>21</v>
      </c>
      <c r="B27" s="52" t="s">
        <v>60</v>
      </c>
      <c r="C27" s="61">
        <f t="shared" ref="C27:I27" si="21">C26/C7</f>
        <v>3.4345655301590748E-2</v>
      </c>
      <c r="D27" s="61">
        <f t="shared" ref="D27:H27" si="22">D26/D7</f>
        <v>-5.2990911156555326E-3</v>
      </c>
      <c r="E27" s="61">
        <f t="shared" si="22"/>
        <v>-6.9713496932515329E-2</v>
      </c>
      <c r="F27" s="61" t="e">
        <f t="shared" si="22"/>
        <v>#DIV/0!</v>
      </c>
      <c r="G27" s="61" t="e">
        <f t="shared" si="22"/>
        <v>#DIV/0!</v>
      </c>
      <c r="H27" s="61" t="e">
        <f t="shared" si="22"/>
        <v>#DIV/0!</v>
      </c>
      <c r="I27" s="61">
        <f t="shared" si="21"/>
        <v>-6.4801481841289272E-3</v>
      </c>
      <c r="J27" s="67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62">
        <v>1</v>
      </c>
      <c r="B31" s="57" t="s">
        <v>65</v>
      </c>
      <c r="C31" s="63">
        <f>销量!C8</f>
        <v>565</v>
      </c>
      <c r="D31" s="63">
        <f>销量!D8</f>
        <v>1350</v>
      </c>
      <c r="E31" s="63">
        <f>销量!E8</f>
        <v>650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62">
        <v>2</v>
      </c>
      <c r="B32" s="52" t="s">
        <v>147</v>
      </c>
      <c r="C32" s="54">
        <f>C31*1</f>
        <v>565</v>
      </c>
      <c r="D32" s="54">
        <f t="shared" ref="D32:H32" si="23">D31*1</f>
        <v>1350</v>
      </c>
      <c r="E32" s="54">
        <f t="shared" si="23"/>
        <v>650</v>
      </c>
      <c r="F32" s="54">
        <f t="shared" si="23"/>
        <v>0</v>
      </c>
      <c r="G32" s="54">
        <f t="shared" si="23"/>
        <v>0</v>
      </c>
      <c r="H32" s="54">
        <f t="shared" si="23"/>
        <v>0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62">
        <v>3</v>
      </c>
      <c r="B33" s="57" t="s">
        <v>66</v>
      </c>
      <c r="C33" s="54">
        <f>材料成本!E18</f>
        <v>446.65</v>
      </c>
      <c r="D33" s="54">
        <f>材料成本!E19</f>
        <v>1144.18</v>
      </c>
      <c r="E33" s="54">
        <f>材料成本!E20</f>
        <v>589.79</v>
      </c>
      <c r="F33" s="54">
        <f>材料成本!E21</f>
        <v>0</v>
      </c>
      <c r="G33" s="54">
        <f>材料成本!E22</f>
        <v>0</v>
      </c>
      <c r="H33" s="54"/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62">
        <v>4</v>
      </c>
      <c r="B34" s="52" t="s">
        <v>68</v>
      </c>
      <c r="C34" s="64">
        <f>C32-C33</f>
        <v>118.35000000000002</v>
      </c>
      <c r="D34" s="64">
        <f t="shared" ref="D34:H34" si="24">D32-D33</f>
        <v>205.81999999999994</v>
      </c>
      <c r="E34" s="64">
        <f t="shared" si="24"/>
        <v>60.210000000000036</v>
      </c>
      <c r="F34" s="64">
        <f t="shared" si="24"/>
        <v>0</v>
      </c>
      <c r="G34" s="64">
        <f t="shared" si="24"/>
        <v>0</v>
      </c>
      <c r="H34" s="64">
        <f t="shared" si="24"/>
        <v>0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62">
        <v>1</v>
      </c>
      <c r="B36" s="52" t="s">
        <v>71</v>
      </c>
      <c r="C36" s="58">
        <f>标准成本!D4</f>
        <v>8.8704999999999998</v>
      </c>
      <c r="D36" s="58">
        <f>标准成本!D18</f>
        <v>21.194999999999997</v>
      </c>
      <c r="E36" s="58">
        <f>标准成本!D32</f>
        <v>10.204999999999998</v>
      </c>
      <c r="F36" s="58">
        <f>标准成本!D45</f>
        <v>0</v>
      </c>
      <c r="G36" s="58">
        <f>标准成本!D58</f>
        <v>0</v>
      </c>
      <c r="H36" s="58">
        <f>标准成本!D71</f>
        <v>0</v>
      </c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62">
        <v>2</v>
      </c>
      <c r="B37" s="52" t="s">
        <v>72</v>
      </c>
      <c r="C37" s="58">
        <f>标准成本!D6</f>
        <v>2.1469999999999998</v>
      </c>
      <c r="D37" s="58">
        <f>标准成本!D20</f>
        <v>5.13</v>
      </c>
      <c r="E37" s="58">
        <f>标准成本!D34</f>
        <v>2.4700000000000002</v>
      </c>
      <c r="F37" s="58">
        <f>标准成本!D47</f>
        <v>0</v>
      </c>
      <c r="G37" s="58">
        <f>标准成本!D60</f>
        <v>0</v>
      </c>
      <c r="H37" s="58">
        <f>标准成本!D73</f>
        <v>0</v>
      </c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62">
        <v>3</v>
      </c>
      <c r="B38" s="52" t="s">
        <v>73</v>
      </c>
      <c r="C38" s="58">
        <f>标准成本!D10</f>
        <v>14.5205</v>
      </c>
      <c r="D38" s="58">
        <f>标准成本!D24</f>
        <v>34.695</v>
      </c>
      <c r="E38" s="58">
        <f>标准成本!D38</f>
        <v>16.705000000000002</v>
      </c>
      <c r="F38" s="58">
        <f>标准成本!D51</f>
        <v>0</v>
      </c>
      <c r="G38" s="58">
        <f>标准成本!D64</f>
        <v>0</v>
      </c>
      <c r="H38" s="58">
        <f>标准成本!D77</f>
        <v>0</v>
      </c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62">
        <v>1</v>
      </c>
      <c r="B40" s="52" t="s">
        <v>77</v>
      </c>
      <c r="C40" s="59">
        <f>C34-C36-C37-C38</f>
        <v>92.812000000000026</v>
      </c>
      <c r="D40" s="59">
        <f t="shared" ref="D40:H40" si="25">D34-D36-D37-D38</f>
        <v>144.79999999999995</v>
      </c>
      <c r="E40" s="59">
        <f t="shared" si="25"/>
        <v>30.830000000000037</v>
      </c>
      <c r="F40" s="59">
        <f t="shared" si="25"/>
        <v>0</v>
      </c>
      <c r="G40" s="59">
        <f t="shared" si="25"/>
        <v>0</v>
      </c>
      <c r="H40" s="59">
        <f t="shared" si="25"/>
        <v>0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62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62">
        <v>1</v>
      </c>
      <c r="B43" s="60" t="s">
        <v>81</v>
      </c>
      <c r="C43" s="58">
        <f>标准成本!D5</f>
        <v>26.894000000000002</v>
      </c>
      <c r="D43" s="58">
        <f>标准成本!D19</f>
        <v>64.260000000000005</v>
      </c>
      <c r="E43" s="58">
        <f>标准成本!D33</f>
        <v>30.94</v>
      </c>
      <c r="F43" s="58">
        <f>标准成本!D46</f>
        <v>0</v>
      </c>
      <c r="G43" s="58">
        <f>标准成本!D59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62">
        <v>2</v>
      </c>
      <c r="B44" s="60" t="s">
        <v>82</v>
      </c>
      <c r="C44" s="58">
        <f>标准成本!D9</f>
        <v>4.2374999999999998</v>
      </c>
      <c r="D44" s="58">
        <f>标准成本!D23</f>
        <v>10.125</v>
      </c>
      <c r="E44" s="58">
        <f>标准成本!D37</f>
        <v>4.875</v>
      </c>
      <c r="F44" s="58">
        <f>标准成本!D50</f>
        <v>0</v>
      </c>
      <c r="G44" s="58">
        <f>标准成本!D63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62">
        <v>3</v>
      </c>
      <c r="B45" s="60" t="s">
        <v>83</v>
      </c>
      <c r="C45" s="58">
        <f>标准成本!D8</f>
        <v>17.006499999999999</v>
      </c>
      <c r="D45" s="58">
        <f>标准成本!D22</f>
        <v>40.634999999999998</v>
      </c>
      <c r="E45" s="58">
        <f>标准成本!D36</f>
        <v>19.564999999999998</v>
      </c>
      <c r="F45" s="58">
        <f>标准成本!D49</f>
        <v>0</v>
      </c>
      <c r="G45" s="58">
        <f>标准成本!D62</f>
        <v>0</v>
      </c>
      <c r="H45" s="65">
        <f>标准成本!D75</f>
        <v>0</v>
      </c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62">
        <v>4</v>
      </c>
      <c r="B46" s="60" t="s">
        <v>84</v>
      </c>
      <c r="C46" s="65">
        <f>C21/C6</f>
        <v>1.7680981595092025</v>
      </c>
      <c r="D46" s="65">
        <f t="shared" ref="D46:H46" si="26">D21/D6</f>
        <v>1.7680981595092025</v>
      </c>
      <c r="E46" s="65">
        <f t="shared" si="26"/>
        <v>1.7680981595092025</v>
      </c>
      <c r="F46" s="65" t="e">
        <f t="shared" si="26"/>
        <v>#DIV/0!</v>
      </c>
      <c r="G46" s="65" t="e">
        <f t="shared" si="26"/>
        <v>#DIV/0!</v>
      </c>
      <c r="H46" s="65" t="e">
        <f t="shared" si="26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62">
        <v>5</v>
      </c>
      <c r="B47" s="60" t="s">
        <v>86</v>
      </c>
      <c r="C47" s="58">
        <f>标准成本!D11</f>
        <v>13.051499999999999</v>
      </c>
      <c r="D47" s="58">
        <f>标准成本!D25</f>
        <v>31.184999999999999</v>
      </c>
      <c r="E47" s="58">
        <f>标准成本!D39</f>
        <v>15.014999999999999</v>
      </c>
      <c r="F47" s="58">
        <f>标准成本!D52</f>
        <v>0</v>
      </c>
      <c r="G47" s="58">
        <f>标准成本!D65</f>
        <v>0</v>
      </c>
      <c r="H47" s="65">
        <f>标准成本!D78</f>
        <v>0</v>
      </c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29.854401840490823</v>
      </c>
      <c r="D48" s="59">
        <f t="shared" ref="D48:H48" si="27">D40-D43-D44-D45-D47-D46</f>
        <v>-3.1730981595092498</v>
      </c>
      <c r="E48" s="59">
        <f t="shared" si="27"/>
        <v>-41.333098159509163</v>
      </c>
      <c r="F48" s="59" t="e">
        <f t="shared" si="27"/>
        <v>#DIV/0!</v>
      </c>
      <c r="G48" s="59" t="e">
        <f t="shared" si="27"/>
        <v>#DIV/0!</v>
      </c>
      <c r="H48" s="59" t="e">
        <f t="shared" si="27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0" activePane="bottomRight" state="frozen"/>
      <selection pane="topRight"/>
      <selection pane="bottomLeft"/>
      <selection pane="bottomRight" activeCell="D19" sqref="D19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7" t="s">
        <v>137</v>
      </c>
      <c r="B1" s="217"/>
      <c r="C1" s="221" t="s">
        <v>256</v>
      </c>
      <c r="D1" s="222"/>
      <c r="E1" s="222"/>
      <c r="F1" s="222"/>
      <c r="G1" s="222"/>
      <c r="H1" s="222"/>
      <c r="I1" s="223"/>
    </row>
    <row r="2" spans="1:38">
      <c r="A2" s="217" t="s">
        <v>138</v>
      </c>
      <c r="B2" s="217"/>
      <c r="C2" s="224" t="str">
        <f>'2023年'!C2:I2</f>
        <v>一汽解放</v>
      </c>
      <c r="D2" s="224"/>
      <c r="E2" s="224"/>
      <c r="F2" s="224"/>
      <c r="G2" s="224"/>
      <c r="H2" s="224"/>
      <c r="I2" s="224"/>
    </row>
    <row r="3" spans="1:38">
      <c r="A3" s="217" t="s">
        <v>139</v>
      </c>
      <c r="B3" s="217"/>
      <c r="C3" s="160" t="str">
        <f>销量!C5</f>
        <v>前座总成</v>
      </c>
      <c r="D3" s="160" t="str">
        <f>销量!D5</f>
        <v>驾驶员总成</v>
      </c>
      <c r="E3" s="160" t="str">
        <f>销量!E5</f>
        <v>前座总成</v>
      </c>
      <c r="F3" s="160">
        <f>销量!F5</f>
        <v>0</v>
      </c>
      <c r="G3" s="160">
        <f>销量!G5</f>
        <v>0</v>
      </c>
      <c r="H3" s="160">
        <f>销量!H5</f>
        <v>0</v>
      </c>
      <c r="I3" s="218" t="s">
        <v>15</v>
      </c>
    </row>
    <row r="4" spans="1:38" ht="28.5">
      <c r="A4" s="217" t="s">
        <v>140</v>
      </c>
      <c r="B4" s="217"/>
      <c r="C4" s="160" t="str">
        <f>销量!C6</f>
        <v>6900010WH43-C00/A</v>
      </c>
      <c r="D4" s="160" t="str">
        <f>销量!D6</f>
        <v>6800010WH43-C00/A</v>
      </c>
      <c r="E4" s="160" t="str">
        <f>销量!E6</f>
        <v>6900010JH13-C00/A</v>
      </c>
      <c r="F4" s="160">
        <f>销量!F6</f>
        <v>0</v>
      </c>
      <c r="G4" s="160">
        <f>销量!G6</f>
        <v>0</v>
      </c>
      <c r="H4" s="160">
        <f>销量!H6</f>
        <v>0</v>
      </c>
      <c r="I4" s="219"/>
    </row>
    <row r="5" spans="1:38">
      <c r="A5" s="217" t="s">
        <v>141</v>
      </c>
      <c r="B5" s="217"/>
      <c r="C5" s="51"/>
      <c r="D5" s="51"/>
      <c r="E5" s="51"/>
      <c r="F5" s="51"/>
      <c r="G5" s="51"/>
      <c r="H5" s="51"/>
      <c r="I5" s="220"/>
      <c r="AL5" s="48" t="s">
        <v>16</v>
      </c>
    </row>
    <row r="6" spans="1:38" ht="17.25">
      <c r="A6" s="52" t="s">
        <v>14</v>
      </c>
      <c r="B6" s="53" t="s">
        <v>142</v>
      </c>
      <c r="C6" s="21">
        <f>销量!C10</f>
        <v>10000</v>
      </c>
      <c r="D6" s="21">
        <f>销量!D10</f>
        <v>10000</v>
      </c>
      <c r="E6" s="21">
        <f>销量!E10</f>
        <v>10000</v>
      </c>
      <c r="F6" s="21">
        <f>销量!F10</f>
        <v>0</v>
      </c>
      <c r="G6" s="21">
        <f>销量!G10</f>
        <v>0</v>
      </c>
      <c r="H6" s="21">
        <f>销量!H10</f>
        <v>0</v>
      </c>
      <c r="I6" s="54">
        <f>SUM(C6:H6)</f>
        <v>30000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159">
        <v>1</v>
      </c>
      <c r="B7" s="53" t="s">
        <v>18</v>
      </c>
      <c r="C7" s="54">
        <f>C6*销量!C8</f>
        <v>5650000</v>
      </c>
      <c r="D7" s="54">
        <f>D6*销量!D8</f>
        <v>13500000</v>
      </c>
      <c r="E7" s="54">
        <f>E6*销量!E8</f>
        <v>6500000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>SUM(C7:H7)</f>
        <v>25650000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159">
        <v>2</v>
      </c>
      <c r="B8" s="159" t="s">
        <v>20</v>
      </c>
      <c r="C8" s="54">
        <f>C7*(1-销量!$M$7)</f>
        <v>169500.00000000015</v>
      </c>
      <c r="D8" s="54">
        <f>D7*(1-销量!$M$7)</f>
        <v>405000.00000000035</v>
      </c>
      <c r="E8" s="54">
        <f>E7*(1-销量!$M$7)</f>
        <v>195000.00000000017</v>
      </c>
      <c r="F8" s="54">
        <f>F7*(1-销量!$M$7)</f>
        <v>0</v>
      </c>
      <c r="G8" s="54">
        <f>G7*(1-销量!$M$7)</f>
        <v>0</v>
      </c>
      <c r="H8" s="54">
        <f>H7*(1-销量!$M$7)</f>
        <v>0</v>
      </c>
      <c r="I8" s="54">
        <f t="shared" ref="I8:I20" si="0">SUM(C8:H8)</f>
        <v>769500.0000000007</v>
      </c>
      <c r="J8" s="69"/>
      <c r="T8" s="159" t="s">
        <v>22</v>
      </c>
      <c r="AJ8" s="52" t="s">
        <v>21</v>
      </c>
      <c r="AK8" s="159" t="s">
        <v>22</v>
      </c>
      <c r="AL8" s="48" t="s">
        <v>17</v>
      </c>
    </row>
    <row r="9" spans="1:38">
      <c r="A9" s="159">
        <v>3</v>
      </c>
      <c r="B9" s="53" t="s">
        <v>23</v>
      </c>
      <c r="C9" s="54">
        <f>+C7-C8</f>
        <v>5480500</v>
      </c>
      <c r="D9" s="54">
        <f t="shared" ref="D9:H9" si="1">+D7-D8</f>
        <v>13095000</v>
      </c>
      <c r="E9" s="54">
        <f t="shared" si="1"/>
        <v>6305000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24880500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159">
        <v>4</v>
      </c>
      <c r="B10" s="52" t="s">
        <v>26</v>
      </c>
      <c r="C10" s="54">
        <f>C6*材料成本!F18</f>
        <v>4332505</v>
      </c>
      <c r="D10" s="54">
        <f>D6*材料成本!F19</f>
        <v>11098546.000000002</v>
      </c>
      <c r="E10" s="54">
        <f>E6*材料成本!F20</f>
        <v>5720962.9999999991</v>
      </c>
      <c r="F10" s="54">
        <f>F6*材料成本!F21</f>
        <v>0</v>
      </c>
      <c r="G10" s="54">
        <f>G6*材料成本!F22</f>
        <v>0</v>
      </c>
      <c r="H10" s="54"/>
      <c r="I10" s="54">
        <f t="shared" si="0"/>
        <v>21152014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159">
        <v>5</v>
      </c>
      <c r="B11" s="52" t="s">
        <v>29</v>
      </c>
      <c r="C11" s="54">
        <f>+C6*C36</f>
        <v>88705</v>
      </c>
      <c r="D11" s="54">
        <f>+D6*D36</f>
        <v>211949.99999999997</v>
      </c>
      <c r="E11" s="54">
        <f t="shared" ref="E11:H11" si="2">+E6*E36</f>
        <v>102049.99999999999</v>
      </c>
      <c r="F11" s="54">
        <f t="shared" si="2"/>
        <v>0</v>
      </c>
      <c r="G11" s="54">
        <f t="shared" si="2"/>
        <v>0</v>
      </c>
      <c r="H11" s="54">
        <f t="shared" si="2"/>
        <v>0</v>
      </c>
      <c r="I11" s="54">
        <f t="shared" si="0"/>
        <v>402705</v>
      </c>
      <c r="T11" s="52" t="s">
        <v>29</v>
      </c>
      <c r="AJ11" s="52" t="s">
        <v>30</v>
      </c>
      <c r="AK11" s="52" t="s">
        <v>29</v>
      </c>
    </row>
    <row r="12" spans="1:38">
      <c r="A12" s="159">
        <v>6</v>
      </c>
      <c r="B12" s="52" t="s">
        <v>31</v>
      </c>
      <c r="C12" s="54">
        <f>+C6*C37</f>
        <v>21469.999999999996</v>
      </c>
      <c r="D12" s="54">
        <f t="shared" ref="D12:H12" si="3">+D6*D37</f>
        <v>51300</v>
      </c>
      <c r="E12" s="54">
        <f t="shared" si="3"/>
        <v>24700.000000000004</v>
      </c>
      <c r="F12" s="54">
        <f t="shared" si="3"/>
        <v>0</v>
      </c>
      <c r="G12" s="54">
        <f t="shared" si="3"/>
        <v>0</v>
      </c>
      <c r="H12" s="54">
        <f t="shared" si="3"/>
        <v>0</v>
      </c>
      <c r="I12" s="54">
        <f t="shared" si="0"/>
        <v>97470</v>
      </c>
      <c r="T12" s="52" t="s">
        <v>31</v>
      </c>
      <c r="AJ12" s="52" t="s">
        <v>32</v>
      </c>
      <c r="AK12" s="52" t="s">
        <v>31</v>
      </c>
    </row>
    <row r="13" spans="1:38">
      <c r="A13" s="159">
        <v>7</v>
      </c>
      <c r="B13" s="52" t="s">
        <v>33</v>
      </c>
      <c r="C13" s="54">
        <f>+C6*C38</f>
        <v>145205</v>
      </c>
      <c r="D13" s="54">
        <f t="shared" ref="D13:H13" si="4">+D6*D38</f>
        <v>346950</v>
      </c>
      <c r="E13" s="54">
        <f t="shared" si="4"/>
        <v>167050.00000000003</v>
      </c>
      <c r="F13" s="54">
        <f t="shared" si="4"/>
        <v>0</v>
      </c>
      <c r="G13" s="54">
        <f t="shared" si="4"/>
        <v>0</v>
      </c>
      <c r="H13" s="54">
        <f t="shared" si="4"/>
        <v>0</v>
      </c>
      <c r="I13" s="54">
        <f t="shared" si="0"/>
        <v>659205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159">
        <v>8</v>
      </c>
      <c r="B14" s="55" t="s">
        <v>35</v>
      </c>
      <c r="C14" s="54">
        <f>SUM(C11:C13)</f>
        <v>255380</v>
      </c>
      <c r="D14" s="54">
        <f t="shared" ref="D14:H14" si="5">SUM(D11:D13)</f>
        <v>610200</v>
      </c>
      <c r="E14" s="54">
        <f t="shared" si="5"/>
        <v>293800</v>
      </c>
      <c r="F14" s="54">
        <f t="shared" si="5"/>
        <v>0</v>
      </c>
      <c r="G14" s="54">
        <f t="shared" si="5"/>
        <v>0</v>
      </c>
      <c r="H14" s="54">
        <f t="shared" si="5"/>
        <v>0</v>
      </c>
      <c r="I14" s="54">
        <f t="shared" si="0"/>
        <v>1159380</v>
      </c>
      <c r="T14" s="55" t="s">
        <v>35</v>
      </c>
      <c r="AJ14" s="52" t="s">
        <v>36</v>
      </c>
      <c r="AK14" s="55" t="s">
        <v>35</v>
      </c>
    </row>
    <row r="15" spans="1:38">
      <c r="A15" s="159">
        <v>9</v>
      </c>
      <c r="B15" s="55" t="s">
        <v>37</v>
      </c>
      <c r="C15" s="54">
        <f>+C9-C10-C14</f>
        <v>892615</v>
      </c>
      <c r="D15" s="54">
        <f t="shared" ref="D15:H15" si="6">+D9-D10-D14</f>
        <v>1386253.9999999981</v>
      </c>
      <c r="E15" s="54">
        <f t="shared" si="6"/>
        <v>290237.00000000093</v>
      </c>
      <c r="F15" s="54">
        <f t="shared" si="6"/>
        <v>0</v>
      </c>
      <c r="G15" s="54">
        <f t="shared" si="6"/>
        <v>0</v>
      </c>
      <c r="H15" s="54">
        <f t="shared" si="6"/>
        <v>0</v>
      </c>
      <c r="I15" s="54">
        <f t="shared" si="0"/>
        <v>2569105.9999999991</v>
      </c>
      <c r="T15" s="55" t="s">
        <v>37</v>
      </c>
      <c r="AJ15" s="52" t="s">
        <v>38</v>
      </c>
      <c r="AK15" s="55" t="s">
        <v>37</v>
      </c>
    </row>
    <row r="16" spans="1:38">
      <c r="A16" s="159">
        <v>10</v>
      </c>
      <c r="B16" s="52" t="s">
        <v>39</v>
      </c>
      <c r="C16" s="56">
        <f>+C15/C9</f>
        <v>0.16287108840434267</v>
      </c>
      <c r="D16" s="56">
        <f t="shared" ref="D16:H16" si="7">+D15/D9</f>
        <v>0.10586132111492921</v>
      </c>
      <c r="E16" s="56">
        <f t="shared" si="7"/>
        <v>4.6032831086439484E-2</v>
      </c>
      <c r="F16" s="56" t="e">
        <f t="shared" si="7"/>
        <v>#DIV/0!</v>
      </c>
      <c r="G16" s="56" t="e">
        <f t="shared" si="7"/>
        <v>#DIV/0!</v>
      </c>
      <c r="H16" s="56" t="e">
        <f t="shared" si="7"/>
        <v>#DIV/0!</v>
      </c>
      <c r="I16" s="56">
        <f t="shared" ref="I16" si="8">+I15/I9</f>
        <v>0.10325781234299949</v>
      </c>
      <c r="T16" s="52" t="s">
        <v>39</v>
      </c>
      <c r="AJ16" s="52" t="s">
        <v>40</v>
      </c>
      <c r="AK16" s="52" t="s">
        <v>39</v>
      </c>
    </row>
    <row r="17" spans="1:38">
      <c r="A17" s="159">
        <v>11</v>
      </c>
      <c r="B17" s="52" t="s">
        <v>41</v>
      </c>
      <c r="C17" s="54">
        <f>C6*C43+C18</f>
        <v>308746.7484662577</v>
      </c>
      <c r="D17" s="54">
        <f t="shared" ref="D17:H17" si="9">D6*D43+D18</f>
        <v>682406.7484662577</v>
      </c>
      <c r="E17" s="54">
        <f t="shared" si="9"/>
        <v>349206.7484662577</v>
      </c>
      <c r="F17" s="54">
        <f t="shared" si="9"/>
        <v>0</v>
      </c>
      <c r="G17" s="54">
        <f t="shared" si="9"/>
        <v>0</v>
      </c>
      <c r="H17" s="54">
        <f t="shared" si="9"/>
        <v>0</v>
      </c>
      <c r="I17" s="54">
        <f t="shared" si="0"/>
        <v>1340360.2453987731</v>
      </c>
      <c r="J17" s="69"/>
      <c r="T17" s="52" t="s">
        <v>41</v>
      </c>
      <c r="AJ17" s="52" t="s">
        <v>42</v>
      </c>
      <c r="AK17" s="52" t="s">
        <v>41</v>
      </c>
    </row>
    <row r="18" spans="1:38" s="46" customFormat="1">
      <c r="A18" s="159">
        <v>12</v>
      </c>
      <c r="B18" s="57" t="s">
        <v>143</v>
      </c>
      <c r="C18" s="58">
        <f>$I$18/$I$6*C6</f>
        <v>39806.748466257675</v>
      </c>
      <c r="D18" s="58">
        <f t="shared" ref="D18:H18" si="10">$I$18/$I$6*D6</f>
        <v>39806.748466257675</v>
      </c>
      <c r="E18" s="58">
        <f t="shared" si="10"/>
        <v>39806.748466257675</v>
      </c>
      <c r="F18" s="58">
        <f t="shared" si="10"/>
        <v>0</v>
      </c>
      <c r="G18" s="58">
        <f t="shared" si="10"/>
        <v>0</v>
      </c>
      <c r="H18" s="58">
        <f t="shared" si="10"/>
        <v>0</v>
      </c>
      <c r="I18" s="58">
        <f>项目投资!E26</f>
        <v>119420.24539877303</v>
      </c>
      <c r="J18" s="70" t="s">
        <v>144</v>
      </c>
      <c r="K18" s="70"/>
      <c r="L18" s="70"/>
    </row>
    <row r="19" spans="1:38">
      <c r="A19" s="159">
        <v>13</v>
      </c>
      <c r="B19" s="52" t="s">
        <v>43</v>
      </c>
      <c r="C19" s="54">
        <f>C6*C44</f>
        <v>42375</v>
      </c>
      <c r="D19" s="54">
        <f t="shared" ref="D19:H19" si="11">D6*D44</f>
        <v>101250</v>
      </c>
      <c r="E19" s="54">
        <f t="shared" si="11"/>
        <v>48750</v>
      </c>
      <c r="F19" s="54">
        <f t="shared" si="11"/>
        <v>0</v>
      </c>
      <c r="G19" s="54">
        <f t="shared" si="11"/>
        <v>0</v>
      </c>
      <c r="H19" s="54">
        <f t="shared" si="11"/>
        <v>0</v>
      </c>
      <c r="I19" s="54">
        <f>SUM(C19:H19)</f>
        <v>192375</v>
      </c>
      <c r="J19" s="46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159">
        <v>14</v>
      </c>
      <c r="B20" s="52" t="s">
        <v>45</v>
      </c>
      <c r="C20" s="54">
        <f>C6*C45</f>
        <v>170065</v>
      </c>
      <c r="D20" s="54">
        <f t="shared" ref="D20:H20" si="12">D6*D45</f>
        <v>406350</v>
      </c>
      <c r="E20" s="54">
        <f t="shared" si="12"/>
        <v>195649.99999999997</v>
      </c>
      <c r="F20" s="54">
        <f t="shared" si="12"/>
        <v>0</v>
      </c>
      <c r="G20" s="54">
        <f t="shared" si="12"/>
        <v>0</v>
      </c>
      <c r="H20" s="54">
        <f t="shared" si="12"/>
        <v>0</v>
      </c>
      <c r="I20" s="54">
        <f t="shared" si="0"/>
        <v>772065</v>
      </c>
      <c r="T20" s="52" t="s">
        <v>45</v>
      </c>
      <c r="AJ20" s="52" t="s">
        <v>46</v>
      </c>
      <c r="AK20" s="52" t="s">
        <v>45</v>
      </c>
    </row>
    <row r="21" spans="1:38">
      <c r="A21" s="159">
        <v>15</v>
      </c>
      <c r="B21" s="52" t="s">
        <v>47</v>
      </c>
      <c r="C21" s="59">
        <f>$I$21/$I$6*C6</f>
        <v>17680.981595092024</v>
      </c>
      <c r="D21" s="59">
        <f t="shared" ref="D21:H21" si="13">$I$21/$I$6*D6</f>
        <v>17680.981595092024</v>
      </c>
      <c r="E21" s="59">
        <f t="shared" si="13"/>
        <v>17680.981595092024</v>
      </c>
      <c r="F21" s="59">
        <f t="shared" si="13"/>
        <v>0</v>
      </c>
      <c r="G21" s="59">
        <f t="shared" si="13"/>
        <v>0</v>
      </c>
      <c r="H21" s="59">
        <f t="shared" si="13"/>
        <v>0</v>
      </c>
      <c r="I21" s="54">
        <f>项目投资!E27</f>
        <v>53042.944785276071</v>
      </c>
      <c r="T21" s="52" t="s">
        <v>47</v>
      </c>
      <c r="AJ21" s="52"/>
      <c r="AK21" s="52"/>
    </row>
    <row r="22" spans="1:38">
      <c r="A22" s="159">
        <v>16</v>
      </c>
      <c r="B22" s="52" t="s">
        <v>48</v>
      </c>
      <c r="C22" s="54">
        <f>C6*C47</f>
        <v>130514.99999999999</v>
      </c>
      <c r="D22" s="54">
        <f t="shared" ref="D22:H22" si="14">D6*D47</f>
        <v>311850</v>
      </c>
      <c r="E22" s="54">
        <f t="shared" si="14"/>
        <v>150150</v>
      </c>
      <c r="F22" s="54">
        <f t="shared" si="14"/>
        <v>0</v>
      </c>
      <c r="G22" s="54">
        <f t="shared" si="14"/>
        <v>0</v>
      </c>
      <c r="H22" s="54">
        <f t="shared" si="14"/>
        <v>0</v>
      </c>
      <c r="I22" s="54">
        <f>SUM(C22:H22)</f>
        <v>592515</v>
      </c>
      <c r="T22" s="52" t="s">
        <v>48</v>
      </c>
      <c r="AJ22" s="52" t="s">
        <v>49</v>
      </c>
      <c r="AK22" s="52" t="s">
        <v>48</v>
      </c>
    </row>
    <row r="23" spans="1:38">
      <c r="A23" s="159">
        <v>17</v>
      </c>
      <c r="B23" s="55" t="s">
        <v>50</v>
      </c>
      <c r="C23" s="59">
        <f>+C22+C21+C20+C19+C17</f>
        <v>669382.73006134969</v>
      </c>
      <c r="D23" s="59">
        <f t="shared" ref="D23:H23" si="15">+D22+D21+D20+D19+D17</f>
        <v>1519537.7300613497</v>
      </c>
      <c r="E23" s="59">
        <f t="shared" si="15"/>
        <v>761437.73006134969</v>
      </c>
      <c r="F23" s="59">
        <f t="shared" si="15"/>
        <v>0</v>
      </c>
      <c r="G23" s="59">
        <f t="shared" si="15"/>
        <v>0</v>
      </c>
      <c r="H23" s="59">
        <f t="shared" si="15"/>
        <v>0</v>
      </c>
      <c r="I23" s="59">
        <f t="shared" ref="I23" si="16">+I22+I21+I20+I19+I17</f>
        <v>2950358.1901840493</v>
      </c>
      <c r="T23" s="55" t="s">
        <v>50</v>
      </c>
      <c r="AJ23" s="52" t="s">
        <v>51</v>
      </c>
      <c r="AK23" s="55" t="s">
        <v>50</v>
      </c>
    </row>
    <row r="24" spans="1:38">
      <c r="A24" s="159">
        <v>18</v>
      </c>
      <c r="B24" s="60" t="s">
        <v>52</v>
      </c>
      <c r="C24" s="59">
        <f>+C15-C23</f>
        <v>223232.26993865031</v>
      </c>
      <c r="D24" s="59">
        <f t="shared" ref="D24:H24" si="17">+D15-D23</f>
        <v>-133283.73006135155</v>
      </c>
      <c r="E24" s="59">
        <f t="shared" si="17"/>
        <v>-471200.73006134876</v>
      </c>
      <c r="F24" s="59">
        <f t="shared" si="17"/>
        <v>0</v>
      </c>
      <c r="G24" s="59">
        <f t="shared" si="17"/>
        <v>0</v>
      </c>
      <c r="H24" s="59">
        <f t="shared" si="17"/>
        <v>0</v>
      </c>
      <c r="I24" s="59">
        <f t="shared" ref="I24" si="18">+I15-I23</f>
        <v>-381252.19018405024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159">
        <v>19</v>
      </c>
      <c r="B25" s="52" t="s">
        <v>145</v>
      </c>
      <c r="C25" s="59">
        <f>IF(C24&lt;0,0,C24*0.25)</f>
        <v>55808.067484662577</v>
      </c>
      <c r="D25" s="59">
        <f>IF(D24&lt;0,0,D24*0.15)</f>
        <v>0</v>
      </c>
      <c r="E25" s="59">
        <f t="shared" ref="E25:I25" si="19">IF(E24&lt;0,0,E24*0.25)</f>
        <v>0</v>
      </c>
      <c r="F25" s="59">
        <f>IF(F24&lt;0,0,F24*0.15)</f>
        <v>0</v>
      </c>
      <c r="G25" s="59">
        <f t="shared" si="19"/>
        <v>0</v>
      </c>
      <c r="H25" s="59">
        <f t="shared" si="19"/>
        <v>0</v>
      </c>
      <c r="I25" s="59">
        <f t="shared" si="19"/>
        <v>0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159">
        <v>20</v>
      </c>
      <c r="B26" s="52" t="s">
        <v>56</v>
      </c>
      <c r="C26" s="59">
        <f t="shared" ref="C26:H26" si="20">C24-C25</f>
        <v>167424.20245398773</v>
      </c>
      <c r="D26" s="59">
        <f t="shared" si="20"/>
        <v>-133283.73006135155</v>
      </c>
      <c r="E26" s="59">
        <f t="shared" si="20"/>
        <v>-471200.73006134876</v>
      </c>
      <c r="F26" s="59">
        <f t="shared" si="20"/>
        <v>0</v>
      </c>
      <c r="G26" s="59">
        <f t="shared" si="20"/>
        <v>0</v>
      </c>
      <c r="H26" s="59">
        <f t="shared" si="20"/>
        <v>0</v>
      </c>
      <c r="I26" s="54">
        <f>SUM(C26:H26)</f>
        <v>-437060.25766871258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159">
        <v>21</v>
      </c>
      <c r="B27" s="52" t="s">
        <v>60</v>
      </c>
      <c r="C27" s="61">
        <f t="shared" ref="C27:I27" si="21">C26/C7</f>
        <v>2.9632602204245614E-2</v>
      </c>
      <c r="D27" s="61">
        <f t="shared" ref="D27:H27" si="22">D26/D7</f>
        <v>-9.8728688934334487E-3</v>
      </c>
      <c r="E27" s="61">
        <f t="shared" si="22"/>
        <v>-7.2492420009438271E-2</v>
      </c>
      <c r="F27" s="61" t="e">
        <f t="shared" si="22"/>
        <v>#DIV/0!</v>
      </c>
      <c r="G27" s="61" t="e">
        <f t="shared" si="22"/>
        <v>#DIV/0!</v>
      </c>
      <c r="H27" s="61" t="e">
        <f t="shared" si="22"/>
        <v>#DIV/0!</v>
      </c>
      <c r="I27" s="61">
        <f t="shared" si="21"/>
        <v>-1.7039386263887429E-2</v>
      </c>
      <c r="J27" s="67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159">
        <v>1</v>
      </c>
      <c r="B31" s="57" t="s">
        <v>65</v>
      </c>
      <c r="C31" s="63">
        <f>销量!C8</f>
        <v>565</v>
      </c>
      <c r="D31" s="63">
        <f>销量!D8</f>
        <v>1350</v>
      </c>
      <c r="E31" s="63">
        <f>销量!E8</f>
        <v>650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159">
        <v>2</v>
      </c>
      <c r="B32" s="52" t="s">
        <v>147</v>
      </c>
      <c r="C32" s="54">
        <f>C9/C6</f>
        <v>548.04999999999995</v>
      </c>
      <c r="D32" s="54">
        <f t="shared" ref="D32:H32" si="23">D9/D6</f>
        <v>1309.5</v>
      </c>
      <c r="E32" s="54">
        <f t="shared" si="23"/>
        <v>630.5</v>
      </c>
      <c r="F32" s="54" t="e">
        <f t="shared" si="23"/>
        <v>#DIV/0!</v>
      </c>
      <c r="G32" s="54" t="e">
        <f t="shared" si="23"/>
        <v>#DIV/0!</v>
      </c>
      <c r="H32" s="54" t="e">
        <f t="shared" si="23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59">
        <v>3</v>
      </c>
      <c r="B33" s="57" t="s">
        <v>66</v>
      </c>
      <c r="C33" s="54">
        <f>材料成本!F18</f>
        <v>433.25049999999999</v>
      </c>
      <c r="D33" s="54">
        <f>材料成本!F19</f>
        <v>1109.8546000000001</v>
      </c>
      <c r="E33" s="54">
        <f>材料成本!F20</f>
        <v>572.09629999999993</v>
      </c>
      <c r="F33" s="54">
        <f>材料成本!F21</f>
        <v>0</v>
      </c>
      <c r="G33" s="54">
        <f>材料成本!F22</f>
        <v>0</v>
      </c>
      <c r="H33" s="54"/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159">
        <v>4</v>
      </c>
      <c r="B34" s="52" t="s">
        <v>68</v>
      </c>
      <c r="C34" s="64">
        <f>C32-C33</f>
        <v>114.79949999999997</v>
      </c>
      <c r="D34" s="64">
        <f t="shared" ref="D34:H34" si="24">D32-D33</f>
        <v>199.64539999999988</v>
      </c>
      <c r="E34" s="64">
        <f t="shared" si="24"/>
        <v>58.403700000000072</v>
      </c>
      <c r="F34" s="64" t="e">
        <f t="shared" si="24"/>
        <v>#DIV/0!</v>
      </c>
      <c r="G34" s="64" t="e">
        <f t="shared" si="24"/>
        <v>#DIV/0!</v>
      </c>
      <c r="H34" s="64" t="e">
        <f t="shared" si="24"/>
        <v>#DIV/0!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159">
        <v>1</v>
      </c>
      <c r="B36" s="52" t="s">
        <v>71</v>
      </c>
      <c r="C36" s="58">
        <f>'2023年'!C36</f>
        <v>8.8704999999999998</v>
      </c>
      <c r="D36" s="58">
        <f>'2023年'!D36</f>
        <v>21.194999999999997</v>
      </c>
      <c r="E36" s="58">
        <f>'2023年'!E36</f>
        <v>10.204999999999998</v>
      </c>
      <c r="F36" s="58">
        <f>'2023年'!F36</f>
        <v>0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159">
        <v>2</v>
      </c>
      <c r="B37" s="52" t="s">
        <v>72</v>
      </c>
      <c r="C37" s="58">
        <f>'2023年'!C37</f>
        <v>2.1469999999999998</v>
      </c>
      <c r="D37" s="58">
        <f>'2023年'!D37</f>
        <v>5.13</v>
      </c>
      <c r="E37" s="58">
        <f>'2023年'!E37</f>
        <v>2.4700000000000002</v>
      </c>
      <c r="F37" s="58">
        <f>'2023年'!F37</f>
        <v>0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159">
        <v>3</v>
      </c>
      <c r="B38" s="52" t="s">
        <v>73</v>
      </c>
      <c r="C38" s="58">
        <f>'2023年'!C38</f>
        <v>14.5205</v>
      </c>
      <c r="D38" s="58">
        <f>'2023年'!D38</f>
        <v>34.695</v>
      </c>
      <c r="E38" s="58">
        <f>'2023年'!E38</f>
        <v>16.705000000000002</v>
      </c>
      <c r="F38" s="58">
        <f>'2023年'!F38</f>
        <v>0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159">
        <v>1</v>
      </c>
      <c r="B40" s="52" t="s">
        <v>77</v>
      </c>
      <c r="C40" s="59">
        <f>C34-C36-C37-C38</f>
        <v>89.26149999999997</v>
      </c>
      <c r="D40" s="59">
        <f t="shared" ref="D40:H40" si="25">D34-D36-D37-D38</f>
        <v>138.6253999999999</v>
      </c>
      <c r="E40" s="59">
        <f t="shared" si="25"/>
        <v>29.023700000000073</v>
      </c>
      <c r="F40" s="59" t="e">
        <f t="shared" si="25"/>
        <v>#DIV/0!</v>
      </c>
      <c r="G40" s="59" t="e">
        <f t="shared" si="25"/>
        <v>#DIV/0!</v>
      </c>
      <c r="H40" s="59" t="e">
        <f t="shared" si="25"/>
        <v>#DIV/0!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159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159">
        <v>1</v>
      </c>
      <c r="B43" s="60" t="s">
        <v>81</v>
      </c>
      <c r="C43" s="58">
        <f>'2023年'!C43</f>
        <v>26.894000000000002</v>
      </c>
      <c r="D43" s="58">
        <f>'2023年'!D43</f>
        <v>64.260000000000005</v>
      </c>
      <c r="E43" s="58">
        <f>'2023年'!E43</f>
        <v>30.94</v>
      </c>
      <c r="F43" s="58">
        <f>'2023年'!F43</f>
        <v>0</v>
      </c>
      <c r="G43" s="58">
        <f>'2023年'!G43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159">
        <v>2</v>
      </c>
      <c r="B44" s="60" t="s">
        <v>82</v>
      </c>
      <c r="C44" s="58">
        <f>'2023年'!C44</f>
        <v>4.2374999999999998</v>
      </c>
      <c r="D44" s="58">
        <f>'2023年'!D44</f>
        <v>10.125</v>
      </c>
      <c r="E44" s="58">
        <f>'2023年'!E44</f>
        <v>4.875</v>
      </c>
      <c r="F44" s="58">
        <f>'2023年'!F44</f>
        <v>0</v>
      </c>
      <c r="G44" s="58">
        <f>'2023年'!G44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159">
        <v>3</v>
      </c>
      <c r="B45" s="60" t="s">
        <v>83</v>
      </c>
      <c r="C45" s="58">
        <f>'2023年'!C45</f>
        <v>17.006499999999999</v>
      </c>
      <c r="D45" s="58">
        <f>'2023年'!D45</f>
        <v>40.634999999999998</v>
      </c>
      <c r="E45" s="58">
        <f>'2023年'!E45</f>
        <v>19.564999999999998</v>
      </c>
      <c r="F45" s="58">
        <f>'2023年'!F45</f>
        <v>0</v>
      </c>
      <c r="G45" s="58">
        <f>'2023年'!G45</f>
        <v>0</v>
      </c>
      <c r="H45" s="58"/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159">
        <v>4</v>
      </c>
      <c r="B46" s="60" t="s">
        <v>84</v>
      </c>
      <c r="C46" s="65">
        <f>C21/C6</f>
        <v>1.7680981595092025</v>
      </c>
      <c r="D46" s="65">
        <f t="shared" ref="D46:H46" si="26">D21/D6</f>
        <v>1.7680981595092025</v>
      </c>
      <c r="E46" s="65">
        <f t="shared" si="26"/>
        <v>1.7680981595092025</v>
      </c>
      <c r="F46" s="65" t="e">
        <f t="shared" si="26"/>
        <v>#DIV/0!</v>
      </c>
      <c r="G46" s="65" t="e">
        <f t="shared" si="26"/>
        <v>#DIV/0!</v>
      </c>
      <c r="H46" s="65" t="e">
        <f t="shared" si="26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159">
        <v>5</v>
      </c>
      <c r="B47" s="60" t="s">
        <v>86</v>
      </c>
      <c r="C47" s="58">
        <f>'2023年'!C47</f>
        <v>13.051499999999999</v>
      </c>
      <c r="D47" s="58">
        <f>'2023年'!D47</f>
        <v>31.184999999999999</v>
      </c>
      <c r="E47" s="58">
        <f>'2023年'!E47</f>
        <v>15.014999999999999</v>
      </c>
      <c r="F47" s="58">
        <f>'2023年'!F47</f>
        <v>0</v>
      </c>
      <c r="G47" s="58">
        <f>'2023年'!G47</f>
        <v>0</v>
      </c>
      <c r="H47" s="65"/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26.303901840490767</v>
      </c>
      <c r="D48" s="59">
        <f t="shared" ref="D48:H48" si="27">D40-D43-D44-D45-D47-D46</f>
        <v>-9.3476981595093047</v>
      </c>
      <c r="E48" s="59">
        <f t="shared" si="27"/>
        <v>-43.139398159509128</v>
      </c>
      <c r="F48" s="59" t="e">
        <f t="shared" si="27"/>
        <v>#DIV/0!</v>
      </c>
      <c r="G48" s="59" t="e">
        <f t="shared" si="27"/>
        <v>#DIV/0!</v>
      </c>
      <c r="H48" s="59" t="e">
        <f t="shared" si="27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0" activePane="bottomRight" state="frozen"/>
      <selection pane="topRight"/>
      <selection pane="bottomLeft"/>
      <selection pane="bottomRight" activeCell="I22" sqref="I22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7" t="s">
        <v>137</v>
      </c>
      <c r="B1" s="217"/>
      <c r="C1" s="221" t="s">
        <v>257</v>
      </c>
      <c r="D1" s="222"/>
      <c r="E1" s="222"/>
      <c r="F1" s="222"/>
      <c r="G1" s="222"/>
      <c r="H1" s="222"/>
      <c r="I1" s="223"/>
    </row>
    <row r="2" spans="1:38">
      <c r="A2" s="217" t="s">
        <v>138</v>
      </c>
      <c r="B2" s="217"/>
      <c r="C2" s="224" t="str">
        <f>'2023年'!C2:I2</f>
        <v>一汽解放</v>
      </c>
      <c r="D2" s="224"/>
      <c r="E2" s="224"/>
      <c r="F2" s="224"/>
      <c r="G2" s="224"/>
      <c r="H2" s="224"/>
      <c r="I2" s="224"/>
    </row>
    <row r="3" spans="1:38">
      <c r="A3" s="217" t="s">
        <v>139</v>
      </c>
      <c r="B3" s="217"/>
      <c r="C3" s="160" t="str">
        <f>销量!C5</f>
        <v>前座总成</v>
      </c>
      <c r="D3" s="160" t="str">
        <f>销量!D5</f>
        <v>驾驶员总成</v>
      </c>
      <c r="E3" s="160" t="str">
        <f>销量!E5</f>
        <v>前座总成</v>
      </c>
      <c r="F3" s="160">
        <f>销量!F5</f>
        <v>0</v>
      </c>
      <c r="G3" s="160">
        <f>销量!G5</f>
        <v>0</v>
      </c>
      <c r="H3" s="160">
        <f>销量!H5</f>
        <v>0</v>
      </c>
      <c r="I3" s="218" t="s">
        <v>15</v>
      </c>
    </row>
    <row r="4" spans="1:38" ht="28.5">
      <c r="A4" s="217" t="s">
        <v>140</v>
      </c>
      <c r="B4" s="217"/>
      <c r="C4" s="160" t="str">
        <f>销量!C6</f>
        <v>6900010WH43-C00/A</v>
      </c>
      <c r="D4" s="160" t="str">
        <f>销量!D6</f>
        <v>6800010WH43-C00/A</v>
      </c>
      <c r="E4" s="160" t="str">
        <f>销量!E6</f>
        <v>6900010JH13-C00/A</v>
      </c>
      <c r="F4" s="160">
        <f>销量!F6</f>
        <v>0</v>
      </c>
      <c r="G4" s="160">
        <f>销量!G6</f>
        <v>0</v>
      </c>
      <c r="H4" s="160">
        <f>销量!H6</f>
        <v>0</v>
      </c>
      <c r="I4" s="219"/>
    </row>
    <row r="5" spans="1:38">
      <c r="A5" s="217" t="s">
        <v>141</v>
      </c>
      <c r="B5" s="217"/>
      <c r="C5" s="51"/>
      <c r="D5" s="51"/>
      <c r="E5" s="51"/>
      <c r="F5" s="51"/>
      <c r="G5" s="51"/>
      <c r="H5" s="51"/>
      <c r="I5" s="220"/>
      <c r="AL5" s="48" t="s">
        <v>16</v>
      </c>
    </row>
    <row r="6" spans="1:38" ht="17.25">
      <c r="A6" s="52" t="s">
        <v>14</v>
      </c>
      <c r="B6" s="53" t="s">
        <v>142</v>
      </c>
      <c r="C6" s="21">
        <f>销量!C11</f>
        <v>10000</v>
      </c>
      <c r="D6" s="21">
        <f>销量!D11</f>
        <v>10000</v>
      </c>
      <c r="E6" s="21">
        <f>销量!E11</f>
        <v>10000</v>
      </c>
      <c r="F6" s="21">
        <f>销量!F11</f>
        <v>0</v>
      </c>
      <c r="G6" s="21">
        <f>销量!G11</f>
        <v>0</v>
      </c>
      <c r="H6" s="21">
        <f>销量!H11</f>
        <v>0</v>
      </c>
      <c r="I6" s="54">
        <f>SUM(C6:H6)</f>
        <v>30000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159">
        <v>1</v>
      </c>
      <c r="B7" s="53" t="s">
        <v>18</v>
      </c>
      <c r="C7" s="54">
        <f>C6*销量!C8</f>
        <v>5650000</v>
      </c>
      <c r="D7" s="54">
        <f>D6*销量!D8</f>
        <v>13500000</v>
      </c>
      <c r="E7" s="54">
        <f>E6*销量!E8</f>
        <v>6500000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>SUM(C7:H7)</f>
        <v>25650000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159">
        <v>2</v>
      </c>
      <c r="B8" s="159" t="s">
        <v>20</v>
      </c>
      <c r="C8" s="54">
        <f>C7*(1-销量!$M$8)</f>
        <v>333914.99999999959</v>
      </c>
      <c r="D8" s="54">
        <f>D7*(1-销量!$M$8)</f>
        <v>797849.99999999907</v>
      </c>
      <c r="E8" s="54">
        <f>E7*(1-销量!$M$8)</f>
        <v>384149.99999999953</v>
      </c>
      <c r="F8" s="54">
        <f>F7*(1-销量!$M$8)</f>
        <v>0</v>
      </c>
      <c r="G8" s="54">
        <f>G7*(1-销量!$M$8)</f>
        <v>0</v>
      </c>
      <c r="H8" s="54">
        <f>H7*(1-销量!$M$8)</f>
        <v>0</v>
      </c>
      <c r="I8" s="54">
        <f t="shared" ref="I8:I15" si="0">SUM(C8:H8)</f>
        <v>1515914.9999999981</v>
      </c>
      <c r="J8" s="69"/>
      <c r="T8" s="159" t="s">
        <v>22</v>
      </c>
      <c r="AJ8" s="52" t="s">
        <v>21</v>
      </c>
      <c r="AK8" s="159" t="s">
        <v>22</v>
      </c>
      <c r="AL8" s="48" t="s">
        <v>17</v>
      </c>
    </row>
    <row r="9" spans="1:38">
      <c r="A9" s="159">
        <v>3</v>
      </c>
      <c r="B9" s="53" t="s">
        <v>23</v>
      </c>
      <c r="C9" s="54">
        <f>+C7-C8</f>
        <v>5316085</v>
      </c>
      <c r="D9" s="54">
        <f t="shared" ref="D9:H9" si="1">+D7-D8</f>
        <v>12702150</v>
      </c>
      <c r="E9" s="54">
        <f t="shared" si="1"/>
        <v>6115850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24134085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159">
        <v>4</v>
      </c>
      <c r="B10" s="52" t="s">
        <v>26</v>
      </c>
      <c r="C10" s="54">
        <f>C6*材料成本!G18</f>
        <v>4202529.8499999996</v>
      </c>
      <c r="D10" s="54">
        <f>D6*材料成本!G19</f>
        <v>10765589.620000001</v>
      </c>
      <c r="E10" s="54">
        <f>E6*材料成本!G20</f>
        <v>5549334.1099999985</v>
      </c>
      <c r="F10" s="54">
        <f>F6*材料成本!G21</f>
        <v>0</v>
      </c>
      <c r="G10" s="54">
        <f>G6*材料成本!G22</f>
        <v>0</v>
      </c>
      <c r="H10" s="54"/>
      <c r="I10" s="54">
        <f t="shared" si="0"/>
        <v>20517453.579999998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159">
        <v>5</v>
      </c>
      <c r="B11" s="52" t="s">
        <v>29</v>
      </c>
      <c r="C11" s="54">
        <f>+C6*C36</f>
        <v>88705</v>
      </c>
      <c r="D11" s="54">
        <f t="shared" ref="D11:H11" si="2">+D6*D36</f>
        <v>211949.99999999997</v>
      </c>
      <c r="E11" s="54">
        <f t="shared" si="2"/>
        <v>102049.99999999999</v>
      </c>
      <c r="F11" s="54">
        <f t="shared" si="2"/>
        <v>0</v>
      </c>
      <c r="G11" s="54">
        <f t="shared" si="2"/>
        <v>0</v>
      </c>
      <c r="H11" s="54">
        <f t="shared" si="2"/>
        <v>0</v>
      </c>
      <c r="I11" s="54">
        <f t="shared" si="0"/>
        <v>402705</v>
      </c>
      <c r="T11" s="52" t="s">
        <v>29</v>
      </c>
      <c r="AJ11" s="52" t="s">
        <v>30</v>
      </c>
      <c r="AK11" s="52" t="s">
        <v>29</v>
      </c>
    </row>
    <row r="12" spans="1:38">
      <c r="A12" s="159">
        <v>6</v>
      </c>
      <c r="B12" s="52" t="s">
        <v>31</v>
      </c>
      <c r="C12" s="54">
        <f>+C6*C37</f>
        <v>21469.999999999996</v>
      </c>
      <c r="D12" s="54">
        <f t="shared" ref="D12:H12" si="3">+D6*D37</f>
        <v>51300</v>
      </c>
      <c r="E12" s="54">
        <f t="shared" si="3"/>
        <v>24700.000000000004</v>
      </c>
      <c r="F12" s="54">
        <f t="shared" si="3"/>
        <v>0</v>
      </c>
      <c r="G12" s="54">
        <f t="shared" si="3"/>
        <v>0</v>
      </c>
      <c r="H12" s="54">
        <f t="shared" si="3"/>
        <v>0</v>
      </c>
      <c r="I12" s="54">
        <f t="shared" si="0"/>
        <v>97470</v>
      </c>
      <c r="T12" s="52" t="s">
        <v>31</v>
      </c>
      <c r="AJ12" s="52" t="s">
        <v>32</v>
      </c>
      <c r="AK12" s="52" t="s">
        <v>31</v>
      </c>
    </row>
    <row r="13" spans="1:38">
      <c r="A13" s="159">
        <v>7</v>
      </c>
      <c r="B13" s="52" t="s">
        <v>33</v>
      </c>
      <c r="C13" s="54">
        <f>+C6*C38</f>
        <v>145205</v>
      </c>
      <c r="D13" s="54">
        <f t="shared" ref="D13:H13" si="4">+D6*D38</f>
        <v>346950</v>
      </c>
      <c r="E13" s="54">
        <f t="shared" si="4"/>
        <v>167050.00000000003</v>
      </c>
      <c r="F13" s="54">
        <f t="shared" si="4"/>
        <v>0</v>
      </c>
      <c r="G13" s="54">
        <f t="shared" si="4"/>
        <v>0</v>
      </c>
      <c r="H13" s="54">
        <f t="shared" si="4"/>
        <v>0</v>
      </c>
      <c r="I13" s="54">
        <f t="shared" si="0"/>
        <v>659205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159">
        <v>8</v>
      </c>
      <c r="B14" s="55" t="s">
        <v>35</v>
      </c>
      <c r="C14" s="54">
        <f>SUM(C11:C13)</f>
        <v>255380</v>
      </c>
      <c r="D14" s="54">
        <f t="shared" ref="D14:H14" si="5">SUM(D11:D13)</f>
        <v>610200</v>
      </c>
      <c r="E14" s="54">
        <f t="shared" si="5"/>
        <v>293800</v>
      </c>
      <c r="F14" s="54">
        <f t="shared" si="5"/>
        <v>0</v>
      </c>
      <c r="G14" s="54">
        <f t="shared" si="5"/>
        <v>0</v>
      </c>
      <c r="H14" s="54">
        <f t="shared" si="5"/>
        <v>0</v>
      </c>
      <c r="I14" s="54">
        <f t="shared" si="0"/>
        <v>1159380</v>
      </c>
      <c r="T14" s="55" t="s">
        <v>35</v>
      </c>
      <c r="AJ14" s="52" t="s">
        <v>36</v>
      </c>
      <c r="AK14" s="55" t="s">
        <v>35</v>
      </c>
    </row>
    <row r="15" spans="1:38">
      <c r="A15" s="159">
        <v>9</v>
      </c>
      <c r="B15" s="55" t="s">
        <v>37</v>
      </c>
      <c r="C15" s="54">
        <f>+C9-C10-C14</f>
        <v>858175.15000000037</v>
      </c>
      <c r="D15" s="54">
        <f t="shared" ref="D15:H15" si="6">+D9-D10-D14</f>
        <v>1326360.379999999</v>
      </c>
      <c r="E15" s="54">
        <f t="shared" si="6"/>
        <v>272715.89000000153</v>
      </c>
      <c r="F15" s="54">
        <f t="shared" si="6"/>
        <v>0</v>
      </c>
      <c r="G15" s="54">
        <f t="shared" si="6"/>
        <v>0</v>
      </c>
      <c r="H15" s="54">
        <f t="shared" si="6"/>
        <v>0</v>
      </c>
      <c r="I15" s="54">
        <f t="shared" si="0"/>
        <v>2457251.4200000009</v>
      </c>
      <c r="T15" s="55" t="s">
        <v>37</v>
      </c>
      <c r="AJ15" s="52" t="s">
        <v>38</v>
      </c>
      <c r="AK15" s="55" t="s">
        <v>37</v>
      </c>
    </row>
    <row r="16" spans="1:38">
      <c r="A16" s="159">
        <v>10</v>
      </c>
      <c r="B16" s="52" t="s">
        <v>39</v>
      </c>
      <c r="C16" s="56">
        <f>+C15/C9</f>
        <v>0.16142991505967275</v>
      </c>
      <c r="D16" s="56">
        <f t="shared" ref="D16:H16" si="7">+D15/D9</f>
        <v>0.10442014777025928</v>
      </c>
      <c r="E16" s="56">
        <f t="shared" si="7"/>
        <v>4.459165774176959E-2</v>
      </c>
      <c r="F16" s="56" t="e">
        <f t="shared" si="7"/>
        <v>#DIV/0!</v>
      </c>
      <c r="G16" s="56" t="e">
        <f t="shared" si="7"/>
        <v>#DIV/0!</v>
      </c>
      <c r="H16" s="56" t="e">
        <f t="shared" si="7"/>
        <v>#DIV/0!</v>
      </c>
      <c r="I16" s="56">
        <f t="shared" ref="I16" si="8">+I15/I9</f>
        <v>0.10181663899832957</v>
      </c>
      <c r="T16" s="52" t="s">
        <v>39</v>
      </c>
      <c r="AJ16" s="52" t="s">
        <v>40</v>
      </c>
      <c r="AK16" s="52" t="s">
        <v>39</v>
      </c>
    </row>
    <row r="17" spans="1:38">
      <c r="A17" s="159">
        <v>11</v>
      </c>
      <c r="B17" s="52" t="s">
        <v>41</v>
      </c>
      <c r="C17" s="54">
        <f>C6*C43+C18</f>
        <v>308746.7484662577</v>
      </c>
      <c r="D17" s="54">
        <f t="shared" ref="D17:H17" si="9">D6*D43+D18</f>
        <v>682406.7484662577</v>
      </c>
      <c r="E17" s="54">
        <f t="shared" si="9"/>
        <v>349206.7484662577</v>
      </c>
      <c r="F17" s="54">
        <f t="shared" si="9"/>
        <v>0</v>
      </c>
      <c r="G17" s="54">
        <f t="shared" si="9"/>
        <v>0</v>
      </c>
      <c r="H17" s="54">
        <f t="shared" si="9"/>
        <v>0</v>
      </c>
      <c r="I17" s="54">
        <f>SUM(C17:H17)</f>
        <v>1340360.2453987731</v>
      </c>
      <c r="J17" s="69"/>
      <c r="T17" s="52" t="s">
        <v>41</v>
      </c>
      <c r="AJ17" s="52" t="s">
        <v>42</v>
      </c>
      <c r="AK17" s="52" t="s">
        <v>41</v>
      </c>
    </row>
    <row r="18" spans="1:38" s="46" customFormat="1">
      <c r="A18" s="159">
        <v>12</v>
      </c>
      <c r="B18" s="57" t="s">
        <v>143</v>
      </c>
      <c r="C18" s="58">
        <f>$I$18/$I$6*C6</f>
        <v>39806.748466257675</v>
      </c>
      <c r="D18" s="58">
        <f t="shared" ref="D18:H18" si="10">$I$18/$I$6*D6</f>
        <v>39806.748466257675</v>
      </c>
      <c r="E18" s="58">
        <f t="shared" si="10"/>
        <v>39806.748466257675</v>
      </c>
      <c r="F18" s="58">
        <f t="shared" si="10"/>
        <v>0</v>
      </c>
      <c r="G18" s="58">
        <f t="shared" si="10"/>
        <v>0</v>
      </c>
      <c r="H18" s="58">
        <f t="shared" si="10"/>
        <v>0</v>
      </c>
      <c r="I18" s="58">
        <f>项目投资!F26</f>
        <v>119420.24539877303</v>
      </c>
      <c r="J18" s="70" t="s">
        <v>144</v>
      </c>
      <c r="K18" s="70"/>
      <c r="L18" s="70"/>
    </row>
    <row r="19" spans="1:38">
      <c r="A19" s="159">
        <v>13</v>
      </c>
      <c r="B19" s="52" t="s">
        <v>43</v>
      </c>
      <c r="C19" s="54">
        <f>C6*C44</f>
        <v>42375</v>
      </c>
      <c r="D19" s="54">
        <f t="shared" ref="D19:G19" si="11">D6*D44</f>
        <v>101250</v>
      </c>
      <c r="E19" s="54">
        <f t="shared" si="11"/>
        <v>48750</v>
      </c>
      <c r="F19" s="54">
        <f t="shared" si="11"/>
        <v>0</v>
      </c>
      <c r="G19" s="54">
        <f t="shared" si="11"/>
        <v>0</v>
      </c>
      <c r="H19" s="54">
        <f t="shared" ref="H19" si="12">H6*H44</f>
        <v>0</v>
      </c>
      <c r="I19" s="54">
        <f>SUM(C19:G19)</f>
        <v>192375</v>
      </c>
      <c r="J19" s="46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159">
        <v>14</v>
      </c>
      <c r="B20" s="52" t="s">
        <v>45</v>
      </c>
      <c r="C20" s="54">
        <f>C6*C45</f>
        <v>170065</v>
      </c>
      <c r="D20" s="54">
        <f t="shared" ref="D20:H20" si="13">D6*D45</f>
        <v>406350</v>
      </c>
      <c r="E20" s="54">
        <f t="shared" si="13"/>
        <v>195649.99999999997</v>
      </c>
      <c r="F20" s="54">
        <f t="shared" si="13"/>
        <v>0</v>
      </c>
      <c r="G20" s="54">
        <f t="shared" si="13"/>
        <v>0</v>
      </c>
      <c r="H20" s="54">
        <f t="shared" si="13"/>
        <v>0</v>
      </c>
      <c r="I20" s="54">
        <f>SUM(C20:H20)</f>
        <v>772065</v>
      </c>
      <c r="T20" s="52" t="s">
        <v>45</v>
      </c>
      <c r="AJ20" s="52" t="s">
        <v>46</v>
      </c>
      <c r="AK20" s="52" t="s">
        <v>45</v>
      </c>
    </row>
    <row r="21" spans="1:38">
      <c r="A21" s="159">
        <v>15</v>
      </c>
      <c r="B21" s="52" t="s">
        <v>47</v>
      </c>
      <c r="C21" s="59">
        <f>$I$21/$I$6*C6</f>
        <v>17680.981595092024</v>
      </c>
      <c r="D21" s="59">
        <f t="shared" ref="D21:H21" si="14">$I$21/$I$6*D6</f>
        <v>17680.981595092024</v>
      </c>
      <c r="E21" s="59">
        <f t="shared" si="14"/>
        <v>17680.981595092024</v>
      </c>
      <c r="F21" s="59">
        <f t="shared" si="14"/>
        <v>0</v>
      </c>
      <c r="G21" s="59">
        <f t="shared" si="14"/>
        <v>0</v>
      </c>
      <c r="H21" s="59">
        <f t="shared" si="14"/>
        <v>0</v>
      </c>
      <c r="I21" s="54">
        <f>项目投资!F27</f>
        <v>53042.944785276071</v>
      </c>
      <c r="T21" s="52" t="s">
        <v>47</v>
      </c>
      <c r="AJ21" s="52"/>
      <c r="AK21" s="52"/>
    </row>
    <row r="22" spans="1:38">
      <c r="A22" s="159">
        <v>16</v>
      </c>
      <c r="B22" s="52" t="s">
        <v>48</v>
      </c>
      <c r="C22" s="54">
        <f>C6*C47</f>
        <v>130514.99999999999</v>
      </c>
      <c r="D22" s="54">
        <f t="shared" ref="D22:H22" si="15">D6*D47</f>
        <v>311850</v>
      </c>
      <c r="E22" s="54">
        <f t="shared" si="15"/>
        <v>150150</v>
      </c>
      <c r="F22" s="54">
        <f t="shared" si="15"/>
        <v>0</v>
      </c>
      <c r="G22" s="54">
        <f t="shared" si="15"/>
        <v>0</v>
      </c>
      <c r="H22" s="54">
        <f t="shared" si="15"/>
        <v>0</v>
      </c>
      <c r="I22" s="54">
        <f>SUM(C22:H22)</f>
        <v>592515</v>
      </c>
      <c r="T22" s="52" t="s">
        <v>48</v>
      </c>
      <c r="AJ22" s="52" t="s">
        <v>49</v>
      </c>
      <c r="AK22" s="52" t="s">
        <v>48</v>
      </c>
    </row>
    <row r="23" spans="1:38">
      <c r="A23" s="159">
        <v>17</v>
      </c>
      <c r="B23" s="55" t="s">
        <v>50</v>
      </c>
      <c r="C23" s="59">
        <f>+C22+C21+C20+C19+C17</f>
        <v>669382.73006134969</v>
      </c>
      <c r="D23" s="59">
        <f t="shared" ref="D23:H23" si="16">+D22+D21+D20+D19+D17</f>
        <v>1519537.7300613497</v>
      </c>
      <c r="E23" s="59">
        <f t="shared" si="16"/>
        <v>761437.73006134969</v>
      </c>
      <c r="F23" s="59">
        <f t="shared" si="16"/>
        <v>0</v>
      </c>
      <c r="G23" s="59">
        <f t="shared" si="16"/>
        <v>0</v>
      </c>
      <c r="H23" s="59">
        <f t="shared" si="16"/>
        <v>0</v>
      </c>
      <c r="I23" s="59">
        <f t="shared" ref="I23" si="17">+I22+I21+I20+I19+I17</f>
        <v>2950358.1901840493</v>
      </c>
      <c r="T23" s="55" t="s">
        <v>50</v>
      </c>
      <c r="AJ23" s="52" t="s">
        <v>51</v>
      </c>
      <c r="AK23" s="55" t="s">
        <v>50</v>
      </c>
    </row>
    <row r="24" spans="1:38">
      <c r="A24" s="159">
        <v>18</v>
      </c>
      <c r="B24" s="60" t="s">
        <v>52</v>
      </c>
      <c r="C24" s="59">
        <f>+C15-C23</f>
        <v>188792.41993865068</v>
      </c>
      <c r="D24" s="59">
        <f t="shared" ref="D24:H24" si="18">+D15-D23</f>
        <v>-193177.35006135073</v>
      </c>
      <c r="E24" s="59">
        <f t="shared" si="18"/>
        <v>-488721.84006134816</v>
      </c>
      <c r="F24" s="59">
        <f t="shared" si="18"/>
        <v>0</v>
      </c>
      <c r="G24" s="59">
        <f t="shared" si="18"/>
        <v>0</v>
      </c>
      <c r="H24" s="59">
        <f t="shared" si="18"/>
        <v>0</v>
      </c>
      <c r="I24" s="59">
        <f t="shared" ref="I24" si="19">+I15-I23</f>
        <v>-493106.77018404845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159">
        <v>19</v>
      </c>
      <c r="B25" s="52" t="s">
        <v>145</v>
      </c>
      <c r="C25" s="59">
        <f>IF(C24&lt;0,0,C24*0.25)</f>
        <v>47198.10498466267</v>
      </c>
      <c r="D25" s="59">
        <f>IF(D24&lt;0,0,D24*0.15)</f>
        <v>0</v>
      </c>
      <c r="E25" s="59">
        <f t="shared" ref="E25:I25" si="20">IF(E24&lt;0,0,E24*0.25)</f>
        <v>0</v>
      </c>
      <c r="F25" s="59">
        <f>IF(F24&lt;0,0,F24*0.15)</f>
        <v>0</v>
      </c>
      <c r="G25" s="59">
        <f t="shared" si="20"/>
        <v>0</v>
      </c>
      <c r="H25" s="59">
        <f t="shared" si="20"/>
        <v>0</v>
      </c>
      <c r="I25" s="59">
        <f t="shared" si="20"/>
        <v>0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159">
        <v>20</v>
      </c>
      <c r="B26" s="52" t="s">
        <v>56</v>
      </c>
      <c r="C26" s="59">
        <f t="shared" ref="C26:H26" si="21">C24-C25</f>
        <v>141594.31495398801</v>
      </c>
      <c r="D26" s="59">
        <f t="shared" si="21"/>
        <v>-193177.35006135073</v>
      </c>
      <c r="E26" s="59">
        <f t="shared" si="21"/>
        <v>-488721.84006134816</v>
      </c>
      <c r="F26" s="59">
        <f t="shared" si="21"/>
        <v>0</v>
      </c>
      <c r="G26" s="59">
        <f t="shared" si="21"/>
        <v>0</v>
      </c>
      <c r="H26" s="59">
        <f t="shared" si="21"/>
        <v>0</v>
      </c>
      <c r="I26" s="54">
        <f>+SUM(C26:H26)</f>
        <v>-540304.87516871095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159">
        <v>21</v>
      </c>
      <c r="B27" s="52" t="s">
        <v>60</v>
      </c>
      <c r="C27" s="61">
        <f t="shared" ref="C27:I27" si="22">C26/C7</f>
        <v>2.5060940699820886E-2</v>
      </c>
      <c r="D27" s="61">
        <f t="shared" ref="D27:H27" si="23">D26/D7</f>
        <v>-1.4309433337877831E-2</v>
      </c>
      <c r="E27" s="61">
        <f t="shared" si="23"/>
        <v>-7.5187975394053558E-2</v>
      </c>
      <c r="F27" s="61" t="e">
        <f t="shared" si="23"/>
        <v>#DIV/0!</v>
      </c>
      <c r="G27" s="61" t="e">
        <f t="shared" si="23"/>
        <v>#DIV/0!</v>
      </c>
      <c r="H27" s="61" t="e">
        <f t="shared" si="23"/>
        <v>#DIV/0!</v>
      </c>
      <c r="I27" s="61">
        <f t="shared" si="22"/>
        <v>-2.1064517550437072E-2</v>
      </c>
      <c r="J27" s="181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159">
        <v>1</v>
      </c>
      <c r="B31" s="57" t="s">
        <v>65</v>
      </c>
      <c r="C31" s="63">
        <f>销量!C8</f>
        <v>565</v>
      </c>
      <c r="D31" s="63">
        <f>销量!D8</f>
        <v>1350</v>
      </c>
      <c r="E31" s="63">
        <f>销量!E8</f>
        <v>650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159">
        <v>2</v>
      </c>
      <c r="B32" s="52" t="s">
        <v>147</v>
      </c>
      <c r="C32" s="54">
        <f>C9/C6</f>
        <v>531.60850000000005</v>
      </c>
      <c r="D32" s="54">
        <f t="shared" ref="D32:H32" si="24">D9/D6</f>
        <v>1270.2149999999999</v>
      </c>
      <c r="E32" s="54">
        <f t="shared" si="24"/>
        <v>611.58500000000004</v>
      </c>
      <c r="F32" s="54" t="e">
        <f t="shared" si="24"/>
        <v>#DIV/0!</v>
      </c>
      <c r="G32" s="54" t="e">
        <f t="shared" si="24"/>
        <v>#DIV/0!</v>
      </c>
      <c r="H32" s="54" t="e">
        <f t="shared" si="24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59">
        <v>3</v>
      </c>
      <c r="B33" s="57" t="s">
        <v>66</v>
      </c>
      <c r="C33" s="54">
        <f>材料成本!G18</f>
        <v>420.25298499999997</v>
      </c>
      <c r="D33" s="54">
        <f>材料成本!G19</f>
        <v>1076.5589620000001</v>
      </c>
      <c r="E33" s="54">
        <f>材料成本!G20</f>
        <v>554.93341099999986</v>
      </c>
      <c r="F33" s="54">
        <f>材料成本!G21</f>
        <v>0</v>
      </c>
      <c r="G33" s="54">
        <f>材料成本!G22</f>
        <v>0</v>
      </c>
      <c r="H33" s="54"/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159">
        <v>4</v>
      </c>
      <c r="B34" s="52" t="s">
        <v>68</v>
      </c>
      <c r="C34" s="64">
        <f>C32-C33</f>
        <v>111.35551500000008</v>
      </c>
      <c r="D34" s="64">
        <f t="shared" ref="D34:H34" si="25">D32-D33</f>
        <v>193.65603799999985</v>
      </c>
      <c r="E34" s="64">
        <f t="shared" si="25"/>
        <v>56.651589000000172</v>
      </c>
      <c r="F34" s="64" t="e">
        <f t="shared" si="25"/>
        <v>#DIV/0!</v>
      </c>
      <c r="G34" s="64" t="e">
        <f t="shared" si="25"/>
        <v>#DIV/0!</v>
      </c>
      <c r="H34" s="64" t="e">
        <f t="shared" si="25"/>
        <v>#DIV/0!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159">
        <v>1</v>
      </c>
      <c r="B36" s="52" t="s">
        <v>71</v>
      </c>
      <c r="C36" s="58">
        <f>'2023年'!C36</f>
        <v>8.8704999999999998</v>
      </c>
      <c r="D36" s="58">
        <f>'2023年'!D36</f>
        <v>21.194999999999997</v>
      </c>
      <c r="E36" s="58">
        <f>'2023年'!E36</f>
        <v>10.204999999999998</v>
      </c>
      <c r="F36" s="58">
        <f>'2023年'!F36</f>
        <v>0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159">
        <v>2</v>
      </c>
      <c r="B37" s="52" t="s">
        <v>72</v>
      </c>
      <c r="C37" s="58">
        <f>'2023年'!C37</f>
        <v>2.1469999999999998</v>
      </c>
      <c r="D37" s="58">
        <f>'2023年'!D37</f>
        <v>5.13</v>
      </c>
      <c r="E37" s="58">
        <f>'2023年'!E37</f>
        <v>2.4700000000000002</v>
      </c>
      <c r="F37" s="58">
        <f>'2023年'!F37</f>
        <v>0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159">
        <v>3</v>
      </c>
      <c r="B38" s="52" t="s">
        <v>73</v>
      </c>
      <c r="C38" s="58">
        <f>'2023年'!C38</f>
        <v>14.5205</v>
      </c>
      <c r="D38" s="58">
        <f>'2023年'!D38</f>
        <v>34.695</v>
      </c>
      <c r="E38" s="58">
        <f>'2023年'!E38</f>
        <v>16.705000000000002</v>
      </c>
      <c r="F38" s="58">
        <f>'2023年'!F38</f>
        <v>0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159">
        <v>1</v>
      </c>
      <c r="B40" s="52" t="s">
        <v>77</v>
      </c>
      <c r="C40" s="59">
        <f>C34-C36-C37-C38</f>
        <v>85.817515000000085</v>
      </c>
      <c r="D40" s="59">
        <f t="shared" ref="D40:H40" si="26">D34-D36-D37-D38</f>
        <v>132.63603799999987</v>
      </c>
      <c r="E40" s="59">
        <f t="shared" si="26"/>
        <v>27.271589000000173</v>
      </c>
      <c r="F40" s="59" t="e">
        <f t="shared" si="26"/>
        <v>#DIV/0!</v>
      </c>
      <c r="G40" s="59" t="e">
        <f t="shared" si="26"/>
        <v>#DIV/0!</v>
      </c>
      <c r="H40" s="59" t="e">
        <f t="shared" si="26"/>
        <v>#DIV/0!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159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159">
        <v>1</v>
      </c>
      <c r="B43" s="60" t="s">
        <v>81</v>
      </c>
      <c r="C43" s="58">
        <f>'2023年'!C43</f>
        <v>26.894000000000002</v>
      </c>
      <c r="D43" s="58">
        <f>'2023年'!D43</f>
        <v>64.260000000000005</v>
      </c>
      <c r="E43" s="58">
        <f>'2023年'!E43</f>
        <v>30.94</v>
      </c>
      <c r="F43" s="58">
        <f>'2023年'!F43</f>
        <v>0</v>
      </c>
      <c r="G43" s="58">
        <f>'2023年'!G43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159">
        <v>2</v>
      </c>
      <c r="B44" s="60" t="s">
        <v>82</v>
      </c>
      <c r="C44" s="58">
        <f>'2023年'!C44</f>
        <v>4.2374999999999998</v>
      </c>
      <c r="D44" s="58">
        <f>'2023年'!D44</f>
        <v>10.125</v>
      </c>
      <c r="E44" s="58">
        <f>'2023年'!E44</f>
        <v>4.875</v>
      </c>
      <c r="F44" s="58">
        <f>'2023年'!F44</f>
        <v>0</v>
      </c>
      <c r="G44" s="58">
        <f>'2023年'!G44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159">
        <v>3</v>
      </c>
      <c r="B45" s="60" t="s">
        <v>83</v>
      </c>
      <c r="C45" s="58">
        <f>'2023年'!C45</f>
        <v>17.006499999999999</v>
      </c>
      <c r="D45" s="58">
        <f>'2023年'!D45</f>
        <v>40.634999999999998</v>
      </c>
      <c r="E45" s="58">
        <f>'2023年'!E45</f>
        <v>19.564999999999998</v>
      </c>
      <c r="F45" s="58">
        <f>'2023年'!F45</f>
        <v>0</v>
      </c>
      <c r="G45" s="58">
        <f>'2023年'!G45</f>
        <v>0</v>
      </c>
      <c r="H45" s="58"/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159">
        <v>4</v>
      </c>
      <c r="B46" s="60" t="s">
        <v>84</v>
      </c>
      <c r="C46" s="65">
        <f>C21/C6</f>
        <v>1.7680981595092025</v>
      </c>
      <c r="D46" s="65">
        <f t="shared" ref="D46:H46" si="27">D21/D6</f>
        <v>1.7680981595092025</v>
      </c>
      <c r="E46" s="65">
        <f t="shared" si="27"/>
        <v>1.7680981595092025</v>
      </c>
      <c r="F46" s="65" t="e">
        <f t="shared" si="27"/>
        <v>#DIV/0!</v>
      </c>
      <c r="G46" s="65" t="e">
        <f t="shared" si="27"/>
        <v>#DIV/0!</v>
      </c>
      <c r="H46" s="65" t="e">
        <f t="shared" si="27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159">
        <v>5</v>
      </c>
      <c r="B47" s="60" t="s">
        <v>86</v>
      </c>
      <c r="C47" s="58">
        <f>'2023年'!C47</f>
        <v>13.051499999999999</v>
      </c>
      <c r="D47" s="58">
        <f>'2023年'!D47</f>
        <v>31.184999999999999</v>
      </c>
      <c r="E47" s="58">
        <f>'2023年'!E47</f>
        <v>15.014999999999999</v>
      </c>
      <c r="F47" s="58">
        <f>'2023年'!F47</f>
        <v>0</v>
      </c>
      <c r="G47" s="58">
        <f>'2023年'!G47</f>
        <v>0</v>
      </c>
      <c r="H47" s="65"/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22.859916840490882</v>
      </c>
      <c r="D48" s="59">
        <f t="shared" ref="D48:H48" si="28">D40-D43-D44-D45-D47-D46</f>
        <v>-15.337060159509333</v>
      </c>
      <c r="E48" s="59">
        <f t="shared" si="28"/>
        <v>-44.891509159509027</v>
      </c>
      <c r="F48" s="59" t="e">
        <f t="shared" si="28"/>
        <v>#DIV/0!</v>
      </c>
      <c r="G48" s="59" t="e">
        <f t="shared" si="28"/>
        <v>#DIV/0!</v>
      </c>
      <c r="H48" s="59" t="e">
        <f t="shared" si="28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2" sqref="I22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7" t="s">
        <v>137</v>
      </c>
      <c r="B1" s="217"/>
      <c r="C1" s="221" t="s">
        <v>258</v>
      </c>
      <c r="D1" s="222"/>
      <c r="E1" s="222"/>
      <c r="F1" s="222"/>
      <c r="G1" s="222"/>
      <c r="H1" s="222"/>
      <c r="I1" s="223"/>
    </row>
    <row r="2" spans="1:38">
      <c r="A2" s="217" t="s">
        <v>138</v>
      </c>
      <c r="B2" s="217"/>
      <c r="C2" s="225" t="str">
        <f>'2023年'!C2:I2</f>
        <v>一汽解放</v>
      </c>
      <c r="D2" s="226"/>
      <c r="E2" s="226"/>
      <c r="F2" s="226"/>
      <c r="G2" s="226"/>
      <c r="H2" s="226"/>
      <c r="I2" s="227"/>
    </row>
    <row r="3" spans="1:38">
      <c r="A3" s="217" t="s">
        <v>139</v>
      </c>
      <c r="B3" s="217"/>
      <c r="C3" s="160" t="str">
        <f>销量!C5</f>
        <v>前座总成</v>
      </c>
      <c r="D3" s="160" t="str">
        <f>销量!D5</f>
        <v>驾驶员总成</v>
      </c>
      <c r="E3" s="160" t="str">
        <f>销量!E5</f>
        <v>前座总成</v>
      </c>
      <c r="F3" s="160">
        <f>销量!F5</f>
        <v>0</v>
      </c>
      <c r="G3" s="160">
        <f>销量!G5</f>
        <v>0</v>
      </c>
      <c r="H3" s="160">
        <f>销量!H5</f>
        <v>0</v>
      </c>
      <c r="I3" s="218" t="s">
        <v>15</v>
      </c>
    </row>
    <row r="4" spans="1:38" ht="16.5" customHeight="1">
      <c r="A4" s="217" t="s">
        <v>140</v>
      </c>
      <c r="B4" s="217"/>
      <c r="C4" s="160" t="str">
        <f>销量!C6</f>
        <v>6900010WH43-C00/A</v>
      </c>
      <c r="D4" s="160" t="str">
        <f>销量!D6</f>
        <v>6800010WH43-C00/A</v>
      </c>
      <c r="E4" s="160" t="str">
        <f>销量!E6</f>
        <v>6900010JH13-C00/A</v>
      </c>
      <c r="F4" s="160">
        <f>销量!F6</f>
        <v>0</v>
      </c>
      <c r="G4" s="160">
        <f>销量!G6</f>
        <v>0</v>
      </c>
      <c r="H4" s="160">
        <f>销量!H6</f>
        <v>0</v>
      </c>
      <c r="I4" s="219"/>
    </row>
    <row r="5" spans="1:38">
      <c r="A5" s="217" t="s">
        <v>141</v>
      </c>
      <c r="B5" s="217"/>
      <c r="C5" s="51"/>
      <c r="D5" s="51"/>
      <c r="E5" s="51"/>
      <c r="F5" s="51"/>
      <c r="G5" s="51"/>
      <c r="H5" s="51"/>
      <c r="I5" s="220"/>
      <c r="AL5" s="48" t="s">
        <v>16</v>
      </c>
    </row>
    <row r="6" spans="1:38" ht="17.25">
      <c r="A6" s="52" t="s">
        <v>14</v>
      </c>
      <c r="B6" s="53" t="s">
        <v>142</v>
      </c>
      <c r="C6" s="21">
        <f>销量!C12</f>
        <v>10000</v>
      </c>
      <c r="D6" s="21">
        <f>销量!D12</f>
        <v>10000</v>
      </c>
      <c r="E6" s="21">
        <f>销量!E12</f>
        <v>10000</v>
      </c>
      <c r="F6" s="21">
        <f>销量!F12</f>
        <v>0</v>
      </c>
      <c r="G6" s="21">
        <f>销量!G12</f>
        <v>0</v>
      </c>
      <c r="H6" s="21">
        <f>销量!H12</f>
        <v>0</v>
      </c>
      <c r="I6" s="54">
        <f>SUM(C6:H6)</f>
        <v>30000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159">
        <v>1</v>
      </c>
      <c r="B7" s="53" t="s">
        <v>18</v>
      </c>
      <c r="C7" s="54">
        <f>C6*销量!C8</f>
        <v>5650000</v>
      </c>
      <c r="D7" s="54">
        <f>D6*销量!D8</f>
        <v>13500000</v>
      </c>
      <c r="E7" s="54">
        <f>E6*销量!E8</f>
        <v>6500000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 t="shared" ref="I7:I17" si="0">SUM(C7:H7)</f>
        <v>25650000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159">
        <v>2</v>
      </c>
      <c r="B8" s="159" t="s">
        <v>20</v>
      </c>
      <c r="C8" s="54">
        <f>C7*(1-销量!$M$9)</f>
        <v>493397.54999999964</v>
      </c>
      <c r="D8" s="54">
        <f>D7*(1-销量!$M$9)</f>
        <v>1178914.4999999991</v>
      </c>
      <c r="E8" s="54">
        <f>E7*(1-销量!$M$9)</f>
        <v>567625.49999999953</v>
      </c>
      <c r="F8" s="54">
        <f>F7*(1-销量!$M$9)</f>
        <v>0</v>
      </c>
      <c r="G8" s="54">
        <f>G7*(1-销量!$M$9)</f>
        <v>0</v>
      </c>
      <c r="H8" s="54">
        <f>H7*(1-销量!$M$9)</f>
        <v>0</v>
      </c>
      <c r="I8" s="54">
        <f t="shared" si="0"/>
        <v>2239937.549999998</v>
      </c>
      <c r="J8" s="69"/>
      <c r="T8" s="159" t="s">
        <v>22</v>
      </c>
      <c r="AJ8" s="52" t="s">
        <v>21</v>
      </c>
      <c r="AK8" s="159" t="s">
        <v>22</v>
      </c>
      <c r="AL8" s="48" t="s">
        <v>17</v>
      </c>
    </row>
    <row r="9" spans="1:38">
      <c r="A9" s="159">
        <v>3</v>
      </c>
      <c r="B9" s="53" t="s">
        <v>23</v>
      </c>
      <c r="C9" s="54">
        <f>+C7-C8</f>
        <v>5156602.45</v>
      </c>
      <c r="D9" s="54">
        <f t="shared" ref="D9:H9" si="1">+D7-D8</f>
        <v>12321085.5</v>
      </c>
      <c r="E9" s="54">
        <f t="shared" si="1"/>
        <v>5932374.5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23410062.449999999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159">
        <v>4</v>
      </c>
      <c r="B10" s="52" t="s">
        <v>26</v>
      </c>
      <c r="C10" s="54">
        <f>C6*材料成本!H18</f>
        <v>4076453.9544999995</v>
      </c>
      <c r="D10" s="54">
        <f>D6*材料成本!H19</f>
        <v>10442621.931400001</v>
      </c>
      <c r="E10" s="54">
        <f>E6*材料成本!H20</f>
        <v>5382854.086699998</v>
      </c>
      <c r="F10" s="54">
        <f>F6*材料成本!H21</f>
        <v>0</v>
      </c>
      <c r="G10" s="54">
        <f>G6*材料成本!H22</f>
        <v>0</v>
      </c>
      <c r="H10" s="54"/>
      <c r="I10" s="54">
        <f t="shared" si="0"/>
        <v>19901929.972599998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159">
        <v>5</v>
      </c>
      <c r="B11" s="52" t="s">
        <v>29</v>
      </c>
      <c r="C11" s="54">
        <f>+C6*C36</f>
        <v>88705</v>
      </c>
      <c r="D11" s="54">
        <f t="shared" ref="D11:H11" si="2">+D6*D36</f>
        <v>211949.99999999997</v>
      </c>
      <c r="E11" s="54">
        <f t="shared" si="2"/>
        <v>102049.99999999999</v>
      </c>
      <c r="F11" s="54">
        <f t="shared" si="2"/>
        <v>0</v>
      </c>
      <c r="G11" s="54">
        <f t="shared" si="2"/>
        <v>0</v>
      </c>
      <c r="H11" s="54">
        <f t="shared" si="2"/>
        <v>0</v>
      </c>
      <c r="I11" s="54">
        <f t="shared" si="0"/>
        <v>402705</v>
      </c>
      <c r="T11" s="52" t="s">
        <v>29</v>
      </c>
      <c r="AJ11" s="52" t="s">
        <v>30</v>
      </c>
      <c r="AK11" s="52" t="s">
        <v>29</v>
      </c>
    </row>
    <row r="12" spans="1:38">
      <c r="A12" s="159">
        <v>6</v>
      </c>
      <c r="B12" s="52" t="s">
        <v>31</v>
      </c>
      <c r="C12" s="54">
        <f>+C6*C37</f>
        <v>21469.999999999996</v>
      </c>
      <c r="D12" s="54">
        <f t="shared" ref="D12:H12" si="3">+D6*D37</f>
        <v>51300</v>
      </c>
      <c r="E12" s="54">
        <f t="shared" si="3"/>
        <v>24700.000000000004</v>
      </c>
      <c r="F12" s="54">
        <f t="shared" si="3"/>
        <v>0</v>
      </c>
      <c r="G12" s="54">
        <f t="shared" si="3"/>
        <v>0</v>
      </c>
      <c r="H12" s="54">
        <f t="shared" si="3"/>
        <v>0</v>
      </c>
      <c r="I12" s="54">
        <f t="shared" si="0"/>
        <v>97470</v>
      </c>
      <c r="T12" s="52" t="s">
        <v>31</v>
      </c>
      <c r="AJ12" s="52" t="s">
        <v>32</v>
      </c>
      <c r="AK12" s="52" t="s">
        <v>31</v>
      </c>
    </row>
    <row r="13" spans="1:38">
      <c r="A13" s="159">
        <v>7</v>
      </c>
      <c r="B13" s="52" t="s">
        <v>33</v>
      </c>
      <c r="C13" s="54">
        <f>+C6*C38</f>
        <v>145205</v>
      </c>
      <c r="D13" s="54">
        <f t="shared" ref="D13:H13" si="4">+D6*D38</f>
        <v>346950</v>
      </c>
      <c r="E13" s="54">
        <f t="shared" si="4"/>
        <v>167050.00000000003</v>
      </c>
      <c r="F13" s="54">
        <f t="shared" si="4"/>
        <v>0</v>
      </c>
      <c r="G13" s="54">
        <f t="shared" si="4"/>
        <v>0</v>
      </c>
      <c r="H13" s="54">
        <f t="shared" si="4"/>
        <v>0</v>
      </c>
      <c r="I13" s="54">
        <f t="shared" si="0"/>
        <v>659205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159">
        <v>8</v>
      </c>
      <c r="B14" s="55" t="s">
        <v>35</v>
      </c>
      <c r="C14" s="54">
        <f>SUM(C11:C13)</f>
        <v>255380</v>
      </c>
      <c r="D14" s="54">
        <f t="shared" ref="D14:H14" si="5">SUM(D11:D13)</f>
        <v>610200</v>
      </c>
      <c r="E14" s="54">
        <f t="shared" si="5"/>
        <v>293800</v>
      </c>
      <c r="F14" s="54">
        <f t="shared" si="5"/>
        <v>0</v>
      </c>
      <c r="G14" s="54">
        <f t="shared" si="5"/>
        <v>0</v>
      </c>
      <c r="H14" s="54">
        <f t="shared" si="5"/>
        <v>0</v>
      </c>
      <c r="I14" s="54">
        <f t="shared" si="0"/>
        <v>1159380</v>
      </c>
      <c r="T14" s="55" t="s">
        <v>35</v>
      </c>
      <c r="AJ14" s="52" t="s">
        <v>36</v>
      </c>
      <c r="AK14" s="55" t="s">
        <v>35</v>
      </c>
    </row>
    <row r="15" spans="1:38">
      <c r="A15" s="159">
        <v>9</v>
      </c>
      <c r="B15" s="55" t="s">
        <v>37</v>
      </c>
      <c r="C15" s="54">
        <f>+C9-C10-C14</f>
        <v>824768.49550000066</v>
      </c>
      <c r="D15" s="54">
        <f t="shared" ref="D15:H15" si="6">+D9-D10-D14</f>
        <v>1268263.568599999</v>
      </c>
      <c r="E15" s="54">
        <f t="shared" si="6"/>
        <v>255720.41330000199</v>
      </c>
      <c r="F15" s="54">
        <f t="shared" si="6"/>
        <v>0</v>
      </c>
      <c r="G15" s="54">
        <f t="shared" si="6"/>
        <v>0</v>
      </c>
      <c r="H15" s="54">
        <f t="shared" si="6"/>
        <v>0</v>
      </c>
      <c r="I15" s="54">
        <f t="shared" si="0"/>
        <v>2348752.4774000016</v>
      </c>
      <c r="T15" s="55" t="s">
        <v>37</v>
      </c>
      <c r="AJ15" s="52" t="s">
        <v>38</v>
      </c>
      <c r="AK15" s="55" t="s">
        <v>37</v>
      </c>
    </row>
    <row r="16" spans="1:38">
      <c r="A16" s="159">
        <v>10</v>
      </c>
      <c r="B16" s="52" t="s">
        <v>39</v>
      </c>
      <c r="C16" s="56">
        <f>+C15/C9</f>
        <v>0.15994416934351816</v>
      </c>
      <c r="D16" s="56">
        <f t="shared" ref="D16:H16" si="7">+D15/D9</f>
        <v>0.10293440205410465</v>
      </c>
      <c r="E16" s="56">
        <f t="shared" si="7"/>
        <v>4.3105912025615034E-2</v>
      </c>
      <c r="F16" s="56" t="e">
        <f t="shared" si="7"/>
        <v>#DIV/0!</v>
      </c>
      <c r="G16" s="56" t="e">
        <f t="shared" si="7"/>
        <v>#DIV/0!</v>
      </c>
      <c r="H16" s="56" t="e">
        <f t="shared" si="7"/>
        <v>#DIV/0!</v>
      </c>
      <c r="I16" s="56">
        <f t="shared" ref="I16" si="8">+I15/I9</f>
        <v>0.10033089328217498</v>
      </c>
      <c r="T16" s="52" t="s">
        <v>39</v>
      </c>
      <c r="AJ16" s="52" t="s">
        <v>40</v>
      </c>
      <c r="AK16" s="52" t="s">
        <v>39</v>
      </c>
    </row>
    <row r="17" spans="1:38">
      <c r="A17" s="159">
        <v>11</v>
      </c>
      <c r="B17" s="52" t="s">
        <v>41</v>
      </c>
      <c r="C17" s="54">
        <f>C6*C43+C18</f>
        <v>308746.7484662577</v>
      </c>
      <c r="D17" s="54">
        <f t="shared" ref="D17:H17" si="9">D6*D43+D18</f>
        <v>682406.7484662577</v>
      </c>
      <c r="E17" s="54">
        <f t="shared" si="9"/>
        <v>349206.7484662577</v>
      </c>
      <c r="F17" s="54">
        <f t="shared" si="9"/>
        <v>0</v>
      </c>
      <c r="G17" s="54">
        <f t="shared" si="9"/>
        <v>0</v>
      </c>
      <c r="H17" s="54">
        <f t="shared" si="9"/>
        <v>0</v>
      </c>
      <c r="I17" s="54">
        <f t="shared" si="0"/>
        <v>1340360.2453987731</v>
      </c>
      <c r="J17" s="69"/>
      <c r="T17" s="52" t="s">
        <v>41</v>
      </c>
      <c r="AJ17" s="52" t="s">
        <v>42</v>
      </c>
      <c r="AK17" s="52" t="s">
        <v>41</v>
      </c>
    </row>
    <row r="18" spans="1:38" s="46" customFormat="1">
      <c r="A18" s="159">
        <v>12</v>
      </c>
      <c r="B18" s="57" t="s">
        <v>143</v>
      </c>
      <c r="C18" s="58">
        <f>$I$18/$I$6*C6</f>
        <v>39806.748466257675</v>
      </c>
      <c r="D18" s="58">
        <f t="shared" ref="D18:H18" si="10">$I$18/$I$6*D6</f>
        <v>39806.748466257675</v>
      </c>
      <c r="E18" s="58">
        <f t="shared" si="10"/>
        <v>39806.748466257675</v>
      </c>
      <c r="F18" s="58">
        <f t="shared" si="10"/>
        <v>0</v>
      </c>
      <c r="G18" s="58">
        <f t="shared" si="10"/>
        <v>0</v>
      </c>
      <c r="H18" s="58">
        <f t="shared" si="10"/>
        <v>0</v>
      </c>
      <c r="I18" s="58">
        <f>项目投资!G26</f>
        <v>119420.24539877303</v>
      </c>
      <c r="J18" s="70" t="s">
        <v>144</v>
      </c>
      <c r="K18" s="70"/>
      <c r="L18" s="70"/>
    </row>
    <row r="19" spans="1:38">
      <c r="A19" s="159">
        <v>13</v>
      </c>
      <c r="B19" s="52" t="s">
        <v>43</v>
      </c>
      <c r="C19" s="54">
        <f>C6*C44</f>
        <v>42375</v>
      </c>
      <c r="D19" s="54">
        <f t="shared" ref="D19:H19" si="11">D6*D44</f>
        <v>101250</v>
      </c>
      <c r="E19" s="54">
        <f t="shared" si="11"/>
        <v>48750</v>
      </c>
      <c r="F19" s="54">
        <f t="shared" si="11"/>
        <v>0</v>
      </c>
      <c r="G19" s="54">
        <f t="shared" si="11"/>
        <v>0</v>
      </c>
      <c r="H19" s="54">
        <f t="shared" si="11"/>
        <v>0</v>
      </c>
      <c r="I19" s="54">
        <f t="shared" ref="I19:I20" si="12">SUM(C19:H19)</f>
        <v>192375</v>
      </c>
      <c r="J19" s="46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159">
        <v>14</v>
      </c>
      <c r="B20" s="52" t="s">
        <v>45</v>
      </c>
      <c r="C20" s="54">
        <f>C6*C45</f>
        <v>170065</v>
      </c>
      <c r="D20" s="54">
        <f t="shared" ref="D20:H20" si="13">D6*D45</f>
        <v>406350</v>
      </c>
      <c r="E20" s="54">
        <f t="shared" si="13"/>
        <v>195649.99999999997</v>
      </c>
      <c r="F20" s="54">
        <f t="shared" si="13"/>
        <v>0</v>
      </c>
      <c r="G20" s="54">
        <f t="shared" si="13"/>
        <v>0</v>
      </c>
      <c r="H20" s="54">
        <f t="shared" si="13"/>
        <v>0</v>
      </c>
      <c r="I20" s="54">
        <f t="shared" si="12"/>
        <v>772065</v>
      </c>
      <c r="T20" s="52" t="s">
        <v>45</v>
      </c>
      <c r="AJ20" s="52" t="s">
        <v>46</v>
      </c>
      <c r="AK20" s="52" t="s">
        <v>45</v>
      </c>
    </row>
    <row r="21" spans="1:38">
      <c r="A21" s="159">
        <v>15</v>
      </c>
      <c r="B21" s="52" t="s">
        <v>47</v>
      </c>
      <c r="C21" s="59">
        <f>$I$21/$I$6*C6</f>
        <v>17680.981595092024</v>
      </c>
      <c r="D21" s="59">
        <f t="shared" ref="D21:H21" si="14">$I$21/$I$6*D6</f>
        <v>17680.981595092024</v>
      </c>
      <c r="E21" s="59">
        <f t="shared" si="14"/>
        <v>17680.981595092024</v>
      </c>
      <c r="F21" s="59">
        <f t="shared" si="14"/>
        <v>0</v>
      </c>
      <c r="G21" s="59">
        <f t="shared" si="14"/>
        <v>0</v>
      </c>
      <c r="H21" s="59">
        <f t="shared" si="14"/>
        <v>0</v>
      </c>
      <c r="I21" s="54">
        <f>项目投资!G27</f>
        <v>53042.944785276071</v>
      </c>
      <c r="T21" s="52" t="s">
        <v>47</v>
      </c>
      <c r="AJ21" s="52"/>
      <c r="AK21" s="52"/>
    </row>
    <row r="22" spans="1:38">
      <c r="A22" s="159">
        <v>16</v>
      </c>
      <c r="B22" s="52" t="s">
        <v>48</v>
      </c>
      <c r="C22" s="54">
        <f>C6*C47</f>
        <v>130514.99999999999</v>
      </c>
      <c r="D22" s="54">
        <f t="shared" ref="D22:H22" si="15">D6*D47</f>
        <v>311850</v>
      </c>
      <c r="E22" s="54">
        <f t="shared" si="15"/>
        <v>150150</v>
      </c>
      <c r="F22" s="54">
        <f t="shared" si="15"/>
        <v>0</v>
      </c>
      <c r="G22" s="54">
        <f t="shared" si="15"/>
        <v>0</v>
      </c>
      <c r="H22" s="54">
        <f t="shared" si="15"/>
        <v>0</v>
      </c>
      <c r="I22" s="54">
        <f t="shared" ref="I22" si="16">SUM(C22:H22)</f>
        <v>592515</v>
      </c>
      <c r="T22" s="52" t="s">
        <v>48</v>
      </c>
      <c r="AJ22" s="52" t="s">
        <v>49</v>
      </c>
      <c r="AK22" s="52" t="s">
        <v>48</v>
      </c>
    </row>
    <row r="23" spans="1:38">
      <c r="A23" s="159">
        <v>17</v>
      </c>
      <c r="B23" s="55" t="s">
        <v>50</v>
      </c>
      <c r="C23" s="59">
        <f>+C22+C21+C20+C19+C17</f>
        <v>669382.73006134969</v>
      </c>
      <c r="D23" s="59">
        <f t="shared" ref="D23:H23" si="17">+D22+D21+D20+D19+D17</f>
        <v>1519537.7300613497</v>
      </c>
      <c r="E23" s="59">
        <f t="shared" si="17"/>
        <v>761437.73006134969</v>
      </c>
      <c r="F23" s="59">
        <f t="shared" si="17"/>
        <v>0</v>
      </c>
      <c r="G23" s="59">
        <f t="shared" si="17"/>
        <v>0</v>
      </c>
      <c r="H23" s="59">
        <f t="shared" si="17"/>
        <v>0</v>
      </c>
      <c r="I23" s="59">
        <f t="shared" ref="I23" si="18">+I22+I21+I20+I19+I17</f>
        <v>2950358.1901840493</v>
      </c>
      <c r="T23" s="55" t="s">
        <v>50</v>
      </c>
      <c r="AJ23" s="52" t="s">
        <v>51</v>
      </c>
      <c r="AK23" s="55" t="s">
        <v>50</v>
      </c>
    </row>
    <row r="24" spans="1:38">
      <c r="A24" s="159">
        <v>18</v>
      </c>
      <c r="B24" s="60" t="s">
        <v>52</v>
      </c>
      <c r="C24" s="59">
        <f>+C15-C23</f>
        <v>155385.76543865097</v>
      </c>
      <c r="D24" s="59">
        <f t="shared" ref="D24:H24" si="19">+D15-D23</f>
        <v>-251274.16146135074</v>
      </c>
      <c r="E24" s="59">
        <f t="shared" si="19"/>
        <v>-505717.3167613477</v>
      </c>
      <c r="F24" s="59">
        <f t="shared" si="19"/>
        <v>0</v>
      </c>
      <c r="G24" s="59">
        <f t="shared" si="19"/>
        <v>0</v>
      </c>
      <c r="H24" s="59">
        <f t="shared" si="19"/>
        <v>0</v>
      </c>
      <c r="I24" s="59">
        <f t="shared" ref="I24" si="20">+I15-I23</f>
        <v>-601605.7127840477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159">
        <v>19</v>
      </c>
      <c r="B25" s="52" t="s">
        <v>145</v>
      </c>
      <c r="C25" s="59">
        <f>IF(C24&lt;0,0,C24*0.25)</f>
        <v>38846.441359662742</v>
      </c>
      <c r="D25" s="59">
        <f t="shared" ref="D25:I25" si="21">IF(D24&lt;0,0,D24*0.25)</f>
        <v>0</v>
      </c>
      <c r="E25" s="59">
        <f t="shared" si="21"/>
        <v>0</v>
      </c>
      <c r="F25" s="59">
        <f t="shared" si="21"/>
        <v>0</v>
      </c>
      <c r="G25" s="59">
        <f t="shared" si="21"/>
        <v>0</v>
      </c>
      <c r="H25" s="59">
        <f t="shared" si="21"/>
        <v>0</v>
      </c>
      <c r="I25" s="59">
        <f t="shared" si="21"/>
        <v>0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159">
        <v>20</v>
      </c>
      <c r="B26" s="52" t="s">
        <v>56</v>
      </c>
      <c r="C26" s="59">
        <f t="shared" ref="C26:H26" si="22">C24-C25</f>
        <v>116539.32407898823</v>
      </c>
      <c r="D26" s="59">
        <f t="shared" si="22"/>
        <v>-251274.16146135074</v>
      </c>
      <c r="E26" s="59">
        <f t="shared" si="22"/>
        <v>-505717.3167613477</v>
      </c>
      <c r="F26" s="59">
        <f t="shared" si="22"/>
        <v>0</v>
      </c>
      <c r="G26" s="59">
        <f t="shared" si="22"/>
        <v>0</v>
      </c>
      <c r="H26" s="59">
        <f t="shared" si="22"/>
        <v>0</v>
      </c>
      <c r="I26" s="54">
        <f>+SUM(C26:H26)</f>
        <v>-640452.15414371016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159">
        <v>21</v>
      </c>
      <c r="B27" s="52" t="s">
        <v>60</v>
      </c>
      <c r="C27" s="61">
        <f t="shared" ref="C27:I27" si="23">C26/C7</f>
        <v>2.0626429040528891E-2</v>
      </c>
      <c r="D27" s="61">
        <f t="shared" ref="D27:H27" si="24">D26/D7</f>
        <v>-1.8612900848988943E-2</v>
      </c>
      <c r="E27" s="61">
        <f t="shared" si="24"/>
        <v>-7.780266411713041E-2</v>
      </c>
      <c r="F27" s="61" t="e">
        <f t="shared" si="24"/>
        <v>#DIV/0!</v>
      </c>
      <c r="G27" s="61" t="e">
        <f t="shared" si="24"/>
        <v>#DIV/0!</v>
      </c>
      <c r="H27" s="61" t="e">
        <f t="shared" si="24"/>
        <v>#DIV/0!</v>
      </c>
      <c r="I27" s="61">
        <f t="shared" si="23"/>
        <v>-2.496889489839026E-2</v>
      </c>
      <c r="J27" s="67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159">
        <v>1</v>
      </c>
      <c r="B31" s="57" t="s">
        <v>65</v>
      </c>
      <c r="C31" s="63">
        <f>销量!C8</f>
        <v>565</v>
      </c>
      <c r="D31" s="63">
        <f>销量!D8</f>
        <v>1350</v>
      </c>
      <c r="E31" s="63">
        <f>销量!E8</f>
        <v>650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159">
        <v>2</v>
      </c>
      <c r="B32" s="52" t="s">
        <v>147</v>
      </c>
      <c r="C32" s="54">
        <f>C9/C6</f>
        <v>515.66024500000003</v>
      </c>
      <c r="D32" s="54">
        <f t="shared" ref="D32:H32" si="25">D9/D6</f>
        <v>1232.1085499999999</v>
      </c>
      <c r="E32" s="54">
        <f t="shared" si="25"/>
        <v>593.23744999999997</v>
      </c>
      <c r="F32" s="54" t="e">
        <f t="shared" si="25"/>
        <v>#DIV/0!</v>
      </c>
      <c r="G32" s="54" t="e">
        <f t="shared" si="25"/>
        <v>#DIV/0!</v>
      </c>
      <c r="H32" s="54" t="e">
        <f t="shared" si="25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59">
        <v>3</v>
      </c>
      <c r="B33" s="57" t="s">
        <v>66</v>
      </c>
      <c r="C33" s="54">
        <f>材料成本!H18</f>
        <v>407.64539544999997</v>
      </c>
      <c r="D33" s="54">
        <f>材料成本!H19</f>
        <v>1044.2621931400001</v>
      </c>
      <c r="E33" s="54">
        <f>材料成本!H20</f>
        <v>538.28540866999981</v>
      </c>
      <c r="F33" s="54">
        <f>材料成本!H21</f>
        <v>0</v>
      </c>
      <c r="G33" s="54">
        <f>材料成本!H22</f>
        <v>0</v>
      </c>
      <c r="H33" s="54"/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159">
        <v>4</v>
      </c>
      <c r="B34" s="52" t="s">
        <v>68</v>
      </c>
      <c r="C34" s="64">
        <f>C32-C33</f>
        <v>108.01484955000006</v>
      </c>
      <c r="D34" s="64">
        <f t="shared" ref="D34:H34" si="26">D32-D33</f>
        <v>187.84635685999979</v>
      </c>
      <c r="E34" s="64">
        <f t="shared" si="26"/>
        <v>54.952041330000156</v>
      </c>
      <c r="F34" s="64" t="e">
        <f t="shared" si="26"/>
        <v>#DIV/0!</v>
      </c>
      <c r="G34" s="64" t="e">
        <f t="shared" si="26"/>
        <v>#DIV/0!</v>
      </c>
      <c r="H34" s="64" t="e">
        <f t="shared" si="26"/>
        <v>#DIV/0!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159">
        <v>1</v>
      </c>
      <c r="B36" s="52" t="s">
        <v>71</v>
      </c>
      <c r="C36" s="58">
        <f>'2023年'!C36</f>
        <v>8.8704999999999998</v>
      </c>
      <c r="D36" s="58">
        <f>'2023年'!D36</f>
        <v>21.194999999999997</v>
      </c>
      <c r="E36" s="58">
        <f>'2023年'!E36</f>
        <v>10.204999999999998</v>
      </c>
      <c r="F36" s="58">
        <f>'2023年'!F36</f>
        <v>0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159">
        <v>2</v>
      </c>
      <c r="B37" s="52" t="s">
        <v>72</v>
      </c>
      <c r="C37" s="58">
        <f>'2023年'!C37</f>
        <v>2.1469999999999998</v>
      </c>
      <c r="D37" s="58">
        <f>'2023年'!D37</f>
        <v>5.13</v>
      </c>
      <c r="E37" s="58">
        <f>'2023年'!E37</f>
        <v>2.4700000000000002</v>
      </c>
      <c r="F37" s="58">
        <f>'2023年'!F37</f>
        <v>0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159">
        <v>3</v>
      </c>
      <c r="B38" s="52" t="s">
        <v>73</v>
      </c>
      <c r="C38" s="58">
        <f>'2023年'!C38</f>
        <v>14.5205</v>
      </c>
      <c r="D38" s="58">
        <f>'2023年'!D38</f>
        <v>34.695</v>
      </c>
      <c r="E38" s="58">
        <f>'2023年'!E38</f>
        <v>16.705000000000002</v>
      </c>
      <c r="F38" s="58">
        <f>'2023年'!F38</f>
        <v>0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159">
        <v>1</v>
      </c>
      <c r="B40" s="52" t="s">
        <v>77</v>
      </c>
      <c r="C40" s="59">
        <f>C34-C36-C37-C38</f>
        <v>82.476849550000068</v>
      </c>
      <c r="D40" s="59">
        <f t="shared" ref="D40:H40" si="27">D34-D36-D37-D38</f>
        <v>126.82635685999981</v>
      </c>
      <c r="E40" s="59">
        <f t="shared" si="27"/>
        <v>25.572041330000157</v>
      </c>
      <c r="F40" s="59" t="e">
        <f t="shared" si="27"/>
        <v>#DIV/0!</v>
      </c>
      <c r="G40" s="59" t="e">
        <f t="shared" si="27"/>
        <v>#DIV/0!</v>
      </c>
      <c r="H40" s="59" t="e">
        <f t="shared" si="27"/>
        <v>#DIV/0!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159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159">
        <v>1</v>
      </c>
      <c r="B43" s="60" t="s">
        <v>81</v>
      </c>
      <c r="C43" s="58">
        <f>'2023年'!C43</f>
        <v>26.894000000000002</v>
      </c>
      <c r="D43" s="58">
        <f>'2023年'!D43</f>
        <v>64.260000000000005</v>
      </c>
      <c r="E43" s="58">
        <f>'2023年'!E43</f>
        <v>30.94</v>
      </c>
      <c r="F43" s="58">
        <f>'2023年'!F43</f>
        <v>0</v>
      </c>
      <c r="G43" s="58">
        <f>'2023年'!G43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159">
        <v>2</v>
      </c>
      <c r="B44" s="60" t="s">
        <v>82</v>
      </c>
      <c r="C44" s="58">
        <f>'2023年'!C44</f>
        <v>4.2374999999999998</v>
      </c>
      <c r="D44" s="58">
        <f>'2023年'!D44</f>
        <v>10.125</v>
      </c>
      <c r="E44" s="58">
        <f>'2023年'!E44</f>
        <v>4.875</v>
      </c>
      <c r="F44" s="58">
        <f>'2023年'!F44</f>
        <v>0</v>
      </c>
      <c r="G44" s="58">
        <f>'2023年'!G44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159">
        <v>3</v>
      </c>
      <c r="B45" s="60" t="s">
        <v>83</v>
      </c>
      <c r="C45" s="58">
        <f>'2023年'!C45</f>
        <v>17.006499999999999</v>
      </c>
      <c r="D45" s="58">
        <f>'2023年'!D45</f>
        <v>40.634999999999998</v>
      </c>
      <c r="E45" s="58">
        <f>'2023年'!E45</f>
        <v>19.564999999999998</v>
      </c>
      <c r="F45" s="58">
        <f>'2023年'!F45</f>
        <v>0</v>
      </c>
      <c r="G45" s="58">
        <f>'2023年'!G45</f>
        <v>0</v>
      </c>
      <c r="H45" s="58"/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159">
        <v>4</v>
      </c>
      <c r="B46" s="60" t="s">
        <v>84</v>
      </c>
      <c r="C46" s="65">
        <f>C21/C6</f>
        <v>1.7680981595092025</v>
      </c>
      <c r="D46" s="65">
        <f t="shared" ref="D46:H46" si="28">D21/D6</f>
        <v>1.7680981595092025</v>
      </c>
      <c r="E46" s="65">
        <f t="shared" si="28"/>
        <v>1.7680981595092025</v>
      </c>
      <c r="F46" s="65" t="e">
        <f t="shared" si="28"/>
        <v>#DIV/0!</v>
      </c>
      <c r="G46" s="65" t="e">
        <f t="shared" si="28"/>
        <v>#DIV/0!</v>
      </c>
      <c r="H46" s="65" t="e">
        <f t="shared" si="28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159">
        <v>5</v>
      </c>
      <c r="B47" s="60" t="s">
        <v>86</v>
      </c>
      <c r="C47" s="58">
        <f>'2023年'!C47</f>
        <v>13.051499999999999</v>
      </c>
      <c r="D47" s="58">
        <f>'2023年'!D47</f>
        <v>31.184999999999999</v>
      </c>
      <c r="E47" s="58">
        <f>'2023年'!E47</f>
        <v>15.014999999999999</v>
      </c>
      <c r="F47" s="58">
        <f>'2023年'!F47</f>
        <v>0</v>
      </c>
      <c r="G47" s="58">
        <f>'2023年'!G47</f>
        <v>0</v>
      </c>
      <c r="H47" s="65"/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19.519251390490865</v>
      </c>
      <c r="D48" s="59">
        <f t="shared" ref="D48:H48" si="29">D40-D43-D44-D45-D47-D46</f>
        <v>-21.146741299509401</v>
      </c>
      <c r="E48" s="59">
        <f t="shared" si="29"/>
        <v>-46.591056829509043</v>
      </c>
      <c r="F48" s="59" t="e">
        <f t="shared" si="29"/>
        <v>#DIV/0!</v>
      </c>
      <c r="G48" s="59" t="e">
        <f t="shared" si="29"/>
        <v>#DIV/0!</v>
      </c>
      <c r="H48" s="59" t="e">
        <f t="shared" si="29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4" activePane="bottomRight" state="frozen"/>
      <selection pane="topRight"/>
      <selection pane="bottomLeft"/>
      <selection pane="bottomRight" activeCell="I6" sqref="I6:I27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7" t="s">
        <v>137</v>
      </c>
      <c r="B1" s="217"/>
      <c r="C1" s="221" t="s">
        <v>259</v>
      </c>
      <c r="D1" s="222"/>
      <c r="E1" s="222"/>
      <c r="F1" s="222"/>
      <c r="G1" s="222"/>
      <c r="H1" s="222"/>
      <c r="I1" s="223"/>
    </row>
    <row r="2" spans="1:38">
      <c r="A2" s="217" t="s">
        <v>138</v>
      </c>
      <c r="B2" s="217"/>
      <c r="C2" s="224" t="str">
        <f>'2023年'!C2:I2</f>
        <v>一汽解放</v>
      </c>
      <c r="D2" s="224"/>
      <c r="E2" s="224"/>
      <c r="F2" s="224"/>
      <c r="G2" s="224"/>
      <c r="H2" s="224"/>
      <c r="I2" s="224"/>
    </row>
    <row r="3" spans="1:38">
      <c r="A3" s="217" t="s">
        <v>139</v>
      </c>
      <c r="B3" s="217"/>
      <c r="C3" s="160" t="str">
        <f>销量!C5</f>
        <v>前座总成</v>
      </c>
      <c r="D3" s="160" t="str">
        <f>销量!D5</f>
        <v>驾驶员总成</v>
      </c>
      <c r="E3" s="160" t="str">
        <f>销量!E5</f>
        <v>前座总成</v>
      </c>
      <c r="F3" s="160">
        <f>销量!F5</f>
        <v>0</v>
      </c>
      <c r="G3" s="160">
        <f>销量!G5</f>
        <v>0</v>
      </c>
      <c r="H3" s="160">
        <f>销量!H5</f>
        <v>0</v>
      </c>
      <c r="I3" s="218" t="s">
        <v>15</v>
      </c>
    </row>
    <row r="4" spans="1:38" ht="28.5">
      <c r="A4" s="217" t="s">
        <v>140</v>
      </c>
      <c r="B4" s="217"/>
      <c r="C4" s="160" t="str">
        <f>销量!C6</f>
        <v>6900010WH43-C00/A</v>
      </c>
      <c r="D4" s="160" t="str">
        <f>销量!D6</f>
        <v>6800010WH43-C00/A</v>
      </c>
      <c r="E4" s="160" t="str">
        <f>销量!E6</f>
        <v>6900010JH13-C00/A</v>
      </c>
      <c r="F4" s="160">
        <f>销量!F6</f>
        <v>0</v>
      </c>
      <c r="G4" s="160">
        <f>销量!G6</f>
        <v>0</v>
      </c>
      <c r="H4" s="160">
        <f>销量!H6</f>
        <v>0</v>
      </c>
      <c r="I4" s="219"/>
    </row>
    <row r="5" spans="1:38">
      <c r="A5" s="217" t="s">
        <v>141</v>
      </c>
      <c r="B5" s="217"/>
      <c r="C5" s="51"/>
      <c r="D5" s="51"/>
      <c r="E5" s="51"/>
      <c r="F5" s="51"/>
      <c r="G5" s="51"/>
      <c r="H5" s="51"/>
      <c r="I5" s="220"/>
      <c r="AL5" s="48" t="s">
        <v>16</v>
      </c>
    </row>
    <row r="6" spans="1:38" ht="17.25">
      <c r="A6" s="52" t="s">
        <v>14</v>
      </c>
      <c r="B6" s="53" t="s">
        <v>142</v>
      </c>
      <c r="C6" s="21">
        <f>销量!C13</f>
        <v>10000</v>
      </c>
      <c r="D6" s="21">
        <f>销量!D13</f>
        <v>10000</v>
      </c>
      <c r="E6" s="21">
        <f>销量!E13</f>
        <v>10000</v>
      </c>
      <c r="F6" s="21">
        <f>销量!F13</f>
        <v>0</v>
      </c>
      <c r="G6" s="21">
        <f>销量!G13</f>
        <v>0</v>
      </c>
      <c r="H6" s="21">
        <f>销量!H13</f>
        <v>0</v>
      </c>
      <c r="I6" s="54">
        <f>SUM(C6:H6)</f>
        <v>30000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159">
        <v>1</v>
      </c>
      <c r="B7" s="53" t="s">
        <v>18</v>
      </c>
      <c r="C7" s="54">
        <f>C6*销量!C8</f>
        <v>5650000</v>
      </c>
      <c r="D7" s="54">
        <f>D6*销量!D8</f>
        <v>13500000</v>
      </c>
      <c r="E7" s="54">
        <f>E6*销量!E8</f>
        <v>6500000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 t="shared" ref="I7:I22" si="0">SUM(C7:H7)</f>
        <v>25650000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159">
        <v>2</v>
      </c>
      <c r="B8" s="159" t="s">
        <v>20</v>
      </c>
      <c r="C8" s="54">
        <f>C7*(1-销量!$M$10)</f>
        <v>648095.62350000045</v>
      </c>
      <c r="D8" s="54">
        <f>D7*(1-销量!$M$10)</f>
        <v>1548547.0650000009</v>
      </c>
      <c r="E8" s="54">
        <f>E7*(1-销量!$M$10)</f>
        <v>745596.73500000045</v>
      </c>
      <c r="F8" s="54">
        <f>F7*(1-销量!$M$10)</f>
        <v>0</v>
      </c>
      <c r="G8" s="54">
        <f>G7*(1-销量!$M$10)</f>
        <v>0</v>
      </c>
      <c r="H8" s="54">
        <f>H7*(1-销量!$M$10)</f>
        <v>0</v>
      </c>
      <c r="I8" s="54">
        <f t="shared" si="0"/>
        <v>2942239.4235000014</v>
      </c>
      <c r="J8" s="69"/>
      <c r="T8" s="159" t="s">
        <v>22</v>
      </c>
      <c r="AJ8" s="52" t="s">
        <v>21</v>
      </c>
      <c r="AK8" s="159" t="s">
        <v>22</v>
      </c>
      <c r="AL8" s="48" t="s">
        <v>17</v>
      </c>
    </row>
    <row r="9" spans="1:38">
      <c r="A9" s="159">
        <v>3</v>
      </c>
      <c r="B9" s="53" t="s">
        <v>23</v>
      </c>
      <c r="C9" s="54">
        <f>+C7-C8</f>
        <v>5001904.3764999993</v>
      </c>
      <c r="D9" s="54">
        <f t="shared" ref="D9:H9" si="1">+D7-D8</f>
        <v>11951452.934999999</v>
      </c>
      <c r="E9" s="54">
        <f t="shared" si="1"/>
        <v>5754403.2649999997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22707760.576499999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159">
        <v>4</v>
      </c>
      <c r="B10" s="52" t="s">
        <v>26</v>
      </c>
      <c r="C10" s="54">
        <f>C6*材料成本!I18</f>
        <v>3954160.3358649998</v>
      </c>
      <c r="D10" s="54">
        <f>D6*材料成本!I19</f>
        <v>10129343.273458</v>
      </c>
      <c r="E10" s="54">
        <f>E6*材料成本!I20</f>
        <v>5221368.4640989983</v>
      </c>
      <c r="F10" s="54">
        <f>F6*材料成本!J21</f>
        <v>0</v>
      </c>
      <c r="G10" s="54">
        <f>G6*材料成本!J22</f>
        <v>0</v>
      </c>
      <c r="H10" s="54"/>
      <c r="I10" s="54">
        <f t="shared" si="0"/>
        <v>19304872.073422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159">
        <v>5</v>
      </c>
      <c r="B11" s="52" t="s">
        <v>29</v>
      </c>
      <c r="C11" s="54">
        <f>+C6*C36</f>
        <v>88705</v>
      </c>
      <c r="D11" s="54">
        <f t="shared" ref="D11:H11" si="2">+D6*D36</f>
        <v>211949.99999999997</v>
      </c>
      <c r="E11" s="54">
        <f t="shared" si="2"/>
        <v>102049.99999999999</v>
      </c>
      <c r="F11" s="54">
        <f t="shared" si="2"/>
        <v>0</v>
      </c>
      <c r="G11" s="54">
        <f t="shared" si="2"/>
        <v>0</v>
      </c>
      <c r="H11" s="54">
        <f t="shared" si="2"/>
        <v>0</v>
      </c>
      <c r="I11" s="54">
        <f t="shared" si="0"/>
        <v>402705</v>
      </c>
      <c r="T11" s="52" t="s">
        <v>29</v>
      </c>
      <c r="AJ11" s="52" t="s">
        <v>30</v>
      </c>
      <c r="AK11" s="52" t="s">
        <v>29</v>
      </c>
    </row>
    <row r="12" spans="1:38">
      <c r="A12" s="159">
        <v>6</v>
      </c>
      <c r="B12" s="52" t="s">
        <v>31</v>
      </c>
      <c r="C12" s="54">
        <f>+C6*C37</f>
        <v>21469.999999999996</v>
      </c>
      <c r="D12" s="54">
        <f t="shared" ref="D12:H12" si="3">+D6*D37</f>
        <v>51300</v>
      </c>
      <c r="E12" s="54">
        <f t="shared" si="3"/>
        <v>24700.000000000004</v>
      </c>
      <c r="F12" s="54">
        <f t="shared" si="3"/>
        <v>0</v>
      </c>
      <c r="G12" s="54">
        <f t="shared" si="3"/>
        <v>0</v>
      </c>
      <c r="H12" s="54">
        <f t="shared" si="3"/>
        <v>0</v>
      </c>
      <c r="I12" s="54">
        <f t="shared" si="0"/>
        <v>97470</v>
      </c>
      <c r="T12" s="52" t="s">
        <v>31</v>
      </c>
      <c r="AJ12" s="52" t="s">
        <v>32</v>
      </c>
      <c r="AK12" s="52" t="s">
        <v>31</v>
      </c>
    </row>
    <row r="13" spans="1:38">
      <c r="A13" s="159">
        <v>7</v>
      </c>
      <c r="B13" s="52" t="s">
        <v>33</v>
      </c>
      <c r="C13" s="54">
        <f>+C6*C38</f>
        <v>145205</v>
      </c>
      <c r="D13" s="54">
        <f t="shared" ref="D13:H13" si="4">+D6*D38</f>
        <v>346950</v>
      </c>
      <c r="E13" s="54">
        <f t="shared" si="4"/>
        <v>167050.00000000003</v>
      </c>
      <c r="F13" s="54">
        <f t="shared" si="4"/>
        <v>0</v>
      </c>
      <c r="G13" s="54">
        <f t="shared" si="4"/>
        <v>0</v>
      </c>
      <c r="H13" s="54">
        <f t="shared" si="4"/>
        <v>0</v>
      </c>
      <c r="I13" s="54">
        <f t="shared" si="0"/>
        <v>659205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159">
        <v>8</v>
      </c>
      <c r="B14" s="55" t="s">
        <v>35</v>
      </c>
      <c r="C14" s="54">
        <f>SUM(C11:C13)</f>
        <v>255380</v>
      </c>
      <c r="D14" s="54">
        <f t="shared" ref="D14:H14" si="5">SUM(D11:D13)</f>
        <v>610200</v>
      </c>
      <c r="E14" s="54">
        <f t="shared" si="5"/>
        <v>293800</v>
      </c>
      <c r="F14" s="54">
        <f t="shared" si="5"/>
        <v>0</v>
      </c>
      <c r="G14" s="54">
        <f t="shared" si="5"/>
        <v>0</v>
      </c>
      <c r="H14" s="54">
        <f t="shared" si="5"/>
        <v>0</v>
      </c>
      <c r="I14" s="54">
        <f t="shared" si="0"/>
        <v>1159380</v>
      </c>
      <c r="T14" s="55" t="s">
        <v>35</v>
      </c>
      <c r="AJ14" s="52" t="s">
        <v>36</v>
      </c>
      <c r="AK14" s="55" t="s">
        <v>35</v>
      </c>
    </row>
    <row r="15" spans="1:38">
      <c r="A15" s="159">
        <v>9</v>
      </c>
      <c r="B15" s="55" t="s">
        <v>37</v>
      </c>
      <c r="C15" s="54">
        <f>+C9-C10-C14</f>
        <v>792364.04063499952</v>
      </c>
      <c r="D15" s="54">
        <f t="shared" ref="D15:H15" si="6">+D9-D10-D14</f>
        <v>1211909.6615419984</v>
      </c>
      <c r="E15" s="54">
        <f t="shared" si="6"/>
        <v>239234.80090100132</v>
      </c>
      <c r="F15" s="54">
        <f t="shared" si="6"/>
        <v>0</v>
      </c>
      <c r="G15" s="54">
        <f t="shared" si="6"/>
        <v>0</v>
      </c>
      <c r="H15" s="54">
        <f t="shared" si="6"/>
        <v>0</v>
      </c>
      <c r="I15" s="54">
        <f t="shared" si="0"/>
        <v>2243508.5030779992</v>
      </c>
      <c r="T15" s="55" t="s">
        <v>37</v>
      </c>
      <c r="AJ15" s="52" t="s">
        <v>38</v>
      </c>
      <c r="AK15" s="55" t="s">
        <v>37</v>
      </c>
    </row>
    <row r="16" spans="1:38">
      <c r="A16" s="159">
        <v>10</v>
      </c>
      <c r="B16" s="52" t="s">
        <v>39</v>
      </c>
      <c r="C16" s="56">
        <f>+C15/C9</f>
        <v>0.15841247272892556</v>
      </c>
      <c r="D16" s="56">
        <f t="shared" ref="D16:H16" si="7">+D15/D9</f>
        <v>0.1014027054395122</v>
      </c>
      <c r="E16" s="56">
        <f t="shared" si="7"/>
        <v>4.1574215411022526E-2</v>
      </c>
      <c r="F16" s="56" t="e">
        <f t="shared" si="7"/>
        <v>#DIV/0!</v>
      </c>
      <c r="G16" s="56" t="e">
        <f t="shared" si="7"/>
        <v>#DIV/0!</v>
      </c>
      <c r="H16" s="56" t="e">
        <f t="shared" si="7"/>
        <v>#DIV/0!</v>
      </c>
      <c r="I16" s="56">
        <f t="shared" ref="I16" si="8">+I15/I9</f>
        <v>9.8799196667582467E-2</v>
      </c>
      <c r="T16" s="52" t="s">
        <v>39</v>
      </c>
      <c r="AJ16" s="52" t="s">
        <v>40</v>
      </c>
      <c r="AK16" s="52" t="s">
        <v>39</v>
      </c>
    </row>
    <row r="17" spans="1:38">
      <c r="A17" s="159">
        <v>11</v>
      </c>
      <c r="B17" s="52" t="s">
        <v>41</v>
      </c>
      <c r="C17" s="54">
        <f>C6*C43+C18</f>
        <v>308746.7484662577</v>
      </c>
      <c r="D17" s="54">
        <f t="shared" ref="D17:H17" si="9">D6*D43+D18</f>
        <v>682406.7484662577</v>
      </c>
      <c r="E17" s="54">
        <f t="shared" si="9"/>
        <v>349206.7484662577</v>
      </c>
      <c r="F17" s="54">
        <f t="shared" si="9"/>
        <v>0</v>
      </c>
      <c r="G17" s="54">
        <f t="shared" si="9"/>
        <v>0</v>
      </c>
      <c r="H17" s="54">
        <f t="shared" si="9"/>
        <v>0</v>
      </c>
      <c r="I17" s="54">
        <f t="shared" si="0"/>
        <v>1340360.2453987731</v>
      </c>
      <c r="J17" s="69"/>
      <c r="T17" s="52" t="s">
        <v>41</v>
      </c>
      <c r="AJ17" s="52" t="s">
        <v>42</v>
      </c>
      <c r="AK17" s="52" t="s">
        <v>41</v>
      </c>
    </row>
    <row r="18" spans="1:38" s="46" customFormat="1">
      <c r="A18" s="159">
        <v>12</v>
      </c>
      <c r="B18" s="57" t="s">
        <v>143</v>
      </c>
      <c r="C18" s="58">
        <f>$I$18/$I$6*C6</f>
        <v>39806.748466257675</v>
      </c>
      <c r="D18" s="58">
        <f t="shared" ref="D18:H18" si="10">$I$18/$I$6*D6</f>
        <v>39806.748466257675</v>
      </c>
      <c r="E18" s="58">
        <f t="shared" si="10"/>
        <v>39806.748466257675</v>
      </c>
      <c r="F18" s="58">
        <f t="shared" si="10"/>
        <v>0</v>
      </c>
      <c r="G18" s="58">
        <f t="shared" si="10"/>
        <v>0</v>
      </c>
      <c r="H18" s="58">
        <f t="shared" si="10"/>
        <v>0</v>
      </c>
      <c r="I18" s="58">
        <f>项目投资!H26</f>
        <v>119420.24539877303</v>
      </c>
      <c r="J18" s="70" t="s">
        <v>144</v>
      </c>
      <c r="K18" s="70"/>
      <c r="L18" s="70"/>
    </row>
    <row r="19" spans="1:38">
      <c r="A19" s="159">
        <v>13</v>
      </c>
      <c r="B19" s="52" t="s">
        <v>43</v>
      </c>
      <c r="C19" s="54">
        <f>C6*C44</f>
        <v>42375</v>
      </c>
      <c r="D19" s="54">
        <f t="shared" ref="D19:H19" si="11">D6*D44</f>
        <v>101250</v>
      </c>
      <c r="E19" s="54">
        <f t="shared" si="11"/>
        <v>48750</v>
      </c>
      <c r="F19" s="54">
        <f t="shared" si="11"/>
        <v>0</v>
      </c>
      <c r="G19" s="54">
        <f t="shared" si="11"/>
        <v>0</v>
      </c>
      <c r="H19" s="54">
        <f t="shared" si="11"/>
        <v>0</v>
      </c>
      <c r="I19" s="54">
        <f t="shared" si="0"/>
        <v>192375</v>
      </c>
      <c r="J19" s="46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159">
        <v>14</v>
      </c>
      <c r="B20" s="52" t="s">
        <v>45</v>
      </c>
      <c r="C20" s="54">
        <f>C6*C45</f>
        <v>170065</v>
      </c>
      <c r="D20" s="54">
        <f t="shared" ref="D20:H20" si="12">D6*D45</f>
        <v>406350</v>
      </c>
      <c r="E20" s="54">
        <f t="shared" si="12"/>
        <v>195649.99999999997</v>
      </c>
      <c r="F20" s="54">
        <f t="shared" si="12"/>
        <v>0</v>
      </c>
      <c r="G20" s="54">
        <f t="shared" si="12"/>
        <v>0</v>
      </c>
      <c r="H20" s="54">
        <f t="shared" si="12"/>
        <v>0</v>
      </c>
      <c r="I20" s="54">
        <f t="shared" si="0"/>
        <v>772065</v>
      </c>
      <c r="T20" s="52" t="s">
        <v>45</v>
      </c>
      <c r="AJ20" s="52" t="s">
        <v>46</v>
      </c>
      <c r="AK20" s="52" t="s">
        <v>45</v>
      </c>
    </row>
    <row r="21" spans="1:38">
      <c r="A21" s="159">
        <v>15</v>
      </c>
      <c r="B21" s="52" t="s">
        <v>47</v>
      </c>
      <c r="C21" s="59">
        <f>$I$21/$I$6*C6</f>
        <v>17680.981595092024</v>
      </c>
      <c r="D21" s="59">
        <f t="shared" ref="D21:H21" si="13">$I$21/$I$6*D6</f>
        <v>17680.981595092024</v>
      </c>
      <c r="E21" s="59">
        <f t="shared" si="13"/>
        <v>17680.981595092024</v>
      </c>
      <c r="F21" s="59">
        <f t="shared" si="13"/>
        <v>0</v>
      </c>
      <c r="G21" s="59">
        <f t="shared" si="13"/>
        <v>0</v>
      </c>
      <c r="H21" s="59">
        <f t="shared" si="13"/>
        <v>0</v>
      </c>
      <c r="I21" s="54">
        <f>项目投资!H27</f>
        <v>53042.944785276071</v>
      </c>
      <c r="T21" s="52" t="s">
        <v>47</v>
      </c>
      <c r="AJ21" s="52"/>
      <c r="AK21" s="52"/>
    </row>
    <row r="22" spans="1:38">
      <c r="A22" s="159">
        <v>16</v>
      </c>
      <c r="B22" s="52" t="s">
        <v>48</v>
      </c>
      <c r="C22" s="54">
        <f>C6*C47</f>
        <v>130514.99999999999</v>
      </c>
      <c r="D22" s="54">
        <f t="shared" ref="D22:H22" si="14">D6*D47</f>
        <v>311850</v>
      </c>
      <c r="E22" s="54">
        <f t="shared" si="14"/>
        <v>150150</v>
      </c>
      <c r="F22" s="54">
        <f t="shared" si="14"/>
        <v>0</v>
      </c>
      <c r="G22" s="54">
        <f t="shared" si="14"/>
        <v>0</v>
      </c>
      <c r="H22" s="54">
        <f t="shared" si="14"/>
        <v>0</v>
      </c>
      <c r="I22" s="54">
        <f t="shared" si="0"/>
        <v>592515</v>
      </c>
      <c r="T22" s="52" t="s">
        <v>48</v>
      </c>
      <c r="AJ22" s="52" t="s">
        <v>49</v>
      </c>
      <c r="AK22" s="52" t="s">
        <v>48</v>
      </c>
    </row>
    <row r="23" spans="1:38">
      <c r="A23" s="159">
        <v>17</v>
      </c>
      <c r="B23" s="55" t="s">
        <v>50</v>
      </c>
      <c r="C23" s="59">
        <f>+C22+C21+C20+C19+C17</f>
        <v>669382.73006134969</v>
      </c>
      <c r="D23" s="59">
        <f t="shared" ref="D23:H23" si="15">+D22+D21+D20+D19+D17</f>
        <v>1519537.7300613497</v>
      </c>
      <c r="E23" s="59">
        <f t="shared" si="15"/>
        <v>761437.73006134969</v>
      </c>
      <c r="F23" s="59">
        <f t="shared" si="15"/>
        <v>0</v>
      </c>
      <c r="G23" s="59">
        <f t="shared" si="15"/>
        <v>0</v>
      </c>
      <c r="H23" s="59">
        <f t="shared" si="15"/>
        <v>0</v>
      </c>
      <c r="I23" s="59">
        <f t="shared" ref="I23" si="16">+I22+I21+I20+I19+I17</f>
        <v>2950358.1901840493</v>
      </c>
      <c r="T23" s="55" t="s">
        <v>50</v>
      </c>
      <c r="AJ23" s="52" t="s">
        <v>51</v>
      </c>
      <c r="AK23" s="55" t="s">
        <v>50</v>
      </c>
    </row>
    <row r="24" spans="1:38">
      <c r="A24" s="159">
        <v>18</v>
      </c>
      <c r="B24" s="60" t="s">
        <v>52</v>
      </c>
      <c r="C24" s="59">
        <f>+C15-C23</f>
        <v>122981.31057364983</v>
      </c>
      <c r="D24" s="59">
        <f t="shared" ref="D24:H24" si="17">+D15-D23</f>
        <v>-307628.06851935131</v>
      </c>
      <c r="E24" s="59">
        <f t="shared" si="17"/>
        <v>-522202.92916034837</v>
      </c>
      <c r="F24" s="59">
        <f t="shared" si="17"/>
        <v>0</v>
      </c>
      <c r="G24" s="59">
        <f t="shared" si="17"/>
        <v>0</v>
      </c>
      <c r="H24" s="59">
        <f t="shared" si="17"/>
        <v>0</v>
      </c>
      <c r="I24" s="59">
        <f t="shared" ref="I24" si="18">+I15-I23</f>
        <v>-706849.68710605009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159">
        <v>19</v>
      </c>
      <c r="B25" s="52" t="s">
        <v>145</v>
      </c>
      <c r="C25" s="59">
        <f>IF(C24&lt;0,0,C24*0.25)</f>
        <v>30745.327643412456</v>
      </c>
      <c r="D25" s="59">
        <f>IF(D24&lt;0,0,D24*0.15)</f>
        <v>0</v>
      </c>
      <c r="E25" s="59">
        <f t="shared" ref="E25:I25" si="19">IF(E24&lt;0,0,E24*0.25)</f>
        <v>0</v>
      </c>
      <c r="F25" s="59">
        <f>IF(F24&lt;0,0,F24*0.15)</f>
        <v>0</v>
      </c>
      <c r="G25" s="59">
        <f t="shared" si="19"/>
        <v>0</v>
      </c>
      <c r="H25" s="59">
        <f t="shared" si="19"/>
        <v>0</v>
      </c>
      <c r="I25" s="59">
        <f t="shared" si="19"/>
        <v>0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159">
        <v>20</v>
      </c>
      <c r="B26" s="52" t="s">
        <v>56</v>
      </c>
      <c r="C26" s="59">
        <f t="shared" ref="C26:H26" si="20">C24-C25</f>
        <v>92235.982930237369</v>
      </c>
      <c r="D26" s="59">
        <f t="shared" si="20"/>
        <v>-307628.06851935131</v>
      </c>
      <c r="E26" s="59">
        <f t="shared" si="20"/>
        <v>-522202.92916034837</v>
      </c>
      <c r="F26" s="59">
        <f t="shared" si="20"/>
        <v>0</v>
      </c>
      <c r="G26" s="59">
        <f t="shared" si="20"/>
        <v>0</v>
      </c>
      <c r="H26" s="59">
        <f t="shared" si="20"/>
        <v>0</v>
      </c>
      <c r="I26" s="54">
        <f>+SUM(C26:H26)</f>
        <v>-737595.01474946225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159">
        <v>21</v>
      </c>
      <c r="B27" s="52" t="s">
        <v>60</v>
      </c>
      <c r="C27" s="61">
        <f t="shared" ref="C27:I27" si="21">C26/C7</f>
        <v>1.6324952731015464E-2</v>
      </c>
      <c r="D27" s="61">
        <f t="shared" ref="D27:H27" si="22">D26/D7</f>
        <v>-2.2787264334766764E-2</v>
      </c>
      <c r="E27" s="61">
        <f t="shared" si="22"/>
        <v>-8.0338912178515132E-2</v>
      </c>
      <c r="F27" s="61" t="e">
        <f t="shared" si="22"/>
        <v>#DIV/0!</v>
      </c>
      <c r="G27" s="61" t="e">
        <f t="shared" si="22"/>
        <v>#DIV/0!</v>
      </c>
      <c r="H27" s="61" t="e">
        <f t="shared" si="22"/>
        <v>#DIV/0!</v>
      </c>
      <c r="I27" s="61">
        <f t="shared" si="21"/>
        <v>-2.875614092590496E-2</v>
      </c>
      <c r="J27" s="67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159">
        <v>1</v>
      </c>
      <c r="B31" s="57" t="s">
        <v>65</v>
      </c>
      <c r="C31" s="63">
        <f>销量!C8</f>
        <v>565</v>
      </c>
      <c r="D31" s="63">
        <f>销量!D8</f>
        <v>1350</v>
      </c>
      <c r="E31" s="63">
        <f>销量!E8</f>
        <v>650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159">
        <v>2</v>
      </c>
      <c r="B32" s="52" t="s">
        <v>147</v>
      </c>
      <c r="C32" s="54">
        <f>C9/C6</f>
        <v>500.19043764999992</v>
      </c>
      <c r="D32" s="54">
        <f t="shared" ref="D32:H32" si="23">D9/D6</f>
        <v>1195.1452934999998</v>
      </c>
      <c r="E32" s="54">
        <f t="shared" si="23"/>
        <v>575.44032649999997</v>
      </c>
      <c r="F32" s="54" t="e">
        <f t="shared" si="23"/>
        <v>#DIV/0!</v>
      </c>
      <c r="G32" s="54" t="e">
        <f t="shared" si="23"/>
        <v>#DIV/0!</v>
      </c>
      <c r="H32" s="54" t="e">
        <f t="shared" si="23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59">
        <v>3</v>
      </c>
      <c r="B33" s="57" t="s">
        <v>66</v>
      </c>
      <c r="C33" s="54">
        <f>材料成本!J18</f>
        <v>383.55355257890494</v>
      </c>
      <c r="D33" s="54">
        <f>材料成本!J19</f>
        <v>982.54629752542598</v>
      </c>
      <c r="E33" s="54">
        <f>材料成本!J20</f>
        <v>506.4727410176028</v>
      </c>
      <c r="F33" s="54">
        <f>材料成本!J21</f>
        <v>0</v>
      </c>
      <c r="G33" s="54">
        <f>材料成本!J22</f>
        <v>0</v>
      </c>
      <c r="H33" s="54"/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159">
        <v>4</v>
      </c>
      <c r="B34" s="52" t="s">
        <v>68</v>
      </c>
      <c r="C34" s="64">
        <f>C32-C33</f>
        <v>116.63688507109498</v>
      </c>
      <c r="D34" s="64">
        <f t="shared" ref="D34:H34" si="24">D32-D33</f>
        <v>212.59899597457377</v>
      </c>
      <c r="E34" s="64">
        <f t="shared" si="24"/>
        <v>68.967585482397169</v>
      </c>
      <c r="F34" s="64" t="e">
        <f t="shared" si="24"/>
        <v>#DIV/0!</v>
      </c>
      <c r="G34" s="64" t="e">
        <f t="shared" si="24"/>
        <v>#DIV/0!</v>
      </c>
      <c r="H34" s="64" t="e">
        <f t="shared" si="24"/>
        <v>#DIV/0!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159">
        <v>1</v>
      </c>
      <c r="B36" s="52" t="s">
        <v>71</v>
      </c>
      <c r="C36" s="58">
        <f>'2023年'!C36</f>
        <v>8.8704999999999998</v>
      </c>
      <c r="D36" s="58">
        <f>'2023年'!D36</f>
        <v>21.194999999999997</v>
      </c>
      <c r="E36" s="58">
        <f>'2023年'!E36</f>
        <v>10.204999999999998</v>
      </c>
      <c r="F36" s="58">
        <f>'2023年'!F36</f>
        <v>0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159">
        <v>2</v>
      </c>
      <c r="B37" s="52" t="s">
        <v>72</v>
      </c>
      <c r="C37" s="58">
        <f>'2023年'!C37</f>
        <v>2.1469999999999998</v>
      </c>
      <c r="D37" s="58">
        <f>'2023年'!D37</f>
        <v>5.13</v>
      </c>
      <c r="E37" s="58">
        <f>'2023年'!E37</f>
        <v>2.4700000000000002</v>
      </c>
      <c r="F37" s="58">
        <f>'2023年'!F37</f>
        <v>0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159">
        <v>3</v>
      </c>
      <c r="B38" s="52" t="s">
        <v>73</v>
      </c>
      <c r="C38" s="58">
        <f>'2023年'!C38</f>
        <v>14.5205</v>
      </c>
      <c r="D38" s="58">
        <f>'2023年'!D38</f>
        <v>34.695</v>
      </c>
      <c r="E38" s="58">
        <f>'2023年'!E38</f>
        <v>16.705000000000002</v>
      </c>
      <c r="F38" s="58">
        <f>'2023年'!F38</f>
        <v>0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159">
        <v>1</v>
      </c>
      <c r="B40" s="52" t="s">
        <v>77</v>
      </c>
      <c r="C40" s="59">
        <f>C34-C36-C37-C38</f>
        <v>91.098885071094983</v>
      </c>
      <c r="D40" s="59">
        <f t="shared" ref="D40:H40" si="25">D34-D36-D37-D38</f>
        <v>151.57899597457379</v>
      </c>
      <c r="E40" s="59">
        <f t="shared" si="25"/>
        <v>39.587585482397174</v>
      </c>
      <c r="F40" s="59" t="e">
        <f t="shared" si="25"/>
        <v>#DIV/0!</v>
      </c>
      <c r="G40" s="59" t="e">
        <f t="shared" si="25"/>
        <v>#DIV/0!</v>
      </c>
      <c r="H40" s="59" t="e">
        <f t="shared" si="25"/>
        <v>#DIV/0!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159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159">
        <v>1</v>
      </c>
      <c r="B43" s="60" t="s">
        <v>81</v>
      </c>
      <c r="C43" s="58">
        <f>'2023年'!C43</f>
        <v>26.894000000000002</v>
      </c>
      <c r="D43" s="58">
        <f>'2023年'!D43</f>
        <v>64.260000000000005</v>
      </c>
      <c r="E43" s="58">
        <f>'2023年'!E43</f>
        <v>30.94</v>
      </c>
      <c r="F43" s="58">
        <f>'2023年'!F43</f>
        <v>0</v>
      </c>
      <c r="G43" s="58">
        <f>'2023年'!G43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159">
        <v>2</v>
      </c>
      <c r="B44" s="60" t="s">
        <v>82</v>
      </c>
      <c r="C44" s="58">
        <f>'2023年'!C44</f>
        <v>4.2374999999999998</v>
      </c>
      <c r="D44" s="58">
        <f>'2023年'!D44</f>
        <v>10.125</v>
      </c>
      <c r="E44" s="58">
        <f>'2023年'!E44</f>
        <v>4.875</v>
      </c>
      <c r="F44" s="58">
        <f>'2023年'!F44</f>
        <v>0</v>
      </c>
      <c r="G44" s="58">
        <f>'2023年'!G44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159">
        <v>3</v>
      </c>
      <c r="B45" s="60" t="s">
        <v>83</v>
      </c>
      <c r="C45" s="58">
        <f>'2023年'!C45</f>
        <v>17.006499999999999</v>
      </c>
      <c r="D45" s="58">
        <f>'2023年'!D45</f>
        <v>40.634999999999998</v>
      </c>
      <c r="E45" s="58">
        <f>'2023年'!E45</f>
        <v>19.564999999999998</v>
      </c>
      <c r="F45" s="58">
        <f>'2023年'!F45</f>
        <v>0</v>
      </c>
      <c r="G45" s="58">
        <f>'2023年'!G45</f>
        <v>0</v>
      </c>
      <c r="H45" s="58"/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159">
        <v>4</v>
      </c>
      <c r="B46" s="60" t="s">
        <v>84</v>
      </c>
      <c r="C46" s="65">
        <f>C21/C6</f>
        <v>1.7680981595092025</v>
      </c>
      <c r="D46" s="65">
        <f t="shared" ref="D46:H46" si="26">D21/D6</f>
        <v>1.7680981595092025</v>
      </c>
      <c r="E46" s="65">
        <f t="shared" si="26"/>
        <v>1.7680981595092025</v>
      </c>
      <c r="F46" s="65" t="e">
        <f t="shared" si="26"/>
        <v>#DIV/0!</v>
      </c>
      <c r="G46" s="65" t="e">
        <f t="shared" si="26"/>
        <v>#DIV/0!</v>
      </c>
      <c r="H46" s="65" t="e">
        <f t="shared" si="26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159">
        <v>5</v>
      </c>
      <c r="B47" s="60" t="s">
        <v>86</v>
      </c>
      <c r="C47" s="58">
        <f>'2023年'!C47</f>
        <v>13.051499999999999</v>
      </c>
      <c r="D47" s="58">
        <f>'2023年'!D47</f>
        <v>31.184999999999999</v>
      </c>
      <c r="E47" s="58">
        <f>'2023年'!E47</f>
        <v>15.014999999999999</v>
      </c>
      <c r="F47" s="58">
        <f>'2023年'!F47</f>
        <v>0</v>
      </c>
      <c r="G47" s="58">
        <f>'2023年'!G47</f>
        <v>0</v>
      </c>
      <c r="H47" s="65"/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28.14128691158578</v>
      </c>
      <c r="D48" s="59">
        <f t="shared" ref="D48:H48" si="27">D40-D43-D44-D45-D47-D46</f>
        <v>3.6058978150645817</v>
      </c>
      <c r="E48" s="59">
        <f t="shared" si="27"/>
        <v>-32.575512677112023</v>
      </c>
      <c r="F48" s="59" t="e">
        <f t="shared" si="27"/>
        <v>#DIV/0!</v>
      </c>
      <c r="G48" s="59" t="e">
        <f t="shared" si="27"/>
        <v>#DIV/0!</v>
      </c>
      <c r="H48" s="59" t="e">
        <f t="shared" si="27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9" activePane="bottomRight" state="frozen"/>
      <selection pane="topRight"/>
      <selection pane="bottomLeft"/>
      <selection pane="bottomRight" activeCell="I6" sqref="I6:I27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7" t="s">
        <v>137</v>
      </c>
      <c r="B1" s="217"/>
      <c r="C1" s="221" t="s">
        <v>290</v>
      </c>
      <c r="D1" s="222"/>
      <c r="E1" s="222"/>
      <c r="F1" s="222"/>
      <c r="G1" s="222"/>
      <c r="H1" s="222"/>
      <c r="I1" s="223"/>
    </row>
    <row r="2" spans="1:38">
      <c r="A2" s="217" t="s">
        <v>138</v>
      </c>
      <c r="B2" s="217"/>
      <c r="C2" s="224" t="str">
        <f>'2023年'!C2:I2</f>
        <v>一汽解放</v>
      </c>
      <c r="D2" s="224"/>
      <c r="E2" s="224"/>
      <c r="F2" s="224"/>
      <c r="G2" s="224"/>
      <c r="H2" s="224"/>
      <c r="I2" s="224"/>
    </row>
    <row r="3" spans="1:38">
      <c r="A3" s="217" t="s">
        <v>139</v>
      </c>
      <c r="B3" s="217"/>
      <c r="C3" s="160" t="str">
        <f>销量!C5</f>
        <v>前座总成</v>
      </c>
      <c r="D3" s="160" t="str">
        <f>销量!D5</f>
        <v>驾驶员总成</v>
      </c>
      <c r="E3" s="160" t="str">
        <f>销量!E5</f>
        <v>前座总成</v>
      </c>
      <c r="F3" s="160">
        <f>销量!F5</f>
        <v>0</v>
      </c>
      <c r="G3" s="160">
        <f>销量!G5</f>
        <v>0</v>
      </c>
      <c r="H3" s="160">
        <f>销量!H5</f>
        <v>0</v>
      </c>
      <c r="I3" s="218" t="s">
        <v>15</v>
      </c>
    </row>
    <row r="4" spans="1:38" ht="32.25" customHeight="1">
      <c r="A4" s="217" t="s">
        <v>140</v>
      </c>
      <c r="B4" s="217"/>
      <c r="C4" s="160" t="str">
        <f>销量!C6</f>
        <v>6900010WH43-C00/A</v>
      </c>
      <c r="D4" s="160" t="str">
        <f>销量!D6</f>
        <v>6800010WH43-C00/A</v>
      </c>
      <c r="E4" s="160" t="str">
        <f>销量!E6</f>
        <v>6900010JH13-C00/A</v>
      </c>
      <c r="F4" s="160">
        <f>销量!F6</f>
        <v>0</v>
      </c>
      <c r="G4" s="160">
        <f>销量!G6</f>
        <v>0</v>
      </c>
      <c r="H4" s="160">
        <f>销量!H6</f>
        <v>0</v>
      </c>
      <c r="I4" s="219"/>
    </row>
    <row r="5" spans="1:38">
      <c r="A5" s="217" t="s">
        <v>141</v>
      </c>
      <c r="B5" s="217"/>
      <c r="C5" s="51"/>
      <c r="D5" s="51"/>
      <c r="E5" s="51"/>
      <c r="F5" s="51"/>
      <c r="G5" s="51"/>
      <c r="H5" s="51"/>
      <c r="I5" s="220"/>
      <c r="AL5" s="48" t="s">
        <v>16</v>
      </c>
    </row>
    <row r="6" spans="1:38" ht="17.25">
      <c r="A6" s="52" t="s">
        <v>14</v>
      </c>
      <c r="B6" s="53" t="s">
        <v>142</v>
      </c>
      <c r="C6" s="21">
        <f>销量!C14</f>
        <v>10000</v>
      </c>
      <c r="D6" s="21">
        <f>销量!D14</f>
        <v>10000</v>
      </c>
      <c r="E6" s="21">
        <f>销量!E14</f>
        <v>10000</v>
      </c>
      <c r="F6" s="21">
        <f>销量!F13</f>
        <v>0</v>
      </c>
      <c r="G6" s="21">
        <f>销量!G13</f>
        <v>0</v>
      </c>
      <c r="H6" s="21">
        <f>销量!H13</f>
        <v>0</v>
      </c>
      <c r="I6" s="54">
        <f>SUM(C6:H6)</f>
        <v>30000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185">
        <v>1</v>
      </c>
      <c r="B7" s="53" t="s">
        <v>18</v>
      </c>
      <c r="C7" s="54">
        <f>C6*销量!C8</f>
        <v>5650000</v>
      </c>
      <c r="D7" s="54">
        <f>D6*销量!D8</f>
        <v>13500000</v>
      </c>
      <c r="E7" s="54">
        <f>E6*销量!E8</f>
        <v>6500000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 t="shared" ref="I7:I22" si="0">SUM(C7:H7)</f>
        <v>25650000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185">
        <v>2</v>
      </c>
      <c r="B8" s="185" t="s">
        <v>20</v>
      </c>
      <c r="C8" s="54">
        <f>C7*(1-销量!$M$11)</f>
        <v>798152.75479499996</v>
      </c>
      <c r="D8" s="54">
        <f>D7*(1-销量!$M$11)</f>
        <v>1907090.6530499998</v>
      </c>
      <c r="E8" s="54">
        <f>E7*(1-销量!$M$11)</f>
        <v>918228.83294999995</v>
      </c>
      <c r="F8" s="54">
        <f>F7*(1-销量!$M$10)</f>
        <v>0</v>
      </c>
      <c r="G8" s="54">
        <f>G7*(1-销量!$M$10)</f>
        <v>0</v>
      </c>
      <c r="H8" s="54">
        <f>H7*(1-销量!$M$10)</f>
        <v>0</v>
      </c>
      <c r="I8" s="54">
        <f t="shared" si="0"/>
        <v>3623472.2407949995</v>
      </c>
      <c r="J8" s="69"/>
      <c r="T8" s="185" t="s">
        <v>22</v>
      </c>
      <c r="AJ8" s="52" t="s">
        <v>21</v>
      </c>
      <c r="AK8" s="185" t="s">
        <v>22</v>
      </c>
      <c r="AL8" s="48" t="s">
        <v>17</v>
      </c>
    </row>
    <row r="9" spans="1:38">
      <c r="A9" s="185">
        <v>3</v>
      </c>
      <c r="B9" s="53" t="s">
        <v>23</v>
      </c>
      <c r="C9" s="54">
        <f>+C7-C8</f>
        <v>4851847.245205</v>
      </c>
      <c r="D9" s="54">
        <f t="shared" ref="D9:H9" si="1">+D7-D8</f>
        <v>11592909.34695</v>
      </c>
      <c r="E9" s="54">
        <f t="shared" si="1"/>
        <v>5581771.1670500003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22026527.759204999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185">
        <v>4</v>
      </c>
      <c r="B10" s="52" t="s">
        <v>26</v>
      </c>
      <c r="C10" s="54">
        <f>C6*材料成本!J18</f>
        <v>3835535.5257890495</v>
      </c>
      <c r="D10" s="54">
        <f>D6*材料成本!J19</f>
        <v>9825462.97525426</v>
      </c>
      <c r="E10" s="54">
        <f>E6*材料成本!J20</f>
        <v>5064727.4101760276</v>
      </c>
      <c r="F10" s="54">
        <f>F6*材料成本!J21</f>
        <v>0</v>
      </c>
      <c r="G10" s="54">
        <f>G6*材料成本!J22</f>
        <v>0</v>
      </c>
      <c r="H10" s="54"/>
      <c r="I10" s="54">
        <f t="shared" si="0"/>
        <v>18725725.911219336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185">
        <v>5</v>
      </c>
      <c r="B11" s="52" t="s">
        <v>29</v>
      </c>
      <c r="C11" s="54">
        <f>+C6*C36</f>
        <v>88705</v>
      </c>
      <c r="D11" s="54">
        <f t="shared" ref="D11:H11" si="2">+D6*D36</f>
        <v>211949.99999999997</v>
      </c>
      <c r="E11" s="54">
        <f t="shared" si="2"/>
        <v>102049.99999999999</v>
      </c>
      <c r="F11" s="54">
        <f t="shared" si="2"/>
        <v>0</v>
      </c>
      <c r="G11" s="54">
        <f t="shared" si="2"/>
        <v>0</v>
      </c>
      <c r="H11" s="54">
        <f t="shared" si="2"/>
        <v>0</v>
      </c>
      <c r="I11" s="54">
        <f t="shared" si="0"/>
        <v>402705</v>
      </c>
      <c r="T11" s="52" t="s">
        <v>29</v>
      </c>
      <c r="AJ11" s="52" t="s">
        <v>30</v>
      </c>
      <c r="AK11" s="52" t="s">
        <v>29</v>
      </c>
    </row>
    <row r="12" spans="1:38">
      <c r="A12" s="185">
        <v>6</v>
      </c>
      <c r="B12" s="52" t="s">
        <v>31</v>
      </c>
      <c r="C12" s="54">
        <f>+C6*C37</f>
        <v>21469.999999999996</v>
      </c>
      <c r="D12" s="54">
        <f t="shared" ref="D12:H12" si="3">+D6*D37</f>
        <v>51300</v>
      </c>
      <c r="E12" s="54">
        <f t="shared" si="3"/>
        <v>24700.000000000004</v>
      </c>
      <c r="F12" s="54">
        <f t="shared" si="3"/>
        <v>0</v>
      </c>
      <c r="G12" s="54">
        <f t="shared" si="3"/>
        <v>0</v>
      </c>
      <c r="H12" s="54">
        <f t="shared" si="3"/>
        <v>0</v>
      </c>
      <c r="I12" s="54">
        <f t="shared" si="0"/>
        <v>97470</v>
      </c>
      <c r="T12" s="52" t="s">
        <v>31</v>
      </c>
      <c r="AJ12" s="52" t="s">
        <v>32</v>
      </c>
      <c r="AK12" s="52" t="s">
        <v>31</v>
      </c>
    </row>
    <row r="13" spans="1:38">
      <c r="A13" s="185">
        <v>7</v>
      </c>
      <c r="B13" s="52" t="s">
        <v>33</v>
      </c>
      <c r="C13" s="54">
        <f>+C6*C38</f>
        <v>145205</v>
      </c>
      <c r="D13" s="54">
        <f t="shared" ref="D13:H13" si="4">+D6*D38</f>
        <v>346950</v>
      </c>
      <c r="E13" s="54">
        <f t="shared" si="4"/>
        <v>167050.00000000003</v>
      </c>
      <c r="F13" s="54">
        <f t="shared" si="4"/>
        <v>0</v>
      </c>
      <c r="G13" s="54">
        <f t="shared" si="4"/>
        <v>0</v>
      </c>
      <c r="H13" s="54">
        <f t="shared" si="4"/>
        <v>0</v>
      </c>
      <c r="I13" s="54">
        <f t="shared" si="0"/>
        <v>659205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185">
        <v>8</v>
      </c>
      <c r="B14" s="55" t="s">
        <v>35</v>
      </c>
      <c r="C14" s="54">
        <f>SUM(C11:C13)</f>
        <v>255380</v>
      </c>
      <c r="D14" s="54">
        <f t="shared" ref="D14:H14" si="5">SUM(D11:D13)</f>
        <v>610200</v>
      </c>
      <c r="E14" s="54">
        <f t="shared" si="5"/>
        <v>293800</v>
      </c>
      <c r="F14" s="54">
        <f t="shared" si="5"/>
        <v>0</v>
      </c>
      <c r="G14" s="54">
        <f t="shared" si="5"/>
        <v>0</v>
      </c>
      <c r="H14" s="54">
        <f t="shared" si="5"/>
        <v>0</v>
      </c>
      <c r="I14" s="54">
        <f t="shared" si="0"/>
        <v>1159380</v>
      </c>
      <c r="T14" s="55" t="s">
        <v>35</v>
      </c>
      <c r="AJ14" s="52" t="s">
        <v>36</v>
      </c>
      <c r="AK14" s="55" t="s">
        <v>35</v>
      </c>
    </row>
    <row r="15" spans="1:38">
      <c r="A15" s="185">
        <v>9</v>
      </c>
      <c r="B15" s="55" t="s">
        <v>37</v>
      </c>
      <c r="C15" s="54">
        <f>+C9-C10-C14</f>
        <v>760931.71941595059</v>
      </c>
      <c r="D15" s="54">
        <f t="shared" ref="D15:H15" si="6">+D9-D10-D14</f>
        <v>1157246.3716957401</v>
      </c>
      <c r="E15" s="54">
        <f t="shared" si="6"/>
        <v>223243.75687397271</v>
      </c>
      <c r="F15" s="54">
        <f t="shared" si="6"/>
        <v>0</v>
      </c>
      <c r="G15" s="54">
        <f t="shared" si="6"/>
        <v>0</v>
      </c>
      <c r="H15" s="54">
        <f t="shared" si="6"/>
        <v>0</v>
      </c>
      <c r="I15" s="54">
        <f t="shared" si="0"/>
        <v>2141421.8479856635</v>
      </c>
      <c r="T15" s="55" t="s">
        <v>37</v>
      </c>
      <c r="AJ15" s="52" t="s">
        <v>38</v>
      </c>
      <c r="AK15" s="55" t="s">
        <v>37</v>
      </c>
    </row>
    <row r="16" spans="1:38">
      <c r="A16" s="185">
        <v>10</v>
      </c>
      <c r="B16" s="52" t="s">
        <v>39</v>
      </c>
      <c r="C16" s="56">
        <f>+C15/C9</f>
        <v>0.15683340405408822</v>
      </c>
      <c r="D16" s="56">
        <f t="shared" ref="D16:I16" si="7">+D15/D9</f>
        <v>9.9823636764674803E-2</v>
      </c>
      <c r="E16" s="56">
        <f t="shared" si="7"/>
        <v>3.999514673618524E-2</v>
      </c>
      <c r="F16" s="56" t="e">
        <f t="shared" si="7"/>
        <v>#DIV/0!</v>
      </c>
      <c r="G16" s="56" t="e">
        <f t="shared" si="7"/>
        <v>#DIV/0!</v>
      </c>
      <c r="H16" s="56" t="e">
        <f t="shared" si="7"/>
        <v>#DIV/0!</v>
      </c>
      <c r="I16" s="56">
        <f t="shared" si="7"/>
        <v>9.7220127992745126E-2</v>
      </c>
      <c r="T16" s="52" t="s">
        <v>39</v>
      </c>
      <c r="AJ16" s="52" t="s">
        <v>40</v>
      </c>
      <c r="AK16" s="52" t="s">
        <v>39</v>
      </c>
    </row>
    <row r="17" spans="1:38">
      <c r="A17" s="185">
        <v>11</v>
      </c>
      <c r="B17" s="52" t="s">
        <v>41</v>
      </c>
      <c r="C17" s="54">
        <f>C6*C43+C18</f>
        <v>308746.7484662577</v>
      </c>
      <c r="D17" s="54">
        <f t="shared" ref="D17:H17" si="8">D6*D43+D18</f>
        <v>682406.7484662577</v>
      </c>
      <c r="E17" s="54">
        <f t="shared" si="8"/>
        <v>349206.7484662577</v>
      </c>
      <c r="F17" s="54">
        <f t="shared" si="8"/>
        <v>0</v>
      </c>
      <c r="G17" s="54">
        <f t="shared" si="8"/>
        <v>0</v>
      </c>
      <c r="H17" s="54">
        <f t="shared" si="8"/>
        <v>0</v>
      </c>
      <c r="I17" s="54">
        <f t="shared" si="0"/>
        <v>1340360.2453987731</v>
      </c>
      <c r="J17" s="69"/>
      <c r="T17" s="52" t="s">
        <v>41</v>
      </c>
      <c r="AJ17" s="52" t="s">
        <v>42</v>
      </c>
      <c r="AK17" s="52" t="s">
        <v>41</v>
      </c>
    </row>
    <row r="18" spans="1:38" s="46" customFormat="1">
      <c r="A18" s="185">
        <v>12</v>
      </c>
      <c r="B18" s="57" t="s">
        <v>143</v>
      </c>
      <c r="C18" s="58">
        <f>$I$18/$I$6*C6</f>
        <v>39806.748466257675</v>
      </c>
      <c r="D18" s="58">
        <f t="shared" ref="D18:H18" si="9">$I$18/$I$6*D6</f>
        <v>39806.748466257675</v>
      </c>
      <c r="E18" s="58">
        <f t="shared" si="9"/>
        <v>39806.748466257675</v>
      </c>
      <c r="F18" s="58">
        <f t="shared" si="9"/>
        <v>0</v>
      </c>
      <c r="G18" s="58">
        <f t="shared" si="9"/>
        <v>0</v>
      </c>
      <c r="H18" s="58">
        <f t="shared" si="9"/>
        <v>0</v>
      </c>
      <c r="I18" s="58">
        <f>项目投资!I26</f>
        <v>119420.24539877303</v>
      </c>
      <c r="J18" s="70" t="s">
        <v>144</v>
      </c>
      <c r="K18" s="70"/>
      <c r="L18" s="70"/>
    </row>
    <row r="19" spans="1:38">
      <c r="A19" s="185">
        <v>13</v>
      </c>
      <c r="B19" s="52" t="s">
        <v>43</v>
      </c>
      <c r="C19" s="54">
        <f>C6*C44</f>
        <v>42375</v>
      </c>
      <c r="D19" s="54">
        <f t="shared" ref="D19:H19" si="10">D6*D44</f>
        <v>101250</v>
      </c>
      <c r="E19" s="54">
        <f t="shared" si="10"/>
        <v>48750</v>
      </c>
      <c r="F19" s="54">
        <f t="shared" si="10"/>
        <v>0</v>
      </c>
      <c r="G19" s="54">
        <f t="shared" si="10"/>
        <v>0</v>
      </c>
      <c r="H19" s="54">
        <f t="shared" si="10"/>
        <v>0</v>
      </c>
      <c r="I19" s="54">
        <f t="shared" si="0"/>
        <v>192375</v>
      </c>
      <c r="J19" s="46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185">
        <v>14</v>
      </c>
      <c r="B20" s="52" t="s">
        <v>45</v>
      </c>
      <c r="C20" s="54">
        <f>C6*C45</f>
        <v>170065</v>
      </c>
      <c r="D20" s="54">
        <f t="shared" ref="D20:H20" si="11">D6*D45</f>
        <v>406350</v>
      </c>
      <c r="E20" s="54">
        <f t="shared" si="11"/>
        <v>195649.99999999997</v>
      </c>
      <c r="F20" s="54">
        <f t="shared" si="11"/>
        <v>0</v>
      </c>
      <c r="G20" s="54">
        <f t="shared" si="11"/>
        <v>0</v>
      </c>
      <c r="H20" s="54">
        <f t="shared" si="11"/>
        <v>0</v>
      </c>
      <c r="I20" s="54">
        <f t="shared" si="0"/>
        <v>772065</v>
      </c>
      <c r="T20" s="52" t="s">
        <v>45</v>
      </c>
      <c r="AJ20" s="52" t="s">
        <v>46</v>
      </c>
      <c r="AK20" s="52" t="s">
        <v>45</v>
      </c>
    </row>
    <row r="21" spans="1:38">
      <c r="A21" s="185">
        <v>15</v>
      </c>
      <c r="B21" s="52" t="s">
        <v>47</v>
      </c>
      <c r="C21" s="59">
        <f>$I$21/$I$6*C6</f>
        <v>17680.981595092024</v>
      </c>
      <c r="D21" s="59">
        <f t="shared" ref="D21:H21" si="12">$I$21/$I$6*D6</f>
        <v>17680.981595092024</v>
      </c>
      <c r="E21" s="59">
        <f t="shared" si="12"/>
        <v>17680.981595092024</v>
      </c>
      <c r="F21" s="59">
        <f t="shared" si="12"/>
        <v>0</v>
      </c>
      <c r="G21" s="59">
        <f t="shared" si="12"/>
        <v>0</v>
      </c>
      <c r="H21" s="59">
        <f t="shared" si="12"/>
        <v>0</v>
      </c>
      <c r="I21" s="54">
        <f>项目投资!I27</f>
        <v>53042.944785276071</v>
      </c>
      <c r="T21" s="52" t="s">
        <v>47</v>
      </c>
      <c r="AJ21" s="52"/>
      <c r="AK21" s="52"/>
    </row>
    <row r="22" spans="1:38">
      <c r="A22" s="185">
        <v>16</v>
      </c>
      <c r="B22" s="52" t="s">
        <v>48</v>
      </c>
      <c r="C22" s="54">
        <f>C6*C47</f>
        <v>130514.99999999999</v>
      </c>
      <c r="D22" s="54">
        <f t="shared" ref="D22:H22" si="13">D6*D47</f>
        <v>311850</v>
      </c>
      <c r="E22" s="54">
        <f t="shared" si="13"/>
        <v>150150</v>
      </c>
      <c r="F22" s="54">
        <f t="shared" si="13"/>
        <v>0</v>
      </c>
      <c r="G22" s="54">
        <f t="shared" si="13"/>
        <v>0</v>
      </c>
      <c r="H22" s="54">
        <f t="shared" si="13"/>
        <v>0</v>
      </c>
      <c r="I22" s="54">
        <f t="shared" si="0"/>
        <v>592515</v>
      </c>
      <c r="T22" s="52" t="s">
        <v>48</v>
      </c>
      <c r="AJ22" s="52" t="s">
        <v>49</v>
      </c>
      <c r="AK22" s="52" t="s">
        <v>48</v>
      </c>
    </row>
    <row r="23" spans="1:38">
      <c r="A23" s="185">
        <v>17</v>
      </c>
      <c r="B23" s="55" t="s">
        <v>50</v>
      </c>
      <c r="C23" s="59">
        <f>+C22+C21+C20+C19+C17</f>
        <v>669382.73006134969</v>
      </c>
      <c r="D23" s="59">
        <f t="shared" ref="D23:I23" si="14">+D22+D21+D20+D19+D17</f>
        <v>1519537.7300613497</v>
      </c>
      <c r="E23" s="59">
        <f t="shared" si="14"/>
        <v>761437.73006134969</v>
      </c>
      <c r="F23" s="59">
        <f t="shared" si="14"/>
        <v>0</v>
      </c>
      <c r="G23" s="59">
        <f t="shared" si="14"/>
        <v>0</v>
      </c>
      <c r="H23" s="59">
        <f t="shared" si="14"/>
        <v>0</v>
      </c>
      <c r="I23" s="59">
        <f t="shared" si="14"/>
        <v>2950358.1901840493</v>
      </c>
      <c r="T23" s="55" t="s">
        <v>50</v>
      </c>
      <c r="AJ23" s="52" t="s">
        <v>51</v>
      </c>
      <c r="AK23" s="55" t="s">
        <v>50</v>
      </c>
    </row>
    <row r="24" spans="1:38">
      <c r="A24" s="185">
        <v>18</v>
      </c>
      <c r="B24" s="60" t="s">
        <v>52</v>
      </c>
      <c r="C24" s="59">
        <f>+C15-C23</f>
        <v>91548.989354600897</v>
      </c>
      <c r="D24" s="59">
        <f t="shared" ref="D24:I24" si="15">+D15-D23</f>
        <v>-362291.35836560954</v>
      </c>
      <c r="E24" s="59">
        <f t="shared" si="15"/>
        <v>-538193.97318737698</v>
      </c>
      <c r="F24" s="59">
        <f t="shared" si="15"/>
        <v>0</v>
      </c>
      <c r="G24" s="59">
        <f t="shared" si="15"/>
        <v>0</v>
      </c>
      <c r="H24" s="59">
        <f t="shared" si="15"/>
        <v>0</v>
      </c>
      <c r="I24" s="59">
        <f t="shared" si="15"/>
        <v>-808936.34219838586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185">
        <v>19</v>
      </c>
      <c r="B25" s="52" t="s">
        <v>145</v>
      </c>
      <c r="C25" s="59">
        <f>IF(C24&lt;0,0,C24*0.25)</f>
        <v>22887.247338650224</v>
      </c>
      <c r="D25" s="59">
        <f>IF(D24&lt;0,0,D24*0.15)</f>
        <v>0</v>
      </c>
      <c r="E25" s="59">
        <f t="shared" ref="E25:I25" si="16">IF(E24&lt;0,0,E24*0.25)</f>
        <v>0</v>
      </c>
      <c r="F25" s="59">
        <f>IF(F24&lt;0,0,F24*0.15)</f>
        <v>0</v>
      </c>
      <c r="G25" s="59">
        <f t="shared" si="16"/>
        <v>0</v>
      </c>
      <c r="H25" s="59">
        <f t="shared" si="16"/>
        <v>0</v>
      </c>
      <c r="I25" s="59">
        <f t="shared" si="16"/>
        <v>0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185">
        <v>20</v>
      </c>
      <c r="B26" s="52" t="s">
        <v>56</v>
      </c>
      <c r="C26" s="59">
        <f t="shared" ref="C26:H26" si="17">C24-C25</f>
        <v>68661.742015950673</v>
      </c>
      <c r="D26" s="59">
        <f t="shared" si="17"/>
        <v>-362291.35836560954</v>
      </c>
      <c r="E26" s="59">
        <f t="shared" si="17"/>
        <v>-538193.97318737698</v>
      </c>
      <c r="F26" s="59">
        <f t="shared" si="17"/>
        <v>0</v>
      </c>
      <c r="G26" s="59">
        <f t="shared" si="17"/>
        <v>0</v>
      </c>
      <c r="H26" s="59">
        <f t="shared" si="17"/>
        <v>0</v>
      </c>
      <c r="I26" s="54">
        <f>+SUM(C26:H26)</f>
        <v>-831823.58953703591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185">
        <v>21</v>
      </c>
      <c r="B27" s="52" t="s">
        <v>60</v>
      </c>
      <c r="C27" s="61">
        <f t="shared" ref="C27:I27" si="18">C26/C7</f>
        <v>1.2152520710787729E-2</v>
      </c>
      <c r="D27" s="61">
        <f t="shared" si="18"/>
        <v>-2.6836396915971079E-2</v>
      </c>
      <c r="E27" s="61">
        <f t="shared" si="18"/>
        <v>-8.2799072798057996E-2</v>
      </c>
      <c r="F27" s="61" t="e">
        <f t="shared" si="18"/>
        <v>#DIV/0!</v>
      </c>
      <c r="G27" s="61" t="e">
        <f t="shared" si="18"/>
        <v>#DIV/0!</v>
      </c>
      <c r="H27" s="61" t="e">
        <f t="shared" si="18"/>
        <v>#DIV/0!</v>
      </c>
      <c r="I27" s="61">
        <f t="shared" si="18"/>
        <v>-3.242976957259399E-2</v>
      </c>
      <c r="J27" s="67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185">
        <v>1</v>
      </c>
      <c r="B31" s="57" t="s">
        <v>65</v>
      </c>
      <c r="C31" s="63">
        <f>销量!C8</f>
        <v>565</v>
      </c>
      <c r="D31" s="63">
        <f>销量!D8</f>
        <v>1350</v>
      </c>
      <c r="E31" s="63">
        <f>销量!E8</f>
        <v>650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185">
        <v>2</v>
      </c>
      <c r="B32" s="52" t="s">
        <v>147</v>
      </c>
      <c r="C32" s="54">
        <f>C9/C6</f>
        <v>485.18472452050003</v>
      </c>
      <c r="D32" s="54">
        <f t="shared" ref="D32:H32" si="19">D9/D6</f>
        <v>1159.290934695</v>
      </c>
      <c r="E32" s="54">
        <f t="shared" si="19"/>
        <v>558.177116705</v>
      </c>
      <c r="F32" s="54" t="e">
        <f t="shared" si="19"/>
        <v>#DIV/0!</v>
      </c>
      <c r="G32" s="54" t="e">
        <f t="shared" si="19"/>
        <v>#DIV/0!</v>
      </c>
      <c r="H32" s="54" t="e">
        <f t="shared" si="19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85">
        <v>3</v>
      </c>
      <c r="B33" s="57" t="s">
        <v>66</v>
      </c>
      <c r="C33" s="54">
        <f>材料成本!J18</f>
        <v>383.55355257890494</v>
      </c>
      <c r="D33" s="54">
        <f>材料成本!J19</f>
        <v>982.54629752542598</v>
      </c>
      <c r="E33" s="54">
        <f>材料成本!J20</f>
        <v>506.4727410176028</v>
      </c>
      <c r="F33" s="54">
        <f>材料成本!J21</f>
        <v>0</v>
      </c>
      <c r="G33" s="54">
        <f>材料成本!J22</f>
        <v>0</v>
      </c>
      <c r="H33" s="54"/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185">
        <v>4</v>
      </c>
      <c r="B34" s="52" t="s">
        <v>68</v>
      </c>
      <c r="C34" s="64">
        <f>C32-C33</f>
        <v>101.63117194159508</v>
      </c>
      <c r="D34" s="64">
        <f t="shared" ref="D34:H34" si="20">D32-D33</f>
        <v>176.74463716957405</v>
      </c>
      <c r="E34" s="64">
        <f t="shared" si="20"/>
        <v>51.704375687397203</v>
      </c>
      <c r="F34" s="64" t="e">
        <f t="shared" si="20"/>
        <v>#DIV/0!</v>
      </c>
      <c r="G34" s="64" t="e">
        <f t="shared" si="20"/>
        <v>#DIV/0!</v>
      </c>
      <c r="H34" s="64" t="e">
        <f t="shared" si="20"/>
        <v>#DIV/0!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185">
        <v>1</v>
      </c>
      <c r="B36" s="52" t="s">
        <v>71</v>
      </c>
      <c r="C36" s="58">
        <f>'2023年'!C36</f>
        <v>8.8704999999999998</v>
      </c>
      <c r="D36" s="58">
        <f>'2023年'!D36</f>
        <v>21.194999999999997</v>
      </c>
      <c r="E36" s="58">
        <f>'2023年'!E36</f>
        <v>10.204999999999998</v>
      </c>
      <c r="F36" s="58">
        <f>'2023年'!F36</f>
        <v>0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185">
        <v>2</v>
      </c>
      <c r="B37" s="52" t="s">
        <v>72</v>
      </c>
      <c r="C37" s="58">
        <f>'2023年'!C37</f>
        <v>2.1469999999999998</v>
      </c>
      <c r="D37" s="58">
        <f>'2023年'!D37</f>
        <v>5.13</v>
      </c>
      <c r="E37" s="58">
        <f>'2023年'!E37</f>
        <v>2.4700000000000002</v>
      </c>
      <c r="F37" s="58">
        <f>'2023年'!F37</f>
        <v>0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185">
        <v>3</v>
      </c>
      <c r="B38" s="52" t="s">
        <v>73</v>
      </c>
      <c r="C38" s="58">
        <f>'2023年'!C38</f>
        <v>14.5205</v>
      </c>
      <c r="D38" s="58">
        <f>'2023年'!D38</f>
        <v>34.695</v>
      </c>
      <c r="E38" s="58">
        <f>'2023年'!E38</f>
        <v>16.705000000000002</v>
      </c>
      <c r="F38" s="58">
        <f>'2023年'!F38</f>
        <v>0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185">
        <v>1</v>
      </c>
      <c r="B40" s="52" t="s">
        <v>77</v>
      </c>
      <c r="C40" s="59">
        <f>C34-C36-C37-C38</f>
        <v>76.093171941595088</v>
      </c>
      <c r="D40" s="59">
        <f t="shared" ref="D40:H40" si="21">D34-D36-D37-D38</f>
        <v>115.72463716957407</v>
      </c>
      <c r="E40" s="59">
        <f t="shared" si="21"/>
        <v>22.324375687397204</v>
      </c>
      <c r="F40" s="59" t="e">
        <f t="shared" si="21"/>
        <v>#DIV/0!</v>
      </c>
      <c r="G40" s="59" t="e">
        <f t="shared" si="21"/>
        <v>#DIV/0!</v>
      </c>
      <c r="H40" s="59" t="e">
        <f t="shared" si="21"/>
        <v>#DIV/0!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185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185">
        <v>1</v>
      </c>
      <c r="B43" s="60" t="s">
        <v>81</v>
      </c>
      <c r="C43" s="58">
        <f>'2023年'!C43</f>
        <v>26.894000000000002</v>
      </c>
      <c r="D43" s="58">
        <f>'2023年'!D43</f>
        <v>64.260000000000005</v>
      </c>
      <c r="E43" s="58">
        <f>'2023年'!E43</f>
        <v>30.94</v>
      </c>
      <c r="F43" s="58">
        <f>'2023年'!F43</f>
        <v>0</v>
      </c>
      <c r="G43" s="58">
        <f>'2023年'!G43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185">
        <v>2</v>
      </c>
      <c r="B44" s="60" t="s">
        <v>82</v>
      </c>
      <c r="C44" s="58">
        <f>'2023年'!C44</f>
        <v>4.2374999999999998</v>
      </c>
      <c r="D44" s="58">
        <f>'2023年'!D44</f>
        <v>10.125</v>
      </c>
      <c r="E44" s="58">
        <f>'2023年'!E44</f>
        <v>4.875</v>
      </c>
      <c r="F44" s="58">
        <f>'2023年'!F44</f>
        <v>0</v>
      </c>
      <c r="G44" s="58">
        <f>'2023年'!G44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185">
        <v>3</v>
      </c>
      <c r="B45" s="60" t="s">
        <v>83</v>
      </c>
      <c r="C45" s="58">
        <f>'2023年'!C45</f>
        <v>17.006499999999999</v>
      </c>
      <c r="D45" s="58">
        <f>'2023年'!D45</f>
        <v>40.634999999999998</v>
      </c>
      <c r="E45" s="58">
        <f>'2023年'!E45</f>
        <v>19.564999999999998</v>
      </c>
      <c r="F45" s="58">
        <f>'2023年'!F45</f>
        <v>0</v>
      </c>
      <c r="G45" s="58">
        <f>'2023年'!G45</f>
        <v>0</v>
      </c>
      <c r="H45" s="58"/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185">
        <v>4</v>
      </c>
      <c r="B46" s="60" t="s">
        <v>84</v>
      </c>
      <c r="C46" s="65">
        <f>C21/C6</f>
        <v>1.7680981595092025</v>
      </c>
      <c r="D46" s="65">
        <f t="shared" ref="D46:H46" si="22">D21/D6</f>
        <v>1.7680981595092025</v>
      </c>
      <c r="E46" s="65">
        <f t="shared" si="22"/>
        <v>1.7680981595092025</v>
      </c>
      <c r="F46" s="65" t="e">
        <f t="shared" si="22"/>
        <v>#DIV/0!</v>
      </c>
      <c r="G46" s="65" t="e">
        <f t="shared" si="22"/>
        <v>#DIV/0!</v>
      </c>
      <c r="H46" s="65" t="e">
        <f t="shared" si="22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185">
        <v>5</v>
      </c>
      <c r="B47" s="60" t="s">
        <v>86</v>
      </c>
      <c r="C47" s="58">
        <f>'2023年'!C47</f>
        <v>13.051499999999999</v>
      </c>
      <c r="D47" s="58">
        <f>'2023年'!D47</f>
        <v>31.184999999999999</v>
      </c>
      <c r="E47" s="58">
        <f>'2023年'!E47</f>
        <v>15.014999999999999</v>
      </c>
      <c r="F47" s="58">
        <f>'2023年'!F47</f>
        <v>0</v>
      </c>
      <c r="G47" s="58">
        <f>'2023年'!G47</f>
        <v>0</v>
      </c>
      <c r="H47" s="65"/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13.135573782085885</v>
      </c>
      <c r="D48" s="59">
        <f t="shared" ref="D48:H48" si="23">D40-D43-D44-D45-D47-D46</f>
        <v>-32.24846098993514</v>
      </c>
      <c r="E48" s="59">
        <f t="shared" si="23"/>
        <v>-49.838722472111996</v>
      </c>
      <c r="F48" s="59" t="e">
        <f t="shared" si="23"/>
        <v>#DIV/0!</v>
      </c>
      <c r="G48" s="59" t="e">
        <f t="shared" si="23"/>
        <v>#DIV/0!</v>
      </c>
      <c r="H48" s="59" t="e">
        <f t="shared" si="23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8</vt:i4>
      </vt:variant>
    </vt:vector>
  </HeadingPairs>
  <TitlesOfParts>
    <vt:vector size="22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2028年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'2028年'!Print_Area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2023-07-05T06:09:38Z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