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产品报价\北汽李尔\2023.7.7 B01\"/>
    </mc:Choice>
  </mc:AlternateContent>
  <bookViews>
    <workbookView xWindow="0" yWindow="0" windowWidth="20925" windowHeight="9390" tabRatio="703" firstSheet="8" activeTab="12"/>
  </bookViews>
  <sheets>
    <sheet name="B01 发泡明细20220712" sheetId="2" state="hidden" r:id="rId1"/>
    <sheet name="V71 发泡明细 20220712" sheetId="10" state="hidden" r:id="rId2"/>
    <sheet name="附加值汇总表(不含运费）" sheetId="11" state="hidden" r:id="rId3"/>
    <sheet name="附加值汇总表（含运费）" sheetId="13" state="hidden" r:id="rId4"/>
    <sheet name="附加值汇总表3.24" sheetId="14" state="hidden" r:id="rId5"/>
    <sheet name="附加值汇总表4.27" sheetId="16" state="hidden" r:id="rId6"/>
    <sheet name="成本汇总" sheetId="15" state="hidden" r:id="rId7"/>
    <sheet name="李尔附加值V71" sheetId="17" state="hidden" r:id="rId8"/>
    <sheet name="B01" sheetId="22" r:id="rId9"/>
    <sheet name="V71" sheetId="21" r:id="rId10"/>
    <sheet name="李尔附加值B01(2)" sheetId="19" r:id="rId11"/>
    <sheet name="李尔附加值V71 (2)" sheetId="18" r:id="rId12"/>
    <sheet name="成本汇总 (2)" sheetId="20" r:id="rId13"/>
  </sheets>
  <externalReferences>
    <externalReference r:id="rId14"/>
  </externalReferences>
  <definedNames>
    <definedName name="_xlnm._FilterDatabase" localSheetId="0" hidden="1">'B01 发泡明细20220712'!$C$1:$C$422</definedName>
    <definedName name="_xlnm._FilterDatabase" localSheetId="1" hidden="1">'V71 发泡明细 20220712'!$A$3:$S$198</definedName>
    <definedName name="_xlnm.Print_Area" localSheetId="0">'B01 发泡明细20220712'!$A$1:$O$59</definedName>
    <definedName name="_xlnm.Print_Area" localSheetId="1">'V71 发泡明细 20220712'!$A$1:$P$198</definedName>
    <definedName name="_xlnm.Print_Titles" localSheetId="0">'B01 发泡明细20220712'!$1:$2</definedName>
    <definedName name="_xlnm.Print_Titles" localSheetId="1">'V71 发泡明细 20220712'!$1:$2</definedName>
  </definedNames>
  <calcPr calcId="162913"/>
</workbook>
</file>

<file path=xl/calcChain.xml><?xml version="1.0" encoding="utf-8"?>
<calcChain xmlns="http://schemas.openxmlformats.org/spreadsheetml/2006/main">
  <c r="C8" i="20" l="1"/>
  <c r="C9" i="20"/>
  <c r="B4" i="20"/>
  <c r="B9" i="20" s="1"/>
  <c r="B18" i="20" s="1"/>
  <c r="B23" i="20" s="1"/>
  <c r="B3" i="20"/>
  <c r="D3" i="20" s="1"/>
  <c r="E3" i="20" s="1"/>
  <c r="F20" i="18"/>
  <c r="G20" i="18" s="1"/>
  <c r="E20" i="18"/>
  <c r="D20" i="18"/>
  <c r="E19" i="18"/>
  <c r="D19" i="18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F7" i="18"/>
  <c r="G7" i="18" s="1"/>
  <c r="F6" i="18"/>
  <c r="G6" i="18" s="1"/>
  <c r="F5" i="18"/>
  <c r="G5" i="18" s="1"/>
  <c r="F4" i="18"/>
  <c r="G4" i="18" s="1"/>
  <c r="F3" i="18"/>
  <c r="F19" i="18" s="1"/>
  <c r="G19" i="18" s="1"/>
  <c r="F10" i="19"/>
  <c r="G10" i="19" s="1"/>
  <c r="E10" i="19"/>
  <c r="D10" i="19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K35" i="21"/>
  <c r="L35" i="21" s="1"/>
  <c r="F35" i="21"/>
  <c r="H35" i="21" s="1"/>
  <c r="K18" i="18" s="1"/>
  <c r="L34" i="21"/>
  <c r="P34" i="21" s="1"/>
  <c r="R34" i="21" s="1"/>
  <c r="H17" i="18" s="1"/>
  <c r="I17" i="18" s="1"/>
  <c r="J17" i="18" s="1"/>
  <c r="K34" i="21"/>
  <c r="F34" i="21"/>
  <c r="H34" i="21" s="1"/>
  <c r="K17" i="18" s="1"/>
  <c r="L33" i="21"/>
  <c r="O33" i="21" s="1"/>
  <c r="F33" i="21"/>
  <c r="H33" i="21" s="1"/>
  <c r="K16" i="18" s="1"/>
  <c r="L32" i="21"/>
  <c r="O32" i="21" s="1"/>
  <c r="K32" i="21"/>
  <c r="F32" i="21"/>
  <c r="H32" i="21" s="1"/>
  <c r="K15" i="18" s="1"/>
  <c r="P31" i="21"/>
  <c r="R31" i="21" s="1"/>
  <c r="H14" i="18" s="1"/>
  <c r="I14" i="18" s="1"/>
  <c r="J14" i="18" s="1"/>
  <c r="O31" i="21"/>
  <c r="L31" i="21"/>
  <c r="F31" i="21"/>
  <c r="H31" i="21" s="1"/>
  <c r="K14" i="18" s="1"/>
  <c r="P30" i="21"/>
  <c r="R30" i="21" s="1"/>
  <c r="H13" i="18" s="1"/>
  <c r="I13" i="18" s="1"/>
  <c r="J13" i="18" s="1"/>
  <c r="O30" i="21"/>
  <c r="L30" i="21"/>
  <c r="F30" i="21"/>
  <c r="H30" i="21" s="1"/>
  <c r="K13" i="18" s="1"/>
  <c r="P29" i="21"/>
  <c r="R29" i="21" s="1"/>
  <c r="H12" i="18" s="1"/>
  <c r="I12" i="18" s="1"/>
  <c r="J12" i="18" s="1"/>
  <c r="O29" i="21"/>
  <c r="L29" i="21"/>
  <c r="H29" i="21"/>
  <c r="K12" i="18" s="1"/>
  <c r="L28" i="21"/>
  <c r="O28" i="21" s="1"/>
  <c r="H28" i="21"/>
  <c r="K11" i="18" s="1"/>
  <c r="P27" i="21"/>
  <c r="R27" i="21" s="1"/>
  <c r="H10" i="18" s="1"/>
  <c r="I10" i="18" s="1"/>
  <c r="J10" i="18" s="1"/>
  <c r="L27" i="21"/>
  <c r="O27" i="21" s="1"/>
  <c r="H27" i="21"/>
  <c r="K10" i="18" s="1"/>
  <c r="P26" i="21"/>
  <c r="R26" i="21" s="1"/>
  <c r="H9" i="18" s="1"/>
  <c r="I9" i="18" s="1"/>
  <c r="J9" i="18" s="1"/>
  <c r="O26" i="21"/>
  <c r="L26" i="21"/>
  <c r="H26" i="21"/>
  <c r="K9" i="18" s="1"/>
  <c r="L25" i="21"/>
  <c r="O25" i="21" s="1"/>
  <c r="H25" i="21"/>
  <c r="K8" i="18" s="1"/>
  <c r="K24" i="21"/>
  <c r="L24" i="21" s="1"/>
  <c r="F24" i="21"/>
  <c r="H24" i="21" s="1"/>
  <c r="K7" i="18" s="1"/>
  <c r="L23" i="21"/>
  <c r="O23" i="21" s="1"/>
  <c r="K23" i="21"/>
  <c r="F23" i="21"/>
  <c r="H23" i="21" s="1"/>
  <c r="K6" i="18" s="1"/>
  <c r="K22" i="21"/>
  <c r="L22" i="21" s="1"/>
  <c r="H22" i="21"/>
  <c r="K5" i="18" s="1"/>
  <c r="F22" i="21"/>
  <c r="K21" i="21"/>
  <c r="L21" i="21" s="1"/>
  <c r="F21" i="21"/>
  <c r="H21" i="21" s="1"/>
  <c r="K4" i="18" s="1"/>
  <c r="L20" i="21"/>
  <c r="K20" i="21"/>
  <c r="F20" i="21"/>
  <c r="H20" i="21" s="1"/>
  <c r="K3" i="18" s="1"/>
  <c r="L17" i="21"/>
  <c r="P16" i="21"/>
  <c r="R16" i="21" s="1"/>
  <c r="O16" i="21"/>
  <c r="L16" i="21"/>
  <c r="L15" i="21"/>
  <c r="L14" i="21"/>
  <c r="P14" i="21" s="1"/>
  <c r="R14" i="21" s="1"/>
  <c r="P13" i="21"/>
  <c r="R13" i="21" s="1"/>
  <c r="O13" i="21"/>
  <c r="L13" i="21"/>
  <c r="L12" i="21"/>
  <c r="O12" i="21" s="1"/>
  <c r="L11" i="21"/>
  <c r="P11" i="21" s="1"/>
  <c r="R11" i="21" s="1"/>
  <c r="P10" i="21"/>
  <c r="R10" i="21" s="1"/>
  <c r="O10" i="21"/>
  <c r="L10" i="21"/>
  <c r="L9" i="21"/>
  <c r="O9" i="21" s="1"/>
  <c r="L8" i="21"/>
  <c r="P8" i="21" s="1"/>
  <c r="R8" i="21" s="1"/>
  <c r="P7" i="21"/>
  <c r="R7" i="21" s="1"/>
  <c r="O7" i="21"/>
  <c r="L7" i="21"/>
  <c r="L6" i="21"/>
  <c r="O6" i="21" s="1"/>
  <c r="L5" i="21"/>
  <c r="P5" i="21" s="1"/>
  <c r="R5" i="21" s="1"/>
  <c r="P4" i="21"/>
  <c r="R4" i="21" s="1"/>
  <c r="O4" i="21"/>
  <c r="L4" i="21"/>
  <c r="L3" i="21"/>
  <c r="O3" i="21" s="1"/>
  <c r="L2" i="21"/>
  <c r="P2" i="21" s="1"/>
  <c r="R2" i="21" s="1"/>
  <c r="K2" i="21"/>
  <c r="P16" i="22"/>
  <c r="R16" i="22" s="1"/>
  <c r="H9" i="19" s="1"/>
  <c r="I9" i="19" s="1"/>
  <c r="J9" i="19" s="1"/>
  <c r="L16" i="22"/>
  <c r="O16" i="22" s="1"/>
  <c r="H16" i="22"/>
  <c r="K9" i="19" s="1"/>
  <c r="F16" i="22"/>
  <c r="L15" i="22"/>
  <c r="O15" i="22" s="1"/>
  <c r="H15" i="22"/>
  <c r="K8" i="19" s="1"/>
  <c r="F15" i="22"/>
  <c r="L14" i="22"/>
  <c r="O14" i="22" s="1"/>
  <c r="H14" i="22"/>
  <c r="K7" i="19" s="1"/>
  <c r="F14" i="22"/>
  <c r="P13" i="22"/>
  <c r="R13" i="22" s="1"/>
  <c r="H6" i="19" s="1"/>
  <c r="I6" i="19" s="1"/>
  <c r="J6" i="19" s="1"/>
  <c r="L13" i="22"/>
  <c r="O13" i="22" s="1"/>
  <c r="H13" i="22"/>
  <c r="K6" i="19" s="1"/>
  <c r="F13" i="22"/>
  <c r="L12" i="22"/>
  <c r="O12" i="22" s="1"/>
  <c r="H12" i="22"/>
  <c r="K5" i="19" s="1"/>
  <c r="F12" i="22"/>
  <c r="L11" i="22"/>
  <c r="O11" i="22" s="1"/>
  <c r="H11" i="22"/>
  <c r="K4" i="19" s="1"/>
  <c r="F11" i="22"/>
  <c r="P10" i="22"/>
  <c r="R10" i="22" s="1"/>
  <c r="H3" i="19" s="1"/>
  <c r="L10" i="22"/>
  <c r="O10" i="22" s="1"/>
  <c r="H10" i="22"/>
  <c r="K3" i="19" s="1"/>
  <c r="F10" i="22"/>
  <c r="L8" i="22"/>
  <c r="O8" i="22" s="1"/>
  <c r="L7" i="22"/>
  <c r="P7" i="22" s="1"/>
  <c r="R7" i="22" s="1"/>
  <c r="P6" i="22"/>
  <c r="R6" i="22" s="1"/>
  <c r="O6" i="22"/>
  <c r="L6" i="22"/>
  <c r="L5" i="22"/>
  <c r="O5" i="22" s="1"/>
  <c r="L4" i="22"/>
  <c r="P4" i="22" s="1"/>
  <c r="R4" i="22" s="1"/>
  <c r="P3" i="22"/>
  <c r="R3" i="22" s="1"/>
  <c r="O3" i="22"/>
  <c r="L3" i="22"/>
  <c r="L2" i="22"/>
  <c r="O2" i="22" s="1"/>
  <c r="K2" i="22"/>
  <c r="E22" i="17"/>
  <c r="F22" i="17" s="1"/>
  <c r="G22" i="17" s="1"/>
  <c r="D22" i="17"/>
  <c r="E21" i="17"/>
  <c r="D21" i="17"/>
  <c r="G20" i="17"/>
  <c r="F20" i="17"/>
  <c r="F19" i="17"/>
  <c r="G19" i="17" s="1"/>
  <c r="F18" i="17"/>
  <c r="G18" i="17" s="1"/>
  <c r="G17" i="17"/>
  <c r="F17" i="17"/>
  <c r="F16" i="17"/>
  <c r="G16" i="17" s="1"/>
  <c r="F15" i="17"/>
  <c r="G15" i="17" s="1"/>
  <c r="G14" i="17"/>
  <c r="F14" i="17"/>
  <c r="G13" i="17"/>
  <c r="F13" i="17"/>
  <c r="F12" i="17"/>
  <c r="G12" i="17" s="1"/>
  <c r="G11" i="17"/>
  <c r="F11" i="17"/>
  <c r="F10" i="17"/>
  <c r="G10" i="17" s="1"/>
  <c r="F9" i="17"/>
  <c r="G9" i="17" s="1"/>
  <c r="G8" i="17"/>
  <c r="F8" i="17"/>
  <c r="F7" i="17"/>
  <c r="G7" i="17" s="1"/>
  <c r="F6" i="17"/>
  <c r="G6" i="17" s="1"/>
  <c r="G5" i="17"/>
  <c r="F5" i="17"/>
  <c r="G4" i="17"/>
  <c r="F4" i="17"/>
  <c r="D25" i="15"/>
  <c r="E25" i="15" s="1"/>
  <c r="F25" i="15" s="1"/>
  <c r="E24" i="15"/>
  <c r="F24" i="15" s="1"/>
  <c r="D24" i="15"/>
  <c r="B10" i="15"/>
  <c r="H10" i="15" s="1"/>
  <c r="I10" i="15" s="1"/>
  <c r="C4" i="15"/>
  <c r="E4" i="15" s="1"/>
  <c r="F4" i="15" s="1"/>
  <c r="C3" i="15"/>
  <c r="E3" i="15" s="1"/>
  <c r="F3" i="15" s="1"/>
  <c r="J46" i="16"/>
  <c r="I46" i="16"/>
  <c r="E46" i="16"/>
  <c r="D5" i="16" s="1"/>
  <c r="H5" i="16" s="1"/>
  <c r="D46" i="16"/>
  <c r="E45" i="16"/>
  <c r="D45" i="16"/>
  <c r="G44" i="16"/>
  <c r="F44" i="16"/>
  <c r="F43" i="16"/>
  <c r="G43" i="16" s="1"/>
  <c r="F42" i="16"/>
  <c r="G42" i="16" s="1"/>
  <c r="G41" i="16"/>
  <c r="F41" i="16"/>
  <c r="F40" i="16"/>
  <c r="G40" i="16" s="1"/>
  <c r="F39" i="16"/>
  <c r="G39" i="16" s="1"/>
  <c r="G38" i="16"/>
  <c r="F38" i="16"/>
  <c r="G37" i="16"/>
  <c r="F37" i="16"/>
  <c r="F36" i="16"/>
  <c r="G36" i="16" s="1"/>
  <c r="G35" i="16"/>
  <c r="F35" i="16"/>
  <c r="F34" i="16"/>
  <c r="G34" i="16" s="1"/>
  <c r="F33" i="16"/>
  <c r="G33" i="16" s="1"/>
  <c r="G32" i="16"/>
  <c r="F32" i="16"/>
  <c r="F31" i="16"/>
  <c r="G31" i="16" s="1"/>
  <c r="F30" i="16"/>
  <c r="G30" i="16" s="1"/>
  <c r="G29" i="16"/>
  <c r="F29" i="16"/>
  <c r="G28" i="16"/>
  <c r="F28" i="16"/>
  <c r="E20" i="16"/>
  <c r="D4" i="16" s="1"/>
  <c r="D20" i="16"/>
  <c r="F19" i="16"/>
  <c r="G19" i="16" s="1"/>
  <c r="F18" i="16"/>
  <c r="G18" i="16" s="1"/>
  <c r="G17" i="16"/>
  <c r="F17" i="16"/>
  <c r="F16" i="16"/>
  <c r="G16" i="16" s="1"/>
  <c r="F15" i="16"/>
  <c r="G15" i="16" s="1"/>
  <c r="G14" i="16"/>
  <c r="F14" i="16"/>
  <c r="G13" i="16"/>
  <c r="F13" i="16"/>
  <c r="G5" i="16"/>
  <c r="E5" i="16"/>
  <c r="C5" i="16"/>
  <c r="C4" i="16"/>
  <c r="G4" i="16" s="1"/>
  <c r="E46" i="14"/>
  <c r="D46" i="14"/>
  <c r="F46" i="14" s="1"/>
  <c r="G46" i="14" s="1"/>
  <c r="E45" i="14"/>
  <c r="D45" i="14"/>
  <c r="F44" i="14"/>
  <c r="G44" i="14" s="1"/>
  <c r="G43" i="14"/>
  <c r="F43" i="14"/>
  <c r="F42" i="14"/>
  <c r="G42" i="14" s="1"/>
  <c r="F41" i="14"/>
  <c r="G41" i="14" s="1"/>
  <c r="G40" i="14"/>
  <c r="F40" i="14"/>
  <c r="G39" i="14"/>
  <c r="F39" i="14"/>
  <c r="F38" i="14"/>
  <c r="G38" i="14" s="1"/>
  <c r="G37" i="14"/>
  <c r="F37" i="14"/>
  <c r="F36" i="14"/>
  <c r="G36" i="14" s="1"/>
  <c r="F35" i="14"/>
  <c r="G35" i="14" s="1"/>
  <c r="G34" i="14"/>
  <c r="F34" i="14"/>
  <c r="F33" i="14"/>
  <c r="G33" i="14" s="1"/>
  <c r="F32" i="14"/>
  <c r="G32" i="14" s="1"/>
  <c r="G31" i="14"/>
  <c r="F31" i="14"/>
  <c r="G30" i="14"/>
  <c r="F30" i="14"/>
  <c r="F29" i="14"/>
  <c r="G29" i="14" s="1"/>
  <c r="G28" i="14"/>
  <c r="F28" i="14"/>
  <c r="F20" i="14"/>
  <c r="G20" i="14" s="1"/>
  <c r="E20" i="14"/>
  <c r="D20" i="14"/>
  <c r="C4" i="14" s="1"/>
  <c r="G19" i="14"/>
  <c r="F19" i="14"/>
  <c r="F18" i="14"/>
  <c r="G18" i="14" s="1"/>
  <c r="F17" i="14"/>
  <c r="G17" i="14" s="1"/>
  <c r="G16" i="14"/>
  <c r="F16" i="14"/>
  <c r="F15" i="14"/>
  <c r="G15" i="14" s="1"/>
  <c r="F14" i="14"/>
  <c r="G14" i="14" s="1"/>
  <c r="G13" i="14"/>
  <c r="F13" i="14"/>
  <c r="H5" i="14"/>
  <c r="D5" i="14"/>
  <c r="C5" i="14"/>
  <c r="G5" i="14" s="1"/>
  <c r="D4" i="14"/>
  <c r="H4" i="14" s="1"/>
  <c r="E46" i="13"/>
  <c r="F46" i="13" s="1"/>
  <c r="G46" i="13" s="1"/>
  <c r="D46" i="13"/>
  <c r="C5" i="13" s="1"/>
  <c r="G5" i="13" s="1"/>
  <c r="E45" i="13"/>
  <c r="D45" i="13"/>
  <c r="F44" i="13"/>
  <c r="G44" i="13" s="1"/>
  <c r="F43" i="13"/>
  <c r="G43" i="13" s="1"/>
  <c r="G42" i="13"/>
  <c r="F42" i="13"/>
  <c r="F41" i="13"/>
  <c r="G41" i="13" s="1"/>
  <c r="F40" i="13"/>
  <c r="G40" i="13" s="1"/>
  <c r="G39" i="13"/>
  <c r="F39" i="13"/>
  <c r="G38" i="13"/>
  <c r="F38" i="13"/>
  <c r="F37" i="13"/>
  <c r="G37" i="13" s="1"/>
  <c r="G36" i="13"/>
  <c r="F36" i="13"/>
  <c r="F35" i="13"/>
  <c r="G35" i="13" s="1"/>
  <c r="F34" i="13"/>
  <c r="G34" i="13" s="1"/>
  <c r="G33" i="13"/>
  <c r="F33" i="13"/>
  <c r="F32" i="13"/>
  <c r="G32" i="13" s="1"/>
  <c r="F31" i="13"/>
  <c r="G31" i="13" s="1"/>
  <c r="G30" i="13"/>
  <c r="F30" i="13"/>
  <c r="G29" i="13"/>
  <c r="F29" i="13"/>
  <c r="F28" i="13"/>
  <c r="G28" i="13" s="1"/>
  <c r="E20" i="13"/>
  <c r="D20" i="13"/>
  <c r="C4" i="13" s="1"/>
  <c r="G4" i="13" s="1"/>
  <c r="F19" i="13"/>
  <c r="G19" i="13" s="1"/>
  <c r="G18" i="13"/>
  <c r="F18" i="13"/>
  <c r="G17" i="13"/>
  <c r="F17" i="13"/>
  <c r="F16" i="13"/>
  <c r="G16" i="13" s="1"/>
  <c r="G15" i="13"/>
  <c r="F15" i="13"/>
  <c r="F14" i="13"/>
  <c r="G14" i="13" s="1"/>
  <c r="F13" i="13"/>
  <c r="G13" i="13" s="1"/>
  <c r="H4" i="13"/>
  <c r="D4" i="13"/>
  <c r="D46" i="11"/>
  <c r="D45" i="11"/>
  <c r="D20" i="11"/>
  <c r="C4" i="11" s="1"/>
  <c r="G4" i="11" s="1"/>
  <c r="C5" i="11"/>
  <c r="G5" i="11" s="1"/>
  <c r="N198" i="10"/>
  <c r="F197" i="10"/>
  <c r="O193" i="10"/>
  <c r="E44" i="11" s="1"/>
  <c r="F44" i="11" s="1"/>
  <c r="G44" i="11" s="1"/>
  <c r="N193" i="10"/>
  <c r="M193" i="10"/>
  <c r="O175" i="10"/>
  <c r="E43" i="11" s="1"/>
  <c r="F43" i="11" s="1"/>
  <c r="G43" i="11" s="1"/>
  <c r="N175" i="10"/>
  <c r="M175" i="10"/>
  <c r="O159" i="10"/>
  <c r="E42" i="11" s="1"/>
  <c r="F42" i="11" s="1"/>
  <c r="G42" i="11" s="1"/>
  <c r="N159" i="10"/>
  <c r="M159" i="10"/>
  <c r="O144" i="10"/>
  <c r="E41" i="11" s="1"/>
  <c r="F41" i="11" s="1"/>
  <c r="G41" i="11" s="1"/>
  <c r="N144" i="10"/>
  <c r="M144" i="10"/>
  <c r="M132" i="10"/>
  <c r="N129" i="10"/>
  <c r="O129" i="10" s="1"/>
  <c r="E40" i="11" s="1"/>
  <c r="F40" i="11" s="1"/>
  <c r="G40" i="11" s="1"/>
  <c r="O115" i="10"/>
  <c r="E39" i="11" s="1"/>
  <c r="F39" i="11" s="1"/>
  <c r="G39" i="11" s="1"/>
  <c r="N115" i="10"/>
  <c r="M115" i="10"/>
  <c r="O106" i="10"/>
  <c r="E38" i="11" s="1"/>
  <c r="F38" i="11" s="1"/>
  <c r="G38" i="11" s="1"/>
  <c r="N106" i="10"/>
  <c r="M106" i="10"/>
  <c r="O96" i="10"/>
  <c r="E37" i="11" s="1"/>
  <c r="F37" i="11" s="1"/>
  <c r="G37" i="11" s="1"/>
  <c r="N96" i="10"/>
  <c r="M96" i="10"/>
  <c r="O86" i="10"/>
  <c r="E36" i="11" s="1"/>
  <c r="F36" i="11" s="1"/>
  <c r="G36" i="11" s="1"/>
  <c r="N86" i="10"/>
  <c r="M86" i="10"/>
  <c r="O76" i="10"/>
  <c r="E35" i="11" s="1"/>
  <c r="F35" i="11" s="1"/>
  <c r="G35" i="11" s="1"/>
  <c r="N76" i="10"/>
  <c r="M76" i="10"/>
  <c r="O67" i="10"/>
  <c r="E34" i="11" s="1"/>
  <c r="F34" i="11" s="1"/>
  <c r="G34" i="11" s="1"/>
  <c r="N67" i="10"/>
  <c r="M67" i="10"/>
  <c r="O57" i="10"/>
  <c r="E33" i="11" s="1"/>
  <c r="F33" i="11" s="1"/>
  <c r="G33" i="11" s="1"/>
  <c r="N57" i="10"/>
  <c r="M57" i="10"/>
  <c r="O47" i="10"/>
  <c r="E32" i="11" s="1"/>
  <c r="F32" i="11" s="1"/>
  <c r="G32" i="11" s="1"/>
  <c r="N47" i="10"/>
  <c r="M47" i="10"/>
  <c r="O38" i="10"/>
  <c r="E31" i="11" s="1"/>
  <c r="F31" i="11" s="1"/>
  <c r="G31" i="11" s="1"/>
  <c r="N38" i="10"/>
  <c r="M38" i="10"/>
  <c r="O28" i="10"/>
  <c r="E30" i="11" s="1"/>
  <c r="F30" i="11" s="1"/>
  <c r="G30" i="11" s="1"/>
  <c r="N28" i="10"/>
  <c r="M28" i="10"/>
  <c r="O16" i="10"/>
  <c r="E29" i="11" s="1"/>
  <c r="F29" i="11" s="1"/>
  <c r="G29" i="11" s="1"/>
  <c r="N16" i="10"/>
  <c r="M16" i="10"/>
  <c r="O4" i="10"/>
  <c r="E28" i="11" s="1"/>
  <c r="N4" i="10"/>
  <c r="N197" i="10" s="1"/>
  <c r="M4" i="10"/>
  <c r="N47" i="2"/>
  <c r="O47" i="2" s="1"/>
  <c r="E19" i="11" s="1"/>
  <c r="F19" i="11" s="1"/>
  <c r="G19" i="11" s="1"/>
  <c r="M47" i="2"/>
  <c r="N38" i="2"/>
  <c r="O38" i="2" s="1"/>
  <c r="E18" i="11" s="1"/>
  <c r="F18" i="11" s="1"/>
  <c r="G18" i="11" s="1"/>
  <c r="M38" i="2"/>
  <c r="N30" i="2"/>
  <c r="O30" i="2" s="1"/>
  <c r="E17" i="11" s="1"/>
  <c r="F17" i="11" s="1"/>
  <c r="G17" i="11" s="1"/>
  <c r="M30" i="2"/>
  <c r="N24" i="2"/>
  <c r="O24" i="2" s="1"/>
  <c r="E16" i="11" s="1"/>
  <c r="F16" i="11" s="1"/>
  <c r="G16" i="11" s="1"/>
  <c r="M24" i="2"/>
  <c r="N18" i="2"/>
  <c r="O18" i="2" s="1"/>
  <c r="E15" i="11" s="1"/>
  <c r="F15" i="11" s="1"/>
  <c r="G15" i="11" s="1"/>
  <c r="M18" i="2"/>
  <c r="N11" i="2"/>
  <c r="O11" i="2" s="1"/>
  <c r="E14" i="11" s="1"/>
  <c r="F14" i="11" s="1"/>
  <c r="G14" i="11" s="1"/>
  <c r="M11" i="2"/>
  <c r="N4" i="2"/>
  <c r="M4" i="2"/>
  <c r="N60" i="2" l="1"/>
  <c r="O4" i="2"/>
  <c r="B3" i="15"/>
  <c r="G4" i="14"/>
  <c r="E4" i="14"/>
  <c r="I3" i="19"/>
  <c r="J3" i="19" s="1"/>
  <c r="E45" i="11"/>
  <c r="E46" i="11"/>
  <c r="F28" i="11"/>
  <c r="O197" i="10"/>
  <c r="H4" i="16"/>
  <c r="E4" i="16"/>
  <c r="B4" i="15"/>
  <c r="F21" i="17"/>
  <c r="G21" i="17" s="1"/>
  <c r="O15" i="21"/>
  <c r="P15" i="21"/>
  <c r="R15" i="21" s="1"/>
  <c r="O20" i="21"/>
  <c r="P20" i="21"/>
  <c r="R20" i="21" s="1"/>
  <c r="H3" i="18" s="1"/>
  <c r="P21" i="21"/>
  <c r="R21" i="21" s="1"/>
  <c r="H4" i="18" s="1"/>
  <c r="I4" i="18" s="1"/>
  <c r="J4" i="18" s="1"/>
  <c r="O21" i="21"/>
  <c r="P22" i="21"/>
  <c r="R22" i="21" s="1"/>
  <c r="H5" i="18" s="1"/>
  <c r="I5" i="18" s="1"/>
  <c r="J5" i="18" s="1"/>
  <c r="O22" i="21"/>
  <c r="F45" i="13"/>
  <c r="G45" i="13" s="1"/>
  <c r="E5" i="14"/>
  <c r="F20" i="16"/>
  <c r="G20" i="16" s="1"/>
  <c r="F46" i="16"/>
  <c r="G46" i="16" s="1"/>
  <c r="B17" i="15"/>
  <c r="P2" i="22"/>
  <c r="R2" i="22" s="1"/>
  <c r="O4" i="22"/>
  <c r="P5" i="22"/>
  <c r="R5" i="22" s="1"/>
  <c r="O7" i="22"/>
  <c r="P8" i="22"/>
  <c r="R8" i="22" s="1"/>
  <c r="K10" i="19"/>
  <c r="E8" i="20" s="1"/>
  <c r="E22" i="20" s="1"/>
  <c r="P12" i="22"/>
  <c r="R12" i="22" s="1"/>
  <c r="H5" i="19" s="1"/>
  <c r="I5" i="19" s="1"/>
  <c r="J5" i="19" s="1"/>
  <c r="P15" i="22"/>
  <c r="R15" i="22" s="1"/>
  <c r="H8" i="19" s="1"/>
  <c r="I8" i="19" s="1"/>
  <c r="J8" i="19" s="1"/>
  <c r="O2" i="21"/>
  <c r="P3" i="21"/>
  <c r="R3" i="21" s="1"/>
  <c r="O5" i="21"/>
  <c r="O8" i="21"/>
  <c r="P9" i="21"/>
  <c r="R9" i="21" s="1"/>
  <c r="O11" i="21"/>
  <c r="P12" i="21"/>
  <c r="R12" i="21" s="1"/>
  <c r="O14" i="21"/>
  <c r="K20" i="18"/>
  <c r="E9" i="20" s="1"/>
  <c r="E23" i="20" s="1"/>
  <c r="H9" i="20"/>
  <c r="I9" i="20" s="1"/>
  <c r="E4" i="13"/>
  <c r="D5" i="13"/>
  <c r="F20" i="13"/>
  <c r="G20" i="13" s="1"/>
  <c r="F45" i="14"/>
  <c r="G45" i="14" s="1"/>
  <c r="B11" i="15"/>
  <c r="P11" i="22"/>
  <c r="R11" i="22" s="1"/>
  <c r="H4" i="19" s="1"/>
  <c r="I4" i="19" s="1"/>
  <c r="J4" i="19" s="1"/>
  <c r="P14" i="22"/>
  <c r="R14" i="22" s="1"/>
  <c r="H7" i="19" s="1"/>
  <c r="I7" i="19" s="1"/>
  <c r="J7" i="19" s="1"/>
  <c r="P17" i="21"/>
  <c r="R17" i="21" s="1"/>
  <c r="O17" i="21"/>
  <c r="F45" i="16"/>
  <c r="G45" i="16" s="1"/>
  <c r="P6" i="21"/>
  <c r="R6" i="21" s="1"/>
  <c r="P24" i="21"/>
  <c r="R24" i="21" s="1"/>
  <c r="H7" i="18" s="1"/>
  <c r="I7" i="18" s="1"/>
  <c r="J7" i="18" s="1"/>
  <c r="O24" i="21"/>
  <c r="P35" i="21"/>
  <c r="R35" i="21" s="1"/>
  <c r="H18" i="18" s="1"/>
  <c r="I18" i="18" s="1"/>
  <c r="J18" i="18" s="1"/>
  <c r="O35" i="21"/>
  <c r="P23" i="21"/>
  <c r="R23" i="21" s="1"/>
  <c r="H6" i="18" s="1"/>
  <c r="I6" i="18" s="1"/>
  <c r="J6" i="18" s="1"/>
  <c r="P25" i="21"/>
  <c r="R25" i="21" s="1"/>
  <c r="H8" i="18" s="1"/>
  <c r="I8" i="18" s="1"/>
  <c r="J8" i="18" s="1"/>
  <c r="P28" i="21"/>
  <c r="R28" i="21" s="1"/>
  <c r="H11" i="18" s="1"/>
  <c r="I11" i="18" s="1"/>
  <c r="J11" i="18" s="1"/>
  <c r="P32" i="21"/>
  <c r="R32" i="21" s="1"/>
  <c r="H15" i="18" s="1"/>
  <c r="I15" i="18" s="1"/>
  <c r="J15" i="18" s="1"/>
  <c r="P33" i="21"/>
  <c r="R33" i="21" s="1"/>
  <c r="H16" i="18" s="1"/>
  <c r="I16" i="18" s="1"/>
  <c r="J16" i="18" s="1"/>
  <c r="O34" i="21"/>
  <c r="B8" i="20"/>
  <c r="G3" i="18"/>
  <c r="D4" i="20"/>
  <c r="E4" i="20" s="1"/>
  <c r="B17" i="20" l="1"/>
  <c r="B22" i="20" s="1"/>
  <c r="H8" i="20"/>
  <c r="I8" i="20" s="1"/>
  <c r="E13" i="11"/>
  <c r="O60" i="2"/>
  <c r="H11" i="15"/>
  <c r="I11" i="15" s="1"/>
  <c r="B18" i="15"/>
  <c r="E5" i="13"/>
  <c r="H5" i="13"/>
  <c r="F46" i="11"/>
  <c r="G46" i="11" s="1"/>
  <c r="D5" i="11"/>
  <c r="H10" i="19"/>
  <c r="H17" i="15"/>
  <c r="I17" i="15" s="1"/>
  <c r="B24" i="15"/>
  <c r="H20" i="18"/>
  <c r="I3" i="18"/>
  <c r="J3" i="18" s="1"/>
  <c r="F45" i="11"/>
  <c r="G45" i="11" s="1"/>
  <c r="G28" i="11"/>
  <c r="C17" i="20" l="1"/>
  <c r="I10" i="19"/>
  <c r="J10" i="19" s="1"/>
  <c r="H5" i="11"/>
  <c r="E5" i="11"/>
  <c r="B25" i="15"/>
  <c r="H18" i="15"/>
  <c r="I18" i="15" s="1"/>
  <c r="E20" i="11"/>
  <c r="F13" i="11"/>
  <c r="G13" i="11" s="1"/>
  <c r="C18" i="20"/>
  <c r="I20" i="18"/>
  <c r="J20" i="18" s="1"/>
  <c r="F20" i="11" l="1"/>
  <c r="G20" i="11" s="1"/>
  <c r="D4" i="11"/>
  <c r="C23" i="20"/>
  <c r="H23" i="20" s="1"/>
  <c r="I23" i="20" s="1"/>
  <c r="E18" i="20"/>
  <c r="F18" i="20" s="1"/>
  <c r="G18" i="20"/>
  <c r="G17" i="20"/>
  <c r="C22" i="20"/>
  <c r="H22" i="20" s="1"/>
  <c r="I22" i="20" s="1"/>
  <c r="E17" i="20"/>
  <c r="F17" i="20" s="1"/>
  <c r="E4" i="11" l="1"/>
  <c r="H4" i="11"/>
</calcChain>
</file>

<file path=xl/comments1.xml><?xml version="1.0" encoding="utf-8"?>
<comments xmlns="http://schemas.openxmlformats.org/spreadsheetml/2006/main">
  <authors>
    <author>sunpeilin</author>
  </authors>
  <commentList>
    <comment ref="M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M9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M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M19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sharedStrings.xml><?xml version="1.0" encoding="utf-8"?>
<sst xmlns="http://schemas.openxmlformats.org/spreadsheetml/2006/main" count="2164" uniqueCount="466">
  <si>
    <t>B01 PAD 式样明细及标准</t>
  </si>
  <si>
    <t>区分</t>
  </si>
  <si>
    <t>No.</t>
  </si>
  <si>
    <t>Part No.</t>
  </si>
  <si>
    <t>Part Name</t>
  </si>
  <si>
    <t>Photo</t>
  </si>
  <si>
    <t>副资材情况</t>
  </si>
  <si>
    <t>供应商</t>
  </si>
  <si>
    <t>采购状态</t>
  </si>
  <si>
    <t>成本</t>
  </si>
  <si>
    <t>预报价</t>
  </si>
  <si>
    <t>名称</t>
  </si>
  <si>
    <t>图号</t>
  </si>
  <si>
    <t>数量</t>
  </si>
  <si>
    <t>参数</t>
  </si>
  <si>
    <t>图示</t>
  </si>
  <si>
    <t>FRT BACK</t>
  </si>
  <si>
    <t>L002063797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</si>
  <si>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</si>
  <si>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发泡本体</t>
  </si>
  <si>
    <t>L002063798</t>
  </si>
  <si>
    <t>PU 40kg/m³</t>
  </si>
  <si>
    <t>北汽岱摩斯</t>
  </si>
  <si>
    <t>自混料</t>
  </si>
  <si>
    <t>无纺布</t>
  </si>
  <si>
    <t>L002063799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</si>
  <si>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>㎡</t>
    </r>
  </si>
  <si>
    <t>北京宇喆科技有限公司</t>
  </si>
  <si>
    <t>外购</t>
  </si>
  <si>
    <t>嵌丝
347mm</t>
  </si>
  <si>
    <t>L002063801</t>
  </si>
  <si>
    <t>φ2  70#</t>
  </si>
  <si>
    <t>L002063802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</si>
  <si>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255mm</t>
    </r>
  </si>
  <si>
    <t>L002063803</t>
  </si>
  <si>
    <t>HOOK
97mm</t>
  </si>
  <si>
    <t>L002063804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</si>
  <si>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 xml:space="preserve"> 90*9mm</t>
    </r>
  </si>
  <si>
    <t>雅伯利</t>
  </si>
  <si>
    <t>HOOK
555mm</t>
  </si>
  <si>
    <t>L002063805</t>
  </si>
  <si>
    <r>
      <rPr>
        <sz val="18"/>
        <color theme="1"/>
        <rFont val="Modern H Bold"/>
        <family val="1"/>
      </rPr>
      <t>18</t>
    </r>
    <r>
      <rPr>
        <sz val="18"/>
        <color theme="1"/>
        <rFont val="宋体"/>
        <family val="3"/>
        <charset val="134"/>
      </rPr>
      <t>段</t>
    </r>
    <r>
      <rPr>
        <sz val="18"/>
        <color theme="1"/>
        <rFont val="Modern H Bold"/>
        <family val="1"/>
      </rPr>
      <t xml:space="preserve"> </t>
    </r>
  </si>
  <si>
    <t>YKK</t>
  </si>
  <si>
    <t>L002063961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</si>
  <si>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</si>
  <si>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L002063962</t>
  </si>
  <si>
    <t>40kg/m³</t>
  </si>
  <si>
    <t>L002063977</t>
  </si>
  <si>
    <t>FR CUSH</t>
  </si>
  <si>
    <t>L002063982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</si>
  <si>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</t>
    </r>
  </si>
  <si>
    <t>L002063983</t>
  </si>
  <si>
    <t>45kg/m³</t>
  </si>
  <si>
    <t>L002063984L</t>
  </si>
  <si>
    <t>L002432205</t>
  </si>
  <si>
    <t>嵌丝
440mm</t>
  </si>
  <si>
    <t>L002063985</t>
  </si>
  <si>
    <t>L002063986</t>
  </si>
  <si>
    <r>
      <rPr>
        <sz val="18"/>
        <color theme="1"/>
        <rFont val="宋体"/>
        <family val="3"/>
        <charset val="134"/>
      </rPr>
      <t>嵌丝
203</t>
    </r>
    <r>
      <rPr>
        <sz val="18"/>
        <color theme="1"/>
        <rFont val="Modern H Bold"/>
        <family val="1"/>
      </rPr>
      <t>mm</t>
    </r>
  </si>
  <si>
    <t>L002063988</t>
  </si>
  <si>
    <t>L002063991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</si>
  <si>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</t>
    </r>
  </si>
  <si>
    <t>L002063993</t>
  </si>
  <si>
    <t>L002063984R</t>
  </si>
  <si>
    <t>RR BACK</t>
  </si>
  <si>
    <t>L002064876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</si>
  <si>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靠背</t>
    </r>
  </si>
  <si>
    <t>L002064877</t>
  </si>
  <si>
    <t>L002248726L</t>
  </si>
  <si>
    <t>L002248727L</t>
  </si>
  <si>
    <t>L002248729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</si>
  <si>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555mm</t>
    </r>
  </si>
  <si>
    <t>L002065861</t>
  </si>
  <si>
    <t>嵌丝
275mm</t>
  </si>
  <si>
    <t>L002064873</t>
  </si>
  <si>
    <t>HOOK
50mm</t>
  </si>
  <si>
    <t>L002064874</t>
  </si>
  <si>
    <r>
      <rPr>
        <sz val="18"/>
        <color theme="1"/>
        <rFont val="宋体"/>
        <family val="3"/>
        <charset val="134"/>
      </rPr>
      <t>直条形</t>
    </r>
    <r>
      <rPr>
        <sz val="18"/>
        <color theme="1"/>
        <rFont val="Modern H Bold"/>
        <family val="1"/>
      </rPr>
      <t>44*9mm</t>
    </r>
  </si>
  <si>
    <t>HOOK
120mm</t>
  </si>
  <si>
    <t>L002064875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</si>
  <si>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110*9mm</t>
    </r>
  </si>
  <si>
    <t>L002064868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</si>
  <si>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</t>
    </r>
  </si>
  <si>
    <t>L002064869</t>
  </si>
  <si>
    <t>L002248726R</t>
  </si>
  <si>
    <t>L002248727R</t>
  </si>
  <si>
    <t>L002248728</t>
  </si>
  <si>
    <t>扶手钢丝</t>
  </si>
  <si>
    <t>L002064871</t>
  </si>
  <si>
    <t>φ5  20#</t>
  </si>
  <si>
    <t>L002064872</t>
  </si>
  <si>
    <t>RR CUSH</t>
  </si>
  <si>
    <t>L002064772</t>
  </si>
  <si>
    <r>
      <rPr>
        <sz val="18"/>
        <rFont val="현대하모니 L"/>
        <charset val="129"/>
      </rPr>
      <t>PAD ASSY-RR CUSH
后排坐</t>
    </r>
    <r>
      <rPr>
        <sz val="18"/>
        <rFont val="宋体"/>
        <family val="3"/>
        <charset val="134"/>
      </rPr>
      <t>垫</t>
    </r>
  </si>
  <si>
    <t>L002064780</t>
  </si>
  <si>
    <r>
      <rPr>
        <sz val="18"/>
        <color theme="1"/>
        <rFont val="宋体"/>
        <family val="3"/>
        <charset val="134"/>
      </rPr>
      <t>嵌丝
415</t>
    </r>
    <r>
      <rPr>
        <sz val="18"/>
        <color theme="1"/>
        <rFont val="Modern H Bold"/>
        <family val="1"/>
      </rPr>
      <t>mm</t>
    </r>
  </si>
  <si>
    <t>L002064782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</si>
  <si>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267mm</t>
    </r>
  </si>
  <si>
    <t>L002064784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</si>
  <si>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365mm</t>
    </r>
  </si>
  <si>
    <t>L002064785</t>
  </si>
  <si>
    <t>L002064786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</si>
  <si>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335mm</t>
    </r>
  </si>
  <si>
    <t>L002064787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</si>
  <si>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415mm</t>
    </r>
  </si>
  <si>
    <t>L002065590</t>
  </si>
  <si>
    <t>HOOK
215</t>
  </si>
  <si>
    <t>L002064789L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</si>
  <si>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220*9mm</t>
    </r>
  </si>
  <si>
    <t>L002064789R</t>
  </si>
  <si>
    <t>EPP发泡</t>
  </si>
  <si>
    <t>L002064791</t>
  </si>
  <si>
    <t>0.008m³</t>
  </si>
  <si>
    <t>沧州致冠</t>
  </si>
  <si>
    <t>L002065558</t>
  </si>
  <si>
    <t>坐垫骨架</t>
  </si>
  <si>
    <t>L002064792</t>
  </si>
  <si>
    <t>ASSY</t>
  </si>
  <si>
    <t>越达弹簧</t>
  </si>
  <si>
    <t>密度</t>
  </si>
  <si>
    <t>备注</t>
  </si>
  <si>
    <t>L002152793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</si>
  <si>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气囊</t>
    </r>
    <r>
      <rPr>
        <sz val="18"/>
        <rFont val="현대하모니 L"/>
        <charset val="129"/>
      </rPr>
      <t>）</t>
    </r>
  </si>
  <si>
    <t>40kg/m³
MIN 165±16N
Boster 14±3N</t>
  </si>
  <si>
    <t>L002153494</t>
  </si>
  <si>
    <t>L002156278L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</si>
  <si>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1</t>
    </r>
  </si>
  <si>
    <t>L002156289</t>
  </si>
  <si>
    <t>40kg/m³
t=15mm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</si>
  <si>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2</t>
    </r>
  </si>
  <si>
    <t>L002156297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</si>
  <si>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3</t>
    </r>
  </si>
  <si>
    <t>L002156301</t>
  </si>
  <si>
    <t>40kg/m³
t=10mm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</si>
  <si>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4</t>
    </r>
  </si>
  <si>
    <t>L002248975</t>
  </si>
  <si>
    <r>
      <rPr>
        <sz val="18"/>
        <color theme="1"/>
        <rFont val="宋体"/>
        <family val="3"/>
        <charset val="134"/>
      </rPr>
      <t>嵌丝</t>
    </r>
    <r>
      <rPr>
        <sz val="18"/>
        <color theme="1"/>
        <rFont val="Modern H Bold"/>
        <family val="1"/>
      </rPr>
      <t>1</t>
    </r>
  </si>
  <si>
    <t>L002156247</t>
  </si>
  <si>
    <t>嵌丝2</t>
  </si>
  <si>
    <t>L002158807</t>
  </si>
  <si>
    <t>h</t>
  </si>
  <si>
    <t>嵌丝3</t>
  </si>
  <si>
    <t>L002156261</t>
  </si>
  <si>
    <t>嵌丝4</t>
  </si>
  <si>
    <t>L002158814</t>
  </si>
  <si>
    <t>HOOK</t>
  </si>
  <si>
    <t>L002176913</t>
  </si>
  <si>
    <t>上海雅柏利</t>
  </si>
  <si>
    <t>L002156271</t>
  </si>
  <si>
    <t>L002152795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</si>
  <si>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</t>
    </r>
    <r>
      <rPr>
        <sz val="18"/>
        <rFont val="현대하모니 L"/>
        <charset val="129"/>
      </rPr>
      <t>囊）</t>
    </r>
  </si>
  <si>
    <t>L002153505</t>
  </si>
  <si>
    <t>L002156278R</t>
  </si>
  <si>
    <t>同左驾对称</t>
  </si>
  <si>
    <t>L002152796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</si>
  <si>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6WP</t>
    </r>
    <r>
      <rPr>
        <sz val="18"/>
        <rFont val="宋体"/>
        <family val="3"/>
        <charset val="134"/>
      </rPr>
      <t>）</t>
    </r>
  </si>
  <si>
    <t>45kg/m³
MAIN 199±20N
Boster 15±3N</t>
  </si>
  <si>
    <t>L002154079</t>
  </si>
  <si>
    <t>L002158404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</si>
  <si>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</si>
  <si>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L002256178</t>
  </si>
  <si>
    <r>
      <rPr>
        <sz val="18"/>
        <color theme="1"/>
        <rFont val="Modern H Bold"/>
        <family val="1"/>
      </rPr>
      <t>PET  3mm
750g/</t>
    </r>
    <r>
      <rPr>
        <sz val="18"/>
        <color theme="1"/>
        <rFont val="宋体"/>
        <family val="3"/>
        <charset val="134"/>
      </rPr>
      <t>㎡</t>
    </r>
  </si>
  <si>
    <t>U型嵌丝</t>
  </si>
  <si>
    <t>L002158391</t>
  </si>
  <si>
    <t>L002158392</t>
  </si>
  <si>
    <t>舒适海绵1</t>
  </si>
  <si>
    <t>L002158418</t>
  </si>
  <si>
    <t>舒适海绵2</t>
  </si>
  <si>
    <t>L002306290L</t>
  </si>
  <si>
    <t>40kg/m³
t=20mm</t>
  </si>
  <si>
    <t>原式样为左右共用t=20mm，改双层后需要区分左右t=10mm+15mm</t>
  </si>
  <si>
    <t>L002306290R</t>
  </si>
  <si>
    <t>舒适海绵3</t>
  </si>
  <si>
    <t>L002257589</t>
  </si>
  <si>
    <t>L002312484</t>
  </si>
  <si>
    <t>L002152797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</si>
  <si>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</si>
  <si>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L002158422</t>
  </si>
  <si>
    <t>L002158426</t>
  </si>
  <si>
    <t>L002158407L</t>
  </si>
  <si>
    <t>L002158407R</t>
  </si>
  <si>
    <t>L002158413</t>
  </si>
  <si>
    <t>L002152798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</si>
  <si>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4WP W/VENT</t>
    </r>
    <r>
      <rPr>
        <sz val="18"/>
        <rFont val="宋体"/>
        <family val="3"/>
        <charset val="134"/>
      </rPr>
      <t>）</t>
    </r>
  </si>
  <si>
    <t>L002158423</t>
  </si>
  <si>
    <t>L002158428</t>
  </si>
  <si>
    <r>
      <rPr>
        <sz val="18"/>
        <color theme="1"/>
        <rFont val="Modern H Bold"/>
        <family val="1"/>
      </rPr>
      <t>t=1mm
140g/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</si>
  <si>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L002262939</t>
  </si>
  <si>
    <t>L002257590L</t>
  </si>
  <si>
    <t>L002257590R</t>
  </si>
  <si>
    <t>L002152800</t>
  </si>
  <si>
    <r>
      <rPr>
        <sz val="18"/>
        <rFont val="현대하모니 L"/>
        <charset val="129"/>
      </rPr>
      <t>PAD ASSY-FR CUSH, LH（4WP）
前排右</t>
    </r>
    <r>
      <rPr>
        <sz val="18"/>
        <rFont val="宋体"/>
        <family val="3"/>
        <charset val="134"/>
      </rPr>
      <t>驾坐垫（不带通风）</t>
    </r>
  </si>
  <si>
    <t>L002158425</t>
  </si>
  <si>
    <t>L002158429</t>
  </si>
  <si>
    <t>L002235230</t>
  </si>
  <si>
    <r>
      <rPr>
        <sz val="18"/>
        <rFont val="현대하모니 L"/>
        <charset val="129"/>
      </rPr>
      <t>PAD ASSY-FR CUSH, LH（8WP NO VENT）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</si>
  <si>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L002235207</t>
  </si>
  <si>
    <t>L002227599</t>
  </si>
  <si>
    <t>L002306289L</t>
  </si>
  <si>
    <t>L002306289R</t>
  </si>
  <si>
    <t>L002320537</t>
  </si>
  <si>
    <r>
      <rPr>
        <sz val="18"/>
        <rFont val="현대하모니 L"/>
        <charset val="129"/>
      </rPr>
      <t>PAD ASSY-FR CUSH, LH（8WP CLA）
前排左</t>
    </r>
    <r>
      <rPr>
        <sz val="18"/>
        <rFont val="宋体"/>
        <family val="3"/>
        <charset val="134"/>
      </rPr>
      <t>驾坐垫
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带通风带腿拖）</t>
    </r>
  </si>
  <si>
    <t>L002339333</t>
  </si>
  <si>
    <t>L002339346</t>
  </si>
  <si>
    <t>L002339334</t>
  </si>
  <si>
    <t>L002339345</t>
  </si>
  <si>
    <t>L002339349</t>
  </si>
  <si>
    <t>L002339347L</t>
  </si>
  <si>
    <t>L002339347R</t>
  </si>
  <si>
    <t>L002339348</t>
  </si>
  <si>
    <t>嵌丝</t>
  </si>
  <si>
    <t>L002340513</t>
  </si>
  <si>
    <t>L002340512</t>
  </si>
  <si>
    <t>L002320541</t>
  </si>
  <si>
    <r>
      <rPr>
        <sz val="18"/>
        <rFont val="현대하모니 L"/>
        <charset val="129"/>
      </rPr>
      <t>PAD ASSY-FR CUSH, RH（4WP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4WP </t>
    </r>
    <r>
      <rPr>
        <sz val="18"/>
        <rFont val="宋体"/>
        <family val="3"/>
        <charset val="134"/>
      </rPr>
      <t>带通风带腿拖）</t>
    </r>
  </si>
  <si>
    <t>L002339350</t>
  </si>
  <si>
    <t>L002452584</t>
  </si>
  <si>
    <r>
      <rPr>
        <sz val="18"/>
        <rFont val="현대하모니 L"/>
        <charset val="129"/>
      </rPr>
      <t>PAD ASSY-FR CUSH, RH（6WP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6WP </t>
    </r>
    <r>
      <rPr>
        <sz val="18"/>
        <rFont val="宋体"/>
        <family val="3"/>
        <charset val="134"/>
      </rPr>
      <t>带通风带腿拖）</t>
    </r>
  </si>
  <si>
    <t>L002452593</t>
  </si>
  <si>
    <t>L002479124</t>
  </si>
  <si>
    <t>L002452619</t>
  </si>
  <si>
    <t>PAD ASSY-FR CUSH, RH（6WP W/VENT）
前排右驾坐垫（6WP 带通风）</t>
  </si>
  <si>
    <t>L002452620</t>
  </si>
  <si>
    <t>L002334089</t>
  </si>
  <si>
    <t>L002152804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</si>
  <si>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背（不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</si>
  <si>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40kg/m³
MAIN 137±14N
Boster 12±3N</t>
  </si>
  <si>
    <t>L002155181</t>
  </si>
  <si>
    <t>L002155717</t>
  </si>
  <si>
    <t>L002155699L</t>
  </si>
  <si>
    <t>L002155549</t>
  </si>
  <si>
    <t>L002155693</t>
  </si>
  <si>
    <t>L002155668L</t>
  </si>
  <si>
    <t>L002155668R</t>
  </si>
  <si>
    <t>L002158401</t>
  </si>
  <si>
    <t>硬发泡PE</t>
  </si>
  <si>
    <t>L002452804</t>
  </si>
  <si>
    <t>PUR</t>
  </si>
  <si>
    <t>L002452807</t>
  </si>
  <si>
    <t>L002155515</t>
  </si>
  <si>
    <t>L002155517</t>
  </si>
  <si>
    <t>L002163266</t>
  </si>
  <si>
    <t>L002163268</t>
  </si>
  <si>
    <t>L002152805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</si>
  <si>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</si>
  <si>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L002155276</t>
  </si>
  <si>
    <t>L002155719L</t>
  </si>
  <si>
    <t>L002152801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</si>
  <si>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靠背（带扶手不带气囊）</t>
    </r>
  </si>
  <si>
    <t>L002155135</t>
  </si>
  <si>
    <t>L002155699R</t>
  </si>
  <si>
    <t>L002155705</t>
  </si>
  <si>
    <t>L002452805</t>
  </si>
  <si>
    <t>L002452806</t>
  </si>
  <si>
    <t>L002152803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</si>
  <si>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靠背（带扶手带气囊）</t>
    </r>
  </si>
  <si>
    <t>L002155136</t>
  </si>
  <si>
    <t>L002155719R</t>
  </si>
  <si>
    <t>L002187704</t>
  </si>
  <si>
    <t>45kg/m³
MAIN 130±13N
Boster 15±3N</t>
  </si>
  <si>
    <t>L002187695</t>
  </si>
  <si>
    <r>
      <rPr>
        <sz val="24"/>
        <color theme="1"/>
        <rFont val="宋体"/>
        <family val="3"/>
        <charset val="134"/>
      </rPr>
      <t>高配</t>
    </r>
    <r>
      <rPr>
        <sz val="24"/>
        <color theme="1"/>
        <rFont val="Modern H Bold"/>
        <family val="1"/>
      </rPr>
      <t>180.40</t>
    </r>
  </si>
  <si>
    <t>L002155886</t>
  </si>
  <si>
    <t>50kg/m³
0.005m³</t>
  </si>
  <si>
    <t>L002155888</t>
  </si>
  <si>
    <t>L002265089L</t>
  </si>
  <si>
    <t>40kg/m³
t=30mm</t>
  </si>
  <si>
    <t>原式样为左右共用t=30mm，改双层后需要区分左右t=15mm+15mm</t>
  </si>
  <si>
    <t>L002265089R</t>
  </si>
  <si>
    <t>L002265093</t>
  </si>
  <si>
    <t>L002277288L</t>
  </si>
  <si>
    <t>L002277288R</t>
  </si>
  <si>
    <t>舒适海绵4</t>
  </si>
  <si>
    <t>L002187589</t>
  </si>
  <si>
    <t>舒适海绵5</t>
  </si>
  <si>
    <t>L002187694</t>
  </si>
  <si>
    <t>L002478939</t>
  </si>
  <si>
    <r>
      <rPr>
        <sz val="18"/>
        <color theme="1"/>
        <rFont val="Modern H Bold"/>
        <family val="1"/>
      </rPr>
      <t>PET  3mm
600g/</t>
    </r>
    <r>
      <rPr>
        <sz val="18"/>
        <color theme="1"/>
        <rFont val="宋体"/>
        <family val="3"/>
        <charset val="134"/>
      </rPr>
      <t>㎡</t>
    </r>
  </si>
  <si>
    <t>L002152814</t>
  </si>
  <si>
    <t>HOOK
170mm</t>
  </si>
  <si>
    <t>L002187598</t>
  </si>
  <si>
    <t>L002176880</t>
  </si>
  <si>
    <t>L002176878</t>
  </si>
  <si>
    <t>L002187588</t>
  </si>
  <si>
    <t>L002265086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</si>
  <si>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200mm</t>
    </r>
  </si>
  <si>
    <t>L002265084</t>
  </si>
  <si>
    <t>L002404439</t>
  </si>
  <si>
    <r>
      <rPr>
        <sz val="18"/>
        <rFont val="현대하모니 L"/>
        <charset val="129"/>
      </rPr>
      <t>腿拖</t>
    </r>
    <r>
      <rPr>
        <sz val="18"/>
        <rFont val="宋体"/>
        <family val="3"/>
        <charset val="134"/>
      </rPr>
      <t>总成</t>
    </r>
  </si>
  <si>
    <t>L002320543</t>
  </si>
  <si>
    <t>待定</t>
  </si>
  <si>
    <t>腿拖中间软泡</t>
  </si>
  <si>
    <t>L002403964</t>
  </si>
  <si>
    <t>腿拖边软泡</t>
  </si>
  <si>
    <t>L002403966L</t>
  </si>
  <si>
    <t>L002403966R</t>
  </si>
  <si>
    <t>黄色</t>
  </si>
  <si>
    <t>中低配</t>
  </si>
  <si>
    <t>按株洲汇总表（元、未税）</t>
  </si>
  <si>
    <t>项目</t>
  </si>
  <si>
    <t>预计销价</t>
  </si>
  <si>
    <t>预计附加值率</t>
  </si>
  <si>
    <t>目标价</t>
  </si>
  <si>
    <t>目标价附加值率</t>
  </si>
  <si>
    <t>与目标差价</t>
  </si>
  <si>
    <t>B01</t>
  </si>
  <si>
    <t>V71</t>
  </si>
  <si>
    <t>不含顶配、选配</t>
  </si>
  <si>
    <t>B01发泡附加值汇总表（元、未税）</t>
  </si>
  <si>
    <t>附加值</t>
  </si>
  <si>
    <t>附加值率</t>
  </si>
  <si>
    <t>PAD ASSY-FR BACK, LH
前排左驾靠背</t>
  </si>
  <si>
    <t>1、发泡料采购价格波动后，产品价格相应进行调整；2、产品散装运输到徐水，不含卸车费用</t>
  </si>
  <si>
    <t>PAD ASSY-FR BACK, RH
前排右驾靠背</t>
  </si>
  <si>
    <t>PAD ASSY-FR CUSH, LH
前排左驾坐垫</t>
  </si>
  <si>
    <t>PAD ASSY-FR CUSH, RH
前排右驾坐垫</t>
  </si>
  <si>
    <t>PAD ASSY-RR 40% BACK
后排四分靠背</t>
  </si>
  <si>
    <t>PAD ASSY-RR 60% BACK
后排六分靠背</t>
  </si>
  <si>
    <t>PAD ASSY-RR CUSH
后排坐垫</t>
  </si>
  <si>
    <t>合计</t>
  </si>
  <si>
    <t>V71发泡附加值汇总表（元、未税）</t>
  </si>
  <si>
    <t>PAD ASSY-FR BACK, LH
前排左驾靠背（有气囊）</t>
  </si>
  <si>
    <t>PAD ASSY-FR BACK, RH
前排右驾靠背（有气囊）</t>
  </si>
  <si>
    <t>PAD ASSY-FR CUSH, LH
前排左驾坐垫（6WP）</t>
  </si>
  <si>
    <t>PAD ASSY-FR CUSH, LH
前排左驾坐垫（8WP）</t>
  </si>
  <si>
    <t>PAD ASSY-FR CUSH, RH
前排右驾坐垫（4WP W/VENT）</t>
  </si>
  <si>
    <t>PAD ASSY-FR CUSH, LH（4WP）
前排右驾坐垫（不带通风）</t>
  </si>
  <si>
    <t>PAD ASSY-FR CUSH, LH（8WP NO VENT）
前排左驾坐垫（8WP）</t>
  </si>
  <si>
    <t>PAD ASSY-FR CUSH, LH（8WP CLA）
前排左驾坐垫
（8WP带通风带腿拖）</t>
  </si>
  <si>
    <t>PAD ASSY-FR CUSH, RH（4WP W/VENT CLA）
前排右驾坐垫（4WP 带通风带腿拖）</t>
  </si>
  <si>
    <t>PAD ASSY-FR CUSH, RH（6WP W/VENT CLA）
前排右驾坐垫（6WP 带通风带腿拖）</t>
  </si>
  <si>
    <t>PAD ASSY-RR 40% BACK
后排四分靠背（不带气囊）</t>
  </si>
  <si>
    <t>PAD ASSY-RR 40% BACK
后排四分靠背（带气囊）</t>
  </si>
  <si>
    <t>PAD ASSY-RR 60% BACK
后排六分靠背（带扶手不带气囊）</t>
  </si>
  <si>
    <t>PAD ASSY-RR 60% BACK
后排六分靠背（带扶手带气囊）</t>
  </si>
  <si>
    <t>腿拖总成</t>
  </si>
  <si>
    <t>报价</t>
  </si>
  <si>
    <t>成本更新</t>
  </si>
  <si>
    <t>成本更新（不含运费）</t>
  </si>
  <si>
    <t>给客户报价</t>
  </si>
  <si>
    <t>采购报价</t>
  </si>
  <si>
    <t>成本更新李尔发泡附加值（未税、元）</t>
  </si>
  <si>
    <t>材料成本3.24</t>
  </si>
  <si>
    <t>材料成本5.9更新</t>
  </si>
  <si>
    <t>李尔发泡边际贡献情况表（未税、元）</t>
  </si>
  <si>
    <t>材料成本</t>
  </si>
  <si>
    <t>已报价</t>
  </si>
  <si>
    <t>运费</t>
  </si>
  <si>
    <t>人工</t>
  </si>
  <si>
    <t>制费（变动）</t>
  </si>
  <si>
    <t>现场服务人工4人</t>
  </si>
  <si>
    <t>边际贡献</t>
  </si>
  <si>
    <t>边际贡献率</t>
  </si>
  <si>
    <t>预计涨价后价格</t>
  </si>
  <si>
    <t>涨幅</t>
  </si>
  <si>
    <t>涨幅比例</t>
  </si>
  <si>
    <t>涨价后边际贡献达到5%</t>
  </si>
  <si>
    <t>合同价</t>
  </si>
  <si>
    <t>序号</t>
  </si>
  <si>
    <t>车间名称</t>
  </si>
  <si>
    <t>QAD代码</t>
  </si>
  <si>
    <t>QAD名称</t>
  </si>
  <si>
    <t>销售方式</t>
  </si>
  <si>
    <t>核算用单价</t>
  </si>
  <si>
    <t>定价依据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</si>
  <si>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</si>
  <si>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</si>
  <si>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</si>
  <si>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</si>
  <si>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</si>
  <si>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</si>
  <si>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</si>
  <si>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按湖南方案核算</t>
  </si>
  <si>
    <t>最终目标价</t>
  </si>
  <si>
    <t>发泡车间</t>
  </si>
  <si>
    <t>SCS0012074</t>
  </si>
  <si>
    <t>前排左驾靠背泡沫总成</t>
  </si>
  <si>
    <t>外部</t>
  </si>
  <si>
    <t>SCS0012075</t>
  </si>
  <si>
    <t>前排右驾靠背泡沫总成</t>
  </si>
  <si>
    <t>SCS0012076</t>
  </si>
  <si>
    <t>前排左驾坐垫泡沫总成</t>
  </si>
  <si>
    <t>SCS0012077</t>
  </si>
  <si>
    <t>前排右驾坐垫泡沫总成</t>
  </si>
  <si>
    <t>SCS0012078</t>
  </si>
  <si>
    <t>后排四分靠背发泡总成</t>
  </si>
  <si>
    <t>SCS0012079</t>
  </si>
  <si>
    <t>后排六分靠背发泡总成</t>
  </si>
  <si>
    <t>SCS0012080</t>
  </si>
  <si>
    <t>后排坐垫</t>
  </si>
  <si>
    <t>制造工时</t>
  </si>
  <si>
    <t>工时费/h</t>
  </si>
  <si>
    <t>人工费用</t>
  </si>
  <si>
    <t>SCS0011957</t>
  </si>
  <si>
    <t>SCS0011958</t>
  </si>
  <si>
    <t>SCS0011959</t>
  </si>
  <si>
    <t>前排左驾坐垫泡沫总成（6WP）</t>
  </si>
  <si>
    <t>SCS0011960</t>
  </si>
  <si>
    <t>前排左驾坐垫（8WP）</t>
  </si>
  <si>
    <t>SCS0011961</t>
  </si>
  <si>
    <t>前排右驾坐垫（4WP W/VENT）</t>
  </si>
  <si>
    <t>SCS0011962</t>
  </si>
  <si>
    <t>前排右驾坐垫（不带通风）</t>
  </si>
  <si>
    <t>SCS0011963</t>
  </si>
  <si>
    <t>SCS0011964</t>
  </si>
  <si>
    <t>前排左驾坐垫
（8WP带通风带腿拖</t>
  </si>
  <si>
    <t>SCS0011965</t>
  </si>
  <si>
    <t>前排右驾坐垫（4WP 带通风带腿拖）</t>
  </si>
  <si>
    <t>SCS0011966</t>
  </si>
  <si>
    <t>前排右驾坐垫（6WP 带通风带腿拖）</t>
  </si>
  <si>
    <t>SCS0011967</t>
  </si>
  <si>
    <t>前排右驾坐垫（6WP 带通风）</t>
  </si>
  <si>
    <t>SCS0011968</t>
  </si>
  <si>
    <t>后排四分靠背泡沫总成（不带气囊）</t>
  </si>
  <si>
    <t>SCS0011969</t>
  </si>
  <si>
    <t>后排四分靠背泡沫总成（带气囊）</t>
  </si>
  <si>
    <t>SCS0011970</t>
  </si>
  <si>
    <t>后排六分靠背泡沫总成（带扶手不带气囊）</t>
  </si>
  <si>
    <t>SCS0011971</t>
  </si>
  <si>
    <t>后排六分靠背泡沫总成（带扶手带气囊）</t>
  </si>
  <si>
    <t>SCS0011972</t>
  </si>
  <si>
    <t>最终核算销价</t>
  </si>
  <si>
    <t>核算附加值</t>
  </si>
  <si>
    <t>核算附加值率</t>
  </si>
  <si>
    <t>人工费</t>
  </si>
  <si>
    <r>
      <rPr>
        <b/>
        <sz val="14"/>
        <color rgb="FFFF0000"/>
        <rFont val="宋体"/>
        <family val="3"/>
        <charset val="134"/>
      </rPr>
      <t>按合同</t>
    </r>
    <r>
      <rPr>
        <b/>
        <sz val="14"/>
        <color rgb="FF000000"/>
        <rFont val="宋体"/>
        <family val="3"/>
        <charset val="134"/>
      </rPr>
      <t>李尔发泡附加值（未税、元）</t>
    </r>
  </si>
  <si>
    <r>
      <rPr>
        <b/>
        <sz val="14"/>
        <color rgb="FFFF0000"/>
        <rFont val="宋体"/>
        <family val="3"/>
        <charset val="134"/>
      </rPr>
      <t>按合同</t>
    </r>
    <r>
      <rPr>
        <b/>
        <sz val="14"/>
        <color rgb="FF000000"/>
        <rFont val="宋体"/>
        <family val="3"/>
        <charset val="134"/>
      </rPr>
      <t>李尔发泡边际贡献情况表（未税、元）</t>
    </r>
  </si>
  <si>
    <t>人工5.8%</t>
  </si>
  <si>
    <r>
      <rPr>
        <b/>
        <sz val="14"/>
        <color rgb="FFFF0000"/>
        <rFont val="宋体"/>
        <family val="3"/>
        <charset val="134"/>
      </rPr>
      <t>按湖南方案</t>
    </r>
    <r>
      <rPr>
        <b/>
        <sz val="14"/>
        <color rgb="FF000000"/>
        <rFont val="宋体"/>
        <family val="3"/>
        <charset val="134"/>
      </rPr>
      <t>核算李尔发泡附加值（未税、元）</t>
    </r>
  </si>
  <si>
    <t>核算价</t>
  </si>
  <si>
    <r>
      <rPr>
        <b/>
        <sz val="14"/>
        <color rgb="FFFF0000"/>
        <rFont val="宋体"/>
        <family val="3"/>
        <charset val="134"/>
      </rPr>
      <t>按湖南方案</t>
    </r>
    <r>
      <rPr>
        <b/>
        <sz val="14"/>
        <color rgb="FF000000"/>
        <rFont val="宋体"/>
        <family val="3"/>
        <charset val="134"/>
      </rPr>
      <t>核算李尔发泡边际贡献情况表（未税、元）</t>
    </r>
  </si>
  <si>
    <r>
      <t>V</t>
    </r>
    <r>
      <rPr>
        <sz val="11"/>
        <color theme="1"/>
        <rFont val="宋体"/>
        <family val="3"/>
        <charset val="134"/>
        <scheme val="minor"/>
      </rPr>
      <t>71</t>
    </r>
    <phoneticPr fontId="43" type="noConversion"/>
  </si>
  <si>
    <t>L002152793AA</t>
  </si>
  <si>
    <r>
      <t>前排驾驶员靠背发泡总成</t>
    </r>
    <r>
      <rPr>
        <sz val="8"/>
        <color theme="1"/>
        <rFont val="Arial"/>
        <family val="2"/>
      </rPr>
      <t>(</t>
    </r>
    <r>
      <rPr>
        <sz val="8"/>
        <color theme="1"/>
        <rFont val="宋体"/>
        <family val="3"/>
        <charset val="134"/>
      </rPr>
      <t>有气囊</t>
    </r>
    <r>
      <rPr>
        <sz val="8"/>
        <color theme="1"/>
        <rFont val="Arial"/>
        <family val="2"/>
      </rPr>
      <t>)</t>
    </r>
  </si>
  <si>
    <t>L002152795AA</t>
  </si>
  <si>
    <r>
      <t>前排副驾驶员靠背发泡总成</t>
    </r>
    <r>
      <rPr>
        <sz val="8"/>
        <color theme="1"/>
        <rFont val="Arial"/>
        <family val="2"/>
      </rPr>
      <t>(</t>
    </r>
    <r>
      <rPr>
        <sz val="8"/>
        <color theme="1"/>
        <rFont val="宋体"/>
        <family val="3"/>
        <charset val="134"/>
      </rPr>
      <t>有气囊</t>
    </r>
    <r>
      <rPr>
        <sz val="8"/>
        <color theme="1"/>
        <rFont val="Arial"/>
        <family val="2"/>
      </rPr>
      <t>)</t>
    </r>
  </si>
  <si>
    <t>L002152796AA</t>
  </si>
  <si>
    <r>
      <t>主驾坐垫泡沫总成（</t>
    </r>
    <r>
      <rPr>
        <sz val="8"/>
        <color theme="1"/>
        <rFont val="Arial"/>
        <family val="2"/>
      </rPr>
      <t>6WP</t>
    </r>
    <r>
      <rPr>
        <sz val="8"/>
        <color theme="1"/>
        <rFont val="宋体"/>
        <family val="3"/>
        <charset val="134"/>
      </rPr>
      <t>）</t>
    </r>
  </si>
  <si>
    <t>L002152797AA</t>
  </si>
  <si>
    <r>
      <t>主驾坐垫泡沫总成（</t>
    </r>
    <r>
      <rPr>
        <sz val="8"/>
        <color theme="1"/>
        <rFont val="Arial"/>
        <family val="2"/>
      </rPr>
      <t>8WP</t>
    </r>
    <r>
      <rPr>
        <sz val="8"/>
        <color theme="1"/>
        <rFont val="宋体"/>
        <family val="3"/>
        <charset val="134"/>
      </rPr>
      <t>）</t>
    </r>
  </si>
  <si>
    <t>L002235230AA</t>
  </si>
  <si>
    <r>
      <t>主驾坐垫泡沫总成（</t>
    </r>
    <r>
      <rPr>
        <sz val="8"/>
        <color theme="1"/>
        <rFont val="Arial"/>
        <family val="2"/>
      </rPr>
      <t>8WP</t>
    </r>
    <r>
      <rPr>
        <sz val="8"/>
        <color theme="1"/>
        <rFont val="宋体"/>
        <family val="3"/>
        <charset val="134"/>
      </rPr>
      <t>）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family val="3"/>
        <charset val="134"/>
      </rPr>
      <t>无通风</t>
    </r>
  </si>
  <si>
    <t>L002320537AA</t>
  </si>
  <si>
    <r>
      <t>主驾坐垫泡沫总成（</t>
    </r>
    <r>
      <rPr>
        <sz val="8"/>
        <color theme="1"/>
        <rFont val="Arial"/>
        <family val="2"/>
      </rPr>
      <t>8WP</t>
    </r>
    <r>
      <rPr>
        <sz val="8"/>
        <color theme="1"/>
        <rFont val="宋体"/>
        <family val="3"/>
        <charset val="134"/>
      </rPr>
      <t>），带通风、带腿托</t>
    </r>
  </si>
  <si>
    <t>L002152798AA</t>
  </si>
  <si>
    <r>
      <t>副驾坐垫泡沫总成（</t>
    </r>
    <r>
      <rPr>
        <sz val="8"/>
        <color theme="1"/>
        <rFont val="Arial"/>
        <family val="2"/>
      </rPr>
      <t>4WP</t>
    </r>
    <r>
      <rPr>
        <sz val="8"/>
        <color theme="1"/>
        <rFont val="宋体"/>
        <family val="3"/>
        <charset val="134"/>
      </rPr>
      <t>）</t>
    </r>
  </si>
  <si>
    <t>L002152800AA</t>
  </si>
  <si>
    <r>
      <t>副驾坐垫泡沫总成（</t>
    </r>
    <r>
      <rPr>
        <sz val="8"/>
        <color theme="1"/>
        <rFont val="Arial"/>
        <family val="2"/>
      </rPr>
      <t>4WP</t>
    </r>
    <r>
      <rPr>
        <sz val="8"/>
        <color theme="1"/>
        <rFont val="宋体"/>
        <family val="3"/>
        <charset val="134"/>
      </rPr>
      <t>）不带通风</t>
    </r>
  </si>
  <si>
    <t>L002320541AA</t>
  </si>
  <si>
    <r>
      <t>副驾坐垫泡沫总成（</t>
    </r>
    <r>
      <rPr>
        <sz val="8"/>
        <color theme="1"/>
        <rFont val="Arial"/>
        <family val="2"/>
      </rPr>
      <t>4WP</t>
    </r>
    <r>
      <rPr>
        <sz val="8"/>
        <color theme="1"/>
        <rFont val="宋体"/>
        <family val="3"/>
        <charset val="134"/>
      </rPr>
      <t>）通风，腿托</t>
    </r>
  </si>
  <si>
    <t>L002452584AA</t>
  </si>
  <si>
    <r>
      <t>副驾坐垫泡沫总成（</t>
    </r>
    <r>
      <rPr>
        <sz val="8"/>
        <color theme="1"/>
        <rFont val="Arial"/>
        <family val="2"/>
      </rPr>
      <t>6WP</t>
    </r>
    <r>
      <rPr>
        <sz val="8"/>
        <color theme="1"/>
        <rFont val="宋体"/>
        <family val="3"/>
        <charset val="134"/>
      </rPr>
      <t>）通风，腿托</t>
    </r>
  </si>
  <si>
    <t>L002452619AA</t>
  </si>
  <si>
    <r>
      <t>副驾坐垫泡沫总成（</t>
    </r>
    <r>
      <rPr>
        <sz val="8"/>
        <color theme="1"/>
        <rFont val="Arial"/>
        <family val="2"/>
      </rPr>
      <t>6WP</t>
    </r>
    <r>
      <rPr>
        <sz val="8"/>
        <color theme="1"/>
        <rFont val="宋体"/>
        <family val="3"/>
        <charset val="134"/>
      </rPr>
      <t>）带通风</t>
    </r>
  </si>
  <si>
    <t>L002404439AA</t>
  </si>
  <si>
    <t>腿托发泡总成</t>
  </si>
  <si>
    <t>L002152801AA</t>
  </si>
  <si>
    <r>
      <t>60%</t>
    </r>
    <r>
      <rPr>
        <sz val="8"/>
        <color theme="1"/>
        <rFont val="宋体"/>
        <family val="3"/>
        <charset val="134"/>
      </rPr>
      <t>靠背发泡总成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family val="3"/>
        <charset val="134"/>
      </rPr>
      <t>带扶手，不带气囊</t>
    </r>
  </si>
  <si>
    <t>L002152803AA</t>
  </si>
  <si>
    <r>
      <t>60%</t>
    </r>
    <r>
      <rPr>
        <sz val="8"/>
        <color theme="1"/>
        <rFont val="宋体"/>
        <family val="3"/>
        <charset val="134"/>
      </rPr>
      <t>靠背发泡总成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family val="3"/>
        <charset val="134"/>
      </rPr>
      <t>带扶手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family val="3"/>
        <charset val="134"/>
      </rPr>
      <t>带气囊</t>
    </r>
  </si>
  <si>
    <t>L002152804AA</t>
  </si>
  <si>
    <r>
      <t>40%</t>
    </r>
    <r>
      <rPr>
        <sz val="8"/>
        <color theme="1"/>
        <rFont val="宋体"/>
        <family val="3"/>
        <charset val="134"/>
      </rPr>
      <t>靠背发泡总成（不带气囊）</t>
    </r>
  </si>
  <si>
    <t>L002152805AA</t>
  </si>
  <si>
    <r>
      <t>40%</t>
    </r>
    <r>
      <rPr>
        <sz val="8"/>
        <color theme="1"/>
        <rFont val="宋体"/>
        <family val="3"/>
        <charset val="134"/>
      </rPr>
      <t>靠背发泡总成</t>
    </r>
    <r>
      <rPr>
        <sz val="8"/>
        <color theme="1"/>
        <rFont val="Arial"/>
        <family val="2"/>
      </rPr>
      <t>-</t>
    </r>
    <r>
      <rPr>
        <sz val="8"/>
        <color theme="1"/>
        <rFont val="宋体"/>
        <family val="3"/>
        <charset val="134"/>
      </rPr>
      <t>带气囊</t>
    </r>
  </si>
  <si>
    <t>L002187704AA</t>
  </si>
  <si>
    <r>
      <t>100%</t>
    </r>
    <r>
      <rPr>
        <sz val="8"/>
        <color theme="1"/>
        <rFont val="宋体"/>
        <family val="3"/>
        <charset val="134"/>
      </rPr>
      <t>座垫发泡总成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</si>
</sst>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8" formatCode="[$$-409]#,##0.00"/>
    <numFmt numFmtId="179" formatCode="#,##0.00_ "/>
    <numFmt numFmtId="180" formatCode="[$-409]dd/mmm/yy;@"/>
    <numFmt numFmtId="181" formatCode="_-* #,##0.00\ [$€]_-;\-* #,##0.00\ [$€]_-;_-* &quot;-&quot;??\ [$€]_-;_-@_-"/>
    <numFmt numFmtId="182" formatCode="0.000_);[Red]\(0.000\)"/>
    <numFmt numFmtId="183" formatCode="0.00_ "/>
    <numFmt numFmtId="184" formatCode="#,##0.000_ ;[Red]\-#,##0.000\ "/>
    <numFmt numFmtId="185" formatCode="0.0%"/>
  </numFmts>
  <fonts count="47">
    <font>
      <sz val="11"/>
      <color theme="1"/>
      <name val="宋体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36"/>
      <color theme="1"/>
      <name val="Modern H Bold"/>
      <family val="1"/>
    </font>
    <font>
      <sz val="14"/>
      <color theme="1"/>
      <name val="Modern H Bold"/>
      <family val="1"/>
    </font>
    <font>
      <sz val="11"/>
      <color theme="1"/>
      <name val="Modern H Bold"/>
      <family val="1"/>
    </font>
    <font>
      <b/>
      <sz val="36"/>
      <color theme="1"/>
      <name val="微软雅黑"/>
      <family val="2"/>
      <charset val="134"/>
    </font>
    <font>
      <sz val="24"/>
      <color theme="0"/>
      <name val="Modern H Bold"/>
      <family val="1"/>
    </font>
    <font>
      <b/>
      <sz val="24"/>
      <color theme="0"/>
      <name val="Modern H Bold"/>
      <family val="1"/>
    </font>
    <font>
      <b/>
      <sz val="24"/>
      <color theme="0"/>
      <name val="宋体"/>
      <family val="3"/>
      <charset val="134"/>
    </font>
    <font>
      <sz val="18"/>
      <color theme="1"/>
      <name val="Modern H Bold"/>
      <family val="1"/>
    </font>
    <font>
      <sz val="18"/>
      <name val="현대하모니 L"/>
      <charset val="129"/>
    </font>
    <font>
      <sz val="26"/>
      <color theme="1"/>
      <name val="Modern H Bold"/>
      <family val="1"/>
    </font>
    <font>
      <sz val="22"/>
      <color theme="1"/>
      <name val="Modern H Bold"/>
      <family val="1"/>
    </font>
    <font>
      <sz val="24"/>
      <color theme="1"/>
      <name val="Modern H Bold"/>
      <family val="1"/>
    </font>
    <font>
      <sz val="24"/>
      <color theme="1"/>
      <name val="宋体"/>
      <family val="3"/>
      <charset val="134"/>
    </font>
    <font>
      <sz val="20"/>
      <color theme="1"/>
      <name val="Modern H Bold"/>
      <family val="1"/>
    </font>
    <font>
      <sz val="11"/>
      <color theme="1"/>
      <name val="宋体"/>
      <family val="3"/>
      <charset val="134"/>
    </font>
    <font>
      <b/>
      <sz val="22"/>
      <color theme="1"/>
      <name val="Modern H Bold"/>
      <family val="1"/>
    </font>
    <font>
      <sz val="24"/>
      <color theme="0"/>
      <name val="微软雅黑"/>
      <family val="2"/>
      <charset val="134"/>
    </font>
    <font>
      <b/>
      <sz val="26"/>
      <color theme="1"/>
      <name val="Modern H Bold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바탕체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180" fontId="34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49" fontId="36" fillId="0" borderId="5" applyFill="0" applyBorder="0" applyAlignment="0" applyProtection="0">
      <alignment horizontal="left" vertical="center" wrapText="1"/>
    </xf>
    <xf numFmtId="0" fontId="37" fillId="0" borderId="0">
      <alignment vertical="center"/>
    </xf>
    <xf numFmtId="181" fontId="36" fillId="0" borderId="0"/>
    <xf numFmtId="181" fontId="36" fillId="0" borderId="0">
      <protection locked="0"/>
    </xf>
    <xf numFmtId="0" fontId="37" fillId="0" borderId="0">
      <alignment vertical="center"/>
    </xf>
    <xf numFmtId="178" fontId="37" fillId="0" borderId="0"/>
    <xf numFmtId="0" fontId="42" fillId="0" borderId="0">
      <alignment vertical="center"/>
    </xf>
    <xf numFmtId="178" fontId="37" fillId="0" borderId="0"/>
    <xf numFmtId="181" fontId="36" fillId="0" borderId="0" applyFill="0" applyBorder="0" applyAlignment="0" applyProtection="0"/>
    <xf numFmtId="0" fontId="42" fillId="0" borderId="0"/>
    <xf numFmtId="0" fontId="36" fillId="0" borderId="0"/>
    <xf numFmtId="0" fontId="37" fillId="0" borderId="0"/>
    <xf numFmtId="0" fontId="38" fillId="0" borderId="0"/>
  </cellStyleXfs>
  <cellXfs count="2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/>
    </xf>
    <xf numFmtId="179" fontId="0" fillId="2" borderId="5" xfId="0" applyNumberFormat="1" applyFill="1" applyBorder="1" applyAlignment="1">
      <alignment horizontal="center" vertical="center"/>
    </xf>
    <xf numFmtId="10" fontId="0" fillId="2" borderId="5" xfId="2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0" fontId="0" fillId="3" borderId="5" xfId="2" applyNumberFormat="1" applyFont="1" applyFill="1" applyBorder="1" applyAlignment="1">
      <alignment horizontal="center" vertical="center" wrapText="1"/>
    </xf>
    <xf numFmtId="179" fontId="0" fillId="4" borderId="5" xfId="0" applyNumberFormat="1" applyFill="1" applyBorder="1" applyAlignment="1">
      <alignment horizontal="center" vertical="center"/>
    </xf>
    <xf numFmtId="179" fontId="0" fillId="3" borderId="5" xfId="0" applyNumberFormat="1" applyFill="1" applyBorder="1" applyAlignment="1">
      <alignment horizontal="center" vertical="center"/>
    </xf>
    <xf numFmtId="10" fontId="0" fillId="3" borderId="5" xfId="2" applyNumberFormat="1" applyFont="1" applyFill="1" applyBorder="1" applyAlignment="1">
      <alignment horizontal="center" vertical="center"/>
    </xf>
    <xf numFmtId="179" fontId="0" fillId="0" borderId="5" xfId="0" applyNumberFormat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82" fontId="0" fillId="0" borderId="0" xfId="0" applyNumberForma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82" fontId="9" fillId="5" borderId="7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182" fontId="8" fillId="2" borderId="5" xfId="0" applyNumberFormat="1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183" fontId="9" fillId="5" borderId="13" xfId="0" applyNumberFormat="1" applyFont="1" applyFill="1" applyBorder="1" applyAlignment="1">
      <alignment horizontal="center" vertical="center"/>
    </xf>
    <xf numFmtId="183" fontId="8" fillId="0" borderId="5" xfId="0" applyNumberFormat="1" applyFont="1" applyFill="1" applyBorder="1" applyAlignment="1">
      <alignment vertical="center"/>
    </xf>
    <xf numFmtId="183" fontId="8" fillId="0" borderId="0" xfId="0" applyNumberFormat="1" applyFont="1" applyFill="1" applyAlignment="1">
      <alignment vertical="center"/>
    </xf>
    <xf numFmtId="183" fontId="8" fillId="0" borderId="14" xfId="0" applyNumberFormat="1" applyFont="1" applyFill="1" applyBorder="1" applyAlignment="1">
      <alignment vertical="center"/>
    </xf>
    <xf numFmtId="183" fontId="8" fillId="0" borderId="15" xfId="0" applyNumberFormat="1" applyFont="1" applyFill="1" applyBorder="1" applyAlignment="1">
      <alignment vertical="center"/>
    </xf>
    <xf numFmtId="183" fontId="10" fillId="0" borderId="5" xfId="0" applyNumberFormat="1" applyFont="1" applyFill="1" applyBorder="1" applyAlignment="1">
      <alignment vertical="center"/>
    </xf>
    <xf numFmtId="183" fontId="8" fillId="2" borderId="5" xfId="0" applyNumberFormat="1" applyFont="1" applyFill="1" applyBorder="1" applyAlignment="1">
      <alignment vertical="center"/>
    </xf>
    <xf numFmtId="183" fontId="10" fillId="2" borderId="5" xfId="0" applyNumberFormat="1" applyFont="1" applyFill="1" applyBorder="1" applyAlignment="1">
      <alignment vertical="center"/>
    </xf>
    <xf numFmtId="179" fontId="9" fillId="5" borderId="7" xfId="0" applyNumberFormat="1" applyFont="1" applyFill="1" applyBorder="1" applyAlignment="1">
      <alignment horizontal="center" vertical="center"/>
    </xf>
    <xf numFmtId="179" fontId="8" fillId="6" borderId="10" xfId="0" applyNumberFormat="1" applyFont="1" applyFill="1" applyBorder="1" applyAlignment="1">
      <alignment vertical="center"/>
    </xf>
    <xf numFmtId="179" fontId="8" fillId="2" borderId="5" xfId="0" applyNumberFormat="1" applyFont="1" applyFill="1" applyBorder="1" applyAlignment="1">
      <alignment vertical="center"/>
    </xf>
    <xf numFmtId="184" fontId="8" fillId="2" borderId="5" xfId="0" applyNumberFormat="1" applyFont="1" applyFill="1" applyBorder="1" applyAlignment="1">
      <alignment vertical="center"/>
    </xf>
    <xf numFmtId="179" fontId="0" fillId="0" borderId="0" xfId="0" applyNumberFormat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0" fontId="4" fillId="0" borderId="2" xfId="2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185" fontId="0" fillId="0" borderId="5" xfId="2" applyNumberFormat="1" applyFont="1" applyBorder="1" applyAlignment="1">
      <alignment horizontal="center" vertical="center"/>
    </xf>
    <xf numFmtId="179" fontId="0" fillId="0" borderId="5" xfId="2" applyNumberFormat="1" applyFont="1" applyBorder="1" applyAlignment="1">
      <alignment horizontal="center" vertical="center"/>
    </xf>
    <xf numFmtId="179" fontId="14" fillId="0" borderId="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0" fontId="0" fillId="0" borderId="14" xfId="2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8" fillId="7" borderId="0" xfId="0" applyFont="1" applyFill="1">
      <alignment vertical="center"/>
    </xf>
    <xf numFmtId="0" fontId="22" fillId="8" borderId="5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7" borderId="18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/>
    </xf>
    <xf numFmtId="0" fontId="29" fillId="2" borderId="5" xfId="0" applyFont="1" applyFill="1" applyBorder="1">
      <alignment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79" fontId="18" fillId="0" borderId="0" xfId="0" applyNumberFormat="1" applyFont="1">
      <alignment vertical="center"/>
    </xf>
    <xf numFmtId="0" fontId="32" fillId="8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19" fillId="0" borderId="0" xfId="0" applyNumberFormat="1" applyFont="1" applyBorder="1" applyAlignment="1">
      <alignment horizontal="center" vertical="center"/>
    </xf>
    <xf numFmtId="179" fontId="33" fillId="7" borderId="5" xfId="0" applyNumberFormat="1" applyFont="1" applyFill="1" applyBorder="1">
      <alignment vertical="center"/>
    </xf>
    <xf numFmtId="179" fontId="33" fillId="0" borderId="5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vertical="center"/>
    </xf>
    <xf numFmtId="0" fontId="24" fillId="2" borderId="18" xfId="15" applyFont="1" applyFill="1" applyBorder="1" applyAlignment="1">
      <alignment horizontal="center" vertical="center"/>
    </xf>
    <xf numFmtId="0" fontId="24" fillId="2" borderId="19" xfId="15" applyFont="1" applyFill="1" applyBorder="1" applyAlignment="1">
      <alignment horizontal="center" vertical="center"/>
    </xf>
    <xf numFmtId="0" fontId="24" fillId="9" borderId="18" xfId="15" applyFont="1" applyFill="1" applyBorder="1" applyAlignment="1">
      <alignment horizontal="center" vertical="center"/>
    </xf>
    <xf numFmtId="0" fontId="24" fillId="9" borderId="19" xfId="15" applyFont="1" applyFill="1" applyBorder="1" applyAlignment="1">
      <alignment horizontal="center" vertical="center"/>
    </xf>
    <xf numFmtId="0" fontId="24" fillId="9" borderId="18" xfId="15" applyFont="1" applyFill="1" applyBorder="1" applyAlignment="1">
      <alignment horizontal="center" vertical="center" wrapText="1"/>
    </xf>
    <xf numFmtId="0" fontId="24" fillId="9" borderId="19" xfId="15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5" fillId="9" borderId="18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20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179" fontId="22" fillId="8" borderId="18" xfId="0" applyNumberFormat="1" applyFont="1" applyFill="1" applyBorder="1" applyAlignment="1">
      <alignment horizontal="center" vertical="center" wrapText="1"/>
    </xf>
    <xf numFmtId="179" fontId="22" fillId="8" borderId="20" xfId="0" applyNumberFormat="1" applyFont="1" applyFill="1" applyBorder="1" applyAlignment="1">
      <alignment horizontal="center" vertical="center" wrapText="1"/>
    </xf>
    <xf numFmtId="179" fontId="25" fillId="9" borderId="18" xfId="0" applyNumberFormat="1" applyFont="1" applyFill="1" applyBorder="1" applyAlignment="1">
      <alignment horizontal="center" vertical="center" wrapText="1"/>
    </xf>
    <xf numFmtId="179" fontId="25" fillId="9" borderId="19" xfId="0" applyNumberFormat="1" applyFont="1" applyFill="1" applyBorder="1" applyAlignment="1">
      <alignment horizontal="center" vertical="center" wrapText="1"/>
    </xf>
    <xf numFmtId="179" fontId="25" fillId="9" borderId="20" xfId="0" applyNumberFormat="1" applyFont="1" applyFill="1" applyBorder="1" applyAlignment="1">
      <alignment horizontal="center" vertical="center" wrapText="1"/>
    </xf>
    <xf numFmtId="179" fontId="27" fillId="9" borderId="18" xfId="0" applyNumberFormat="1" applyFont="1" applyFill="1" applyBorder="1" applyAlignment="1">
      <alignment horizontal="center" vertical="center" wrapText="1"/>
    </xf>
    <xf numFmtId="179" fontId="27" fillId="9" borderId="19" xfId="0" applyNumberFormat="1" applyFont="1" applyFill="1" applyBorder="1" applyAlignment="1">
      <alignment horizontal="center" vertical="center" wrapText="1"/>
    </xf>
    <xf numFmtId="179" fontId="27" fillId="9" borderId="20" xfId="0" applyNumberFormat="1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9" borderId="20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4" fillId="9" borderId="5" xfId="15" applyFont="1" applyFill="1" applyBorder="1" applyAlignment="1">
      <alignment horizontal="center" vertical="center" wrapText="1"/>
    </xf>
    <xf numFmtId="0" fontId="24" fillId="9" borderId="20" xfId="15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6" fillId="9" borderId="18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79" fontId="4" fillId="11" borderId="2" xfId="0" applyNumberFormat="1" applyFont="1" applyFill="1" applyBorder="1" applyAlignment="1">
      <alignment horizontal="center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35" fillId="0" borderId="0" xfId="0" applyFont="1">
      <alignment vertical="center"/>
    </xf>
    <xf numFmtId="0" fontId="45" fillId="12" borderId="24" xfId="0" applyFont="1" applyFill="1" applyBorder="1" applyAlignment="1">
      <alignment horizontal="center" vertical="center" wrapText="1"/>
    </xf>
    <xf numFmtId="0" fontId="45" fillId="12" borderId="25" xfId="0" applyFont="1" applyFill="1" applyBorder="1" applyAlignment="1">
      <alignment horizontal="center" vertical="center" wrapText="1"/>
    </xf>
    <xf numFmtId="0" fontId="46" fillId="12" borderId="25" xfId="0" applyFont="1" applyFill="1" applyBorder="1" applyAlignment="1">
      <alignment horizontal="center" vertical="center" wrapText="1"/>
    </xf>
  </cellXfs>
  <cellStyles count="16">
    <cellStyle name="BOM_Level_2" xfId="3"/>
    <cellStyle name="Normal 4" xfId="8"/>
    <cellStyle name="Normal 4 2" xfId="10"/>
    <cellStyle name="Normal 659" xfId="5"/>
    <cellStyle name="Normal_Quotation BOM to Faw-Vw Final Version ByLaura-update" xfId="6"/>
    <cellStyle name="RowLevel_4" xfId="11"/>
    <cellStyle name="百分比" xfId="2" builtinId="5"/>
    <cellStyle name="常规" xfId="0" builtinId="0"/>
    <cellStyle name="常规 12" xfId="4"/>
    <cellStyle name="常规 2" xfId="12"/>
    <cellStyle name="常规 2 2" xfId="7"/>
    <cellStyle name="常规 2 3" xfId="9"/>
    <cellStyle name="常规 39" xfId="1"/>
    <cellStyle name="常规 7" xfId="13"/>
    <cellStyle name="样式 1" xfId="14"/>
    <cellStyle name="표준_NF_BOM_rev01" xfId="15"/>
  </cellStyles>
  <dxfs count="75"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.png"/><Relationship Id="rId21" Type="http://schemas.openxmlformats.org/officeDocument/2006/relationships/image" Target="../media/image58.png"/><Relationship Id="rId42" Type="http://schemas.openxmlformats.org/officeDocument/2006/relationships/image" Target="../media/image79.png"/><Relationship Id="rId47" Type="http://schemas.openxmlformats.org/officeDocument/2006/relationships/image" Target="../media/image84.png"/><Relationship Id="rId63" Type="http://schemas.openxmlformats.org/officeDocument/2006/relationships/image" Target="../media/image100.png"/><Relationship Id="rId68" Type="http://schemas.openxmlformats.org/officeDocument/2006/relationships/image" Target="../media/image105.png"/><Relationship Id="rId84" Type="http://schemas.openxmlformats.org/officeDocument/2006/relationships/image" Target="../media/image121.png"/><Relationship Id="rId89" Type="http://schemas.openxmlformats.org/officeDocument/2006/relationships/image" Target="../media/image126.png"/><Relationship Id="rId16" Type="http://schemas.openxmlformats.org/officeDocument/2006/relationships/image" Target="../media/image53.png"/><Relationship Id="rId11" Type="http://schemas.openxmlformats.org/officeDocument/2006/relationships/image" Target="../media/image48.png"/><Relationship Id="rId32" Type="http://schemas.openxmlformats.org/officeDocument/2006/relationships/image" Target="../media/image69.png"/><Relationship Id="rId37" Type="http://schemas.openxmlformats.org/officeDocument/2006/relationships/image" Target="../media/image74.png"/><Relationship Id="rId53" Type="http://schemas.openxmlformats.org/officeDocument/2006/relationships/image" Target="../media/image90.png"/><Relationship Id="rId58" Type="http://schemas.openxmlformats.org/officeDocument/2006/relationships/image" Target="../media/image95.png"/><Relationship Id="rId74" Type="http://schemas.openxmlformats.org/officeDocument/2006/relationships/image" Target="../media/image111.png"/><Relationship Id="rId79" Type="http://schemas.openxmlformats.org/officeDocument/2006/relationships/image" Target="../media/image116.png"/><Relationship Id="rId5" Type="http://schemas.openxmlformats.org/officeDocument/2006/relationships/image" Target="../media/image42.png"/><Relationship Id="rId90" Type="http://schemas.openxmlformats.org/officeDocument/2006/relationships/image" Target="../media/image127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43" Type="http://schemas.openxmlformats.org/officeDocument/2006/relationships/image" Target="../media/image80.png"/><Relationship Id="rId48" Type="http://schemas.openxmlformats.org/officeDocument/2006/relationships/image" Target="../media/image85.png"/><Relationship Id="rId64" Type="http://schemas.openxmlformats.org/officeDocument/2006/relationships/image" Target="../media/image101.png"/><Relationship Id="rId69" Type="http://schemas.openxmlformats.org/officeDocument/2006/relationships/image" Target="../media/image106.png"/><Relationship Id="rId8" Type="http://schemas.openxmlformats.org/officeDocument/2006/relationships/image" Target="../media/image45.png"/><Relationship Id="rId51" Type="http://schemas.openxmlformats.org/officeDocument/2006/relationships/image" Target="../media/image88.png"/><Relationship Id="rId72" Type="http://schemas.openxmlformats.org/officeDocument/2006/relationships/image" Target="../media/image109.png"/><Relationship Id="rId80" Type="http://schemas.openxmlformats.org/officeDocument/2006/relationships/image" Target="../media/image117.png"/><Relationship Id="rId85" Type="http://schemas.openxmlformats.org/officeDocument/2006/relationships/image" Target="../media/image122.png"/><Relationship Id="rId93" Type="http://schemas.openxmlformats.org/officeDocument/2006/relationships/image" Target="../media/image130.png"/><Relationship Id="rId3" Type="http://schemas.openxmlformats.org/officeDocument/2006/relationships/image" Target="../media/image40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46" Type="http://schemas.openxmlformats.org/officeDocument/2006/relationships/image" Target="../media/image83.png"/><Relationship Id="rId59" Type="http://schemas.openxmlformats.org/officeDocument/2006/relationships/image" Target="../media/image96.png"/><Relationship Id="rId67" Type="http://schemas.openxmlformats.org/officeDocument/2006/relationships/image" Target="../media/image104.png"/><Relationship Id="rId20" Type="http://schemas.openxmlformats.org/officeDocument/2006/relationships/image" Target="../media/image57.png"/><Relationship Id="rId41" Type="http://schemas.openxmlformats.org/officeDocument/2006/relationships/image" Target="../media/image78.png"/><Relationship Id="rId54" Type="http://schemas.openxmlformats.org/officeDocument/2006/relationships/image" Target="../media/image91.png"/><Relationship Id="rId62" Type="http://schemas.openxmlformats.org/officeDocument/2006/relationships/image" Target="../media/image99.png"/><Relationship Id="rId70" Type="http://schemas.openxmlformats.org/officeDocument/2006/relationships/image" Target="../media/image107.png"/><Relationship Id="rId75" Type="http://schemas.openxmlformats.org/officeDocument/2006/relationships/image" Target="../media/image112.png"/><Relationship Id="rId83" Type="http://schemas.openxmlformats.org/officeDocument/2006/relationships/image" Target="../media/image120.png"/><Relationship Id="rId88" Type="http://schemas.openxmlformats.org/officeDocument/2006/relationships/image" Target="../media/image125.png"/><Relationship Id="rId91" Type="http://schemas.openxmlformats.org/officeDocument/2006/relationships/image" Target="../media/image128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36" Type="http://schemas.openxmlformats.org/officeDocument/2006/relationships/image" Target="../media/image73.png"/><Relationship Id="rId49" Type="http://schemas.openxmlformats.org/officeDocument/2006/relationships/image" Target="../media/image86.png"/><Relationship Id="rId57" Type="http://schemas.openxmlformats.org/officeDocument/2006/relationships/image" Target="../media/image94.png"/><Relationship Id="rId10" Type="http://schemas.openxmlformats.org/officeDocument/2006/relationships/image" Target="../media/image47.png"/><Relationship Id="rId31" Type="http://schemas.openxmlformats.org/officeDocument/2006/relationships/image" Target="../media/image68.png"/><Relationship Id="rId44" Type="http://schemas.openxmlformats.org/officeDocument/2006/relationships/image" Target="../media/image81.png"/><Relationship Id="rId52" Type="http://schemas.openxmlformats.org/officeDocument/2006/relationships/image" Target="../media/image89.png"/><Relationship Id="rId60" Type="http://schemas.openxmlformats.org/officeDocument/2006/relationships/image" Target="../media/image97.png"/><Relationship Id="rId65" Type="http://schemas.openxmlformats.org/officeDocument/2006/relationships/image" Target="../media/image102.png"/><Relationship Id="rId73" Type="http://schemas.openxmlformats.org/officeDocument/2006/relationships/image" Target="../media/image110.png"/><Relationship Id="rId78" Type="http://schemas.openxmlformats.org/officeDocument/2006/relationships/image" Target="../media/image115.png"/><Relationship Id="rId81" Type="http://schemas.openxmlformats.org/officeDocument/2006/relationships/image" Target="../media/image118.png"/><Relationship Id="rId86" Type="http://schemas.openxmlformats.org/officeDocument/2006/relationships/image" Target="../media/image123.png"/><Relationship Id="rId94" Type="http://schemas.openxmlformats.org/officeDocument/2006/relationships/image" Target="../media/image131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9" Type="http://schemas.openxmlformats.org/officeDocument/2006/relationships/image" Target="../media/image76.png"/><Relationship Id="rId34" Type="http://schemas.openxmlformats.org/officeDocument/2006/relationships/image" Target="../media/image71.png"/><Relationship Id="rId50" Type="http://schemas.openxmlformats.org/officeDocument/2006/relationships/image" Target="../media/image87.png"/><Relationship Id="rId55" Type="http://schemas.openxmlformats.org/officeDocument/2006/relationships/image" Target="../media/image92.png"/><Relationship Id="rId76" Type="http://schemas.openxmlformats.org/officeDocument/2006/relationships/image" Target="../media/image113.png"/><Relationship Id="rId7" Type="http://schemas.openxmlformats.org/officeDocument/2006/relationships/image" Target="../media/image44.png"/><Relationship Id="rId71" Type="http://schemas.openxmlformats.org/officeDocument/2006/relationships/image" Target="../media/image108.png"/><Relationship Id="rId92" Type="http://schemas.openxmlformats.org/officeDocument/2006/relationships/image" Target="../media/image129.png"/><Relationship Id="rId2" Type="http://schemas.openxmlformats.org/officeDocument/2006/relationships/image" Target="../media/image39.png"/><Relationship Id="rId29" Type="http://schemas.openxmlformats.org/officeDocument/2006/relationships/image" Target="../media/image66.png"/><Relationship Id="rId24" Type="http://schemas.openxmlformats.org/officeDocument/2006/relationships/image" Target="../media/image61.png"/><Relationship Id="rId40" Type="http://schemas.openxmlformats.org/officeDocument/2006/relationships/image" Target="../media/image77.png"/><Relationship Id="rId45" Type="http://schemas.openxmlformats.org/officeDocument/2006/relationships/image" Target="../media/image82.png"/><Relationship Id="rId66" Type="http://schemas.openxmlformats.org/officeDocument/2006/relationships/image" Target="../media/image103.png"/><Relationship Id="rId87" Type="http://schemas.openxmlformats.org/officeDocument/2006/relationships/image" Target="../media/image124.png"/><Relationship Id="rId61" Type="http://schemas.openxmlformats.org/officeDocument/2006/relationships/image" Target="../media/image98.png"/><Relationship Id="rId82" Type="http://schemas.openxmlformats.org/officeDocument/2006/relationships/image" Target="../media/image119.png"/><Relationship Id="rId19" Type="http://schemas.openxmlformats.org/officeDocument/2006/relationships/image" Target="../media/image56.png"/><Relationship Id="rId14" Type="http://schemas.openxmlformats.org/officeDocument/2006/relationships/image" Target="../media/image51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56" Type="http://schemas.openxmlformats.org/officeDocument/2006/relationships/image" Target="../media/image93.png"/><Relationship Id="rId77" Type="http://schemas.openxmlformats.org/officeDocument/2006/relationships/image" Target="../media/image1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123394</xdr:colOff>
      <xdr:row>4</xdr:row>
      <xdr:rowOff>976313</xdr:rowOff>
    </xdr:from>
    <xdr:to>
      <xdr:col>5</xdr:col>
      <xdr:colOff>0</xdr:colOff>
      <xdr:row>8</xdr:row>
      <xdr:rowOff>293448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5490" y="4622165"/>
          <a:ext cx="3039110" cy="3386455"/>
        </a:xfrm>
        <a:prstGeom prst="rect">
          <a:avLst/>
        </a:prstGeom>
      </xdr:spPr>
    </xdr:pic>
    <xdr:clientData/>
  </xdr:twoCellAnchor>
  <xdr:twoCellAnchor editAs="oneCell">
    <xdr:from>
      <xdr:col>9</xdr:col>
      <xdr:colOff>69273</xdr:colOff>
      <xdr:row>9</xdr:row>
      <xdr:rowOff>34637</xdr:rowOff>
    </xdr:from>
    <xdr:to>
      <xdr:col>10</xdr:col>
      <xdr:colOff>6775</xdr:colOff>
      <xdr:row>9</xdr:row>
      <xdr:rowOff>917864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4365" y="8766810"/>
          <a:ext cx="2194560" cy="88328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155863</xdr:colOff>
      <xdr:row>10</xdr:row>
      <xdr:rowOff>1593273</xdr:rowOff>
    </xdr:from>
    <xdr:to>
      <xdr:col>5</xdr:col>
      <xdr:colOff>0</xdr:colOff>
      <xdr:row>14</xdr:row>
      <xdr:rowOff>771958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7875" y="10767060"/>
          <a:ext cx="3006725" cy="382333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138546</xdr:colOff>
      <xdr:row>17</xdr:row>
      <xdr:rowOff>1021774</xdr:rowOff>
    </xdr:from>
    <xdr:to>
      <xdr:col>5</xdr:col>
      <xdr:colOff>0</xdr:colOff>
      <xdr:row>21</xdr:row>
      <xdr:rowOff>124692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0730" y="17887950"/>
          <a:ext cx="3023870" cy="3176270"/>
        </a:xfrm>
        <a:prstGeom prst="rect">
          <a:avLst/>
        </a:prstGeom>
      </xdr:spPr>
    </xdr:pic>
    <xdr:clientData/>
  </xdr:twoCellAnchor>
  <xdr:twoCellAnchor editAs="oneCell">
    <xdr:from>
      <xdr:col>4</xdr:col>
      <xdr:colOff>121228</xdr:colOff>
      <xdr:row>23</xdr:row>
      <xdr:rowOff>311728</xdr:rowOff>
    </xdr:from>
    <xdr:to>
      <xdr:col>5</xdr:col>
      <xdr:colOff>0</xdr:colOff>
      <xdr:row>26</xdr:row>
      <xdr:rowOff>736023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92950" y="23285450"/>
          <a:ext cx="3041650" cy="347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155864</xdr:colOff>
      <xdr:row>29</xdr:row>
      <xdr:rowOff>623456</xdr:rowOff>
    </xdr:from>
    <xdr:to>
      <xdr:col>5</xdr:col>
      <xdr:colOff>0</xdr:colOff>
      <xdr:row>32</xdr:row>
      <xdr:rowOff>971985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7875" y="29700855"/>
          <a:ext cx="3006725" cy="3400425"/>
        </a:xfrm>
        <a:prstGeom prst="rect">
          <a:avLst/>
        </a:prstGeom>
      </xdr:spPr>
    </xdr:pic>
    <xdr:clientData/>
  </xdr:twoCellAnchor>
  <xdr:twoCellAnchor editAs="oneCell">
    <xdr:from>
      <xdr:col>4</xdr:col>
      <xdr:colOff>69273</xdr:colOff>
      <xdr:row>37</xdr:row>
      <xdr:rowOff>1697182</xdr:rowOff>
    </xdr:from>
    <xdr:to>
      <xdr:col>5</xdr:col>
      <xdr:colOff>0</xdr:colOff>
      <xdr:row>40</xdr:row>
      <xdr:rowOff>396587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41515" y="38233350"/>
          <a:ext cx="3093085" cy="2430780"/>
        </a:xfrm>
        <a:prstGeom prst="rect">
          <a:avLst/>
        </a:prstGeom>
      </xdr:spPr>
    </xdr:pic>
    <xdr:clientData/>
  </xdr:twoCellAnchor>
  <xdr:twoCellAnchor editAs="oneCell">
    <xdr:from>
      <xdr:col>9</xdr:col>
      <xdr:colOff>106071</xdr:colOff>
      <xdr:row>57</xdr:row>
      <xdr:rowOff>54120</xdr:rowOff>
    </xdr:from>
    <xdr:to>
      <xdr:col>9</xdr:col>
      <xdr:colOff>1357312</xdr:colOff>
      <xdr:row>57</xdr:row>
      <xdr:rowOff>917248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18451195" y="57615455"/>
          <a:ext cx="1250950" cy="862965"/>
        </a:xfrm>
        <a:prstGeom prst="rect">
          <a:avLst/>
        </a:prstGeom>
      </xdr:spPr>
    </xdr:pic>
    <xdr:clientData/>
  </xdr:twoCellAnchor>
  <xdr:twoCellAnchor editAs="oneCell">
    <xdr:from>
      <xdr:col>9</xdr:col>
      <xdr:colOff>123394</xdr:colOff>
      <xdr:row>58</xdr:row>
      <xdr:rowOff>145041</xdr:rowOff>
    </xdr:from>
    <xdr:to>
      <xdr:col>9</xdr:col>
      <xdr:colOff>1952626</xdr:colOff>
      <xdr:row>58</xdr:row>
      <xdr:rowOff>947681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68340" y="58723530"/>
          <a:ext cx="1829435" cy="802640"/>
        </a:xfrm>
        <a:prstGeom prst="rect">
          <a:avLst/>
        </a:prstGeom>
      </xdr:spPr>
    </xdr:pic>
    <xdr:clientData/>
  </xdr:twoCellAnchor>
  <xdr:oneCellAnchor>
    <xdr:from>
      <xdr:col>9</xdr:col>
      <xdr:colOff>461099</xdr:colOff>
      <xdr:row>4</xdr:row>
      <xdr:rowOff>36801</xdr:rowOff>
    </xdr:from>
    <xdr:ext cx="699219" cy="904584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806160" y="3682365"/>
          <a:ext cx="699135" cy="904875"/>
        </a:xfrm>
        <a:prstGeom prst="rect">
          <a:avLst/>
        </a:prstGeom>
      </xdr:spPr>
    </xdr:pic>
    <xdr:clientData/>
  </xdr:oneCellAnchor>
  <xdr:oneCellAnchor>
    <xdr:from>
      <xdr:col>9</xdr:col>
      <xdr:colOff>484910</xdr:colOff>
      <xdr:row>11</xdr:row>
      <xdr:rowOff>67108</xdr:rowOff>
    </xdr:from>
    <xdr:ext cx="658090" cy="874025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18829655" y="10833735"/>
          <a:ext cx="658495" cy="87439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18</xdr:row>
      <xdr:rowOff>69274</xdr:rowOff>
    </xdr:from>
    <xdr:ext cx="759834" cy="854092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56300" y="17957165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24</xdr:row>
      <xdr:rowOff>69274</xdr:rowOff>
    </xdr:from>
    <xdr:ext cx="759834" cy="854092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56300" y="24060785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168852</xdr:colOff>
      <xdr:row>56</xdr:row>
      <xdr:rowOff>12989</xdr:rowOff>
    </xdr:from>
    <xdr:ext cx="1283710" cy="868001"/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13425" y="56556910"/>
          <a:ext cx="1283970" cy="868045"/>
        </a:xfrm>
        <a:prstGeom prst="rect">
          <a:avLst/>
        </a:prstGeom>
      </xdr:spPr>
    </xdr:pic>
    <xdr:clientData/>
  </xdr:oneCellAnchor>
  <xdr:twoCellAnchor editAs="oneCell">
    <xdr:from>
      <xdr:col>9</xdr:col>
      <xdr:colOff>584490</xdr:colOff>
      <xdr:row>3</xdr:row>
      <xdr:rowOff>58450</xdr:rowOff>
    </xdr:from>
    <xdr:to>
      <xdr:col>9</xdr:col>
      <xdr:colOff>1212274</xdr:colOff>
      <xdr:row>3</xdr:row>
      <xdr:rowOff>899983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29350" y="2687320"/>
          <a:ext cx="62801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521268</xdr:colOff>
      <xdr:row>10</xdr:row>
      <xdr:rowOff>95250</xdr:rowOff>
    </xdr:from>
    <xdr:to>
      <xdr:col>9</xdr:col>
      <xdr:colOff>1190626</xdr:colOff>
      <xdr:row>10</xdr:row>
      <xdr:rowOff>955508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65850" y="9845040"/>
          <a:ext cx="669925" cy="85979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29</xdr:row>
      <xdr:rowOff>47626</xdr:rowOff>
    </xdr:from>
    <xdr:to>
      <xdr:col>9</xdr:col>
      <xdr:colOff>1047750</xdr:colOff>
      <xdr:row>29</xdr:row>
      <xdr:rowOff>844371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78525" y="29125545"/>
          <a:ext cx="714375" cy="79629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37</xdr:row>
      <xdr:rowOff>23813</xdr:rowOff>
    </xdr:from>
    <xdr:to>
      <xdr:col>9</xdr:col>
      <xdr:colOff>1309687</xdr:colOff>
      <xdr:row>37</xdr:row>
      <xdr:rowOff>923395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63895" y="37239575"/>
          <a:ext cx="1190625" cy="8997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476251</xdr:colOff>
      <xdr:row>17</xdr:row>
      <xdr:rowOff>95251</xdr:rowOff>
    </xdr:from>
    <xdr:to>
      <xdr:col>9</xdr:col>
      <xdr:colOff>1262063</xdr:colOff>
      <xdr:row>17</xdr:row>
      <xdr:rowOff>975482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821400" y="16965930"/>
          <a:ext cx="785495" cy="88011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23</xdr:row>
      <xdr:rowOff>23813</xdr:rowOff>
    </xdr:from>
    <xdr:to>
      <xdr:col>9</xdr:col>
      <xdr:colOff>1190625</xdr:colOff>
      <xdr:row>23</xdr:row>
      <xdr:rowOff>974373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702020" y="22997795"/>
          <a:ext cx="833755" cy="95059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142874</xdr:colOff>
      <xdr:row>46</xdr:row>
      <xdr:rowOff>95251</xdr:rowOff>
    </xdr:from>
    <xdr:to>
      <xdr:col>10</xdr:col>
      <xdr:colOff>0</xdr:colOff>
      <xdr:row>46</xdr:row>
      <xdr:rowOff>899699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487390" y="46466760"/>
          <a:ext cx="2115185" cy="803910"/>
        </a:xfrm>
        <a:prstGeom prst="rect">
          <a:avLst/>
        </a:prstGeom>
      </xdr:spPr>
    </xdr:pic>
    <xdr:clientData/>
  </xdr:twoCellAnchor>
  <xdr:oneCellAnchor>
    <xdr:from>
      <xdr:col>9</xdr:col>
      <xdr:colOff>116899</xdr:colOff>
      <xdr:row>8</xdr:row>
      <xdr:rowOff>119063</xdr:rowOff>
    </xdr:from>
    <xdr:ext cx="2119522" cy="848591"/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61990" y="7833995"/>
          <a:ext cx="2118995" cy="848360"/>
        </a:xfrm>
        <a:prstGeom prst="rect">
          <a:avLst/>
        </a:prstGeom>
      </xdr:spPr>
    </xdr:pic>
    <xdr:clientData/>
  </xdr:oneCellAnchor>
  <xdr:oneCellAnchor>
    <xdr:from>
      <xdr:col>9</xdr:col>
      <xdr:colOff>561498</xdr:colOff>
      <xdr:row>5</xdr:row>
      <xdr:rowOff>34637</xdr:rowOff>
    </xdr:from>
    <xdr:ext cx="893230" cy="857643"/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06490" y="4697730"/>
          <a:ext cx="892810" cy="857885"/>
        </a:xfrm>
        <a:prstGeom prst="rect">
          <a:avLst/>
        </a:prstGeom>
      </xdr:spPr>
    </xdr:pic>
    <xdr:clientData/>
  </xdr:oneCellAnchor>
  <xdr:oneCellAnchor>
    <xdr:from>
      <xdr:col>9</xdr:col>
      <xdr:colOff>523012</xdr:colOff>
      <xdr:row>6</xdr:row>
      <xdr:rowOff>20784</xdr:rowOff>
    </xdr:from>
    <xdr:ext cx="994061" cy="954457"/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67755" y="5701030"/>
          <a:ext cx="994410" cy="954405"/>
        </a:xfrm>
        <a:prstGeom prst="rect">
          <a:avLst/>
        </a:prstGeom>
      </xdr:spPr>
    </xdr:pic>
    <xdr:clientData/>
  </xdr:oneCellAnchor>
  <xdr:oneCellAnchor>
    <xdr:from>
      <xdr:col>9</xdr:col>
      <xdr:colOff>34636</xdr:colOff>
      <xdr:row>7</xdr:row>
      <xdr:rowOff>155864</xdr:rowOff>
    </xdr:from>
    <xdr:ext cx="2210234" cy="593148"/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79440" y="6853555"/>
          <a:ext cx="2210435" cy="593090"/>
        </a:xfrm>
        <a:prstGeom prst="rect">
          <a:avLst/>
        </a:prstGeom>
      </xdr:spPr>
    </xdr:pic>
    <xdr:clientData/>
  </xdr:oneCellAnchor>
  <xdr:oneCellAnchor>
    <xdr:from>
      <xdr:col>9</xdr:col>
      <xdr:colOff>140711</xdr:colOff>
      <xdr:row>16</xdr:row>
      <xdr:rowOff>129888</xdr:rowOff>
    </xdr:from>
    <xdr:ext cx="1954789" cy="784894"/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85485" y="15982950"/>
          <a:ext cx="1955165" cy="784860"/>
        </a:xfrm>
        <a:prstGeom prst="rect">
          <a:avLst/>
        </a:prstGeom>
      </xdr:spPr>
    </xdr:pic>
    <xdr:clientData/>
  </xdr:oneCellAnchor>
  <xdr:oneCellAnchor>
    <xdr:from>
      <xdr:col>9</xdr:col>
      <xdr:colOff>93086</xdr:colOff>
      <xdr:row>15</xdr:row>
      <xdr:rowOff>71438</xdr:rowOff>
    </xdr:from>
    <xdr:ext cx="2119522" cy="848591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37860" y="14907260"/>
          <a:ext cx="2119630" cy="848360"/>
        </a:xfrm>
        <a:prstGeom prst="rect">
          <a:avLst/>
        </a:prstGeom>
      </xdr:spPr>
    </xdr:pic>
    <xdr:clientData/>
  </xdr:oneCellAnchor>
  <xdr:oneCellAnchor>
    <xdr:from>
      <xdr:col>9</xdr:col>
      <xdr:colOff>487078</xdr:colOff>
      <xdr:row>12</xdr:row>
      <xdr:rowOff>82263</xdr:rowOff>
    </xdr:from>
    <xdr:ext cx="917860" cy="881292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32195" y="11866245"/>
          <a:ext cx="917575" cy="881380"/>
        </a:xfrm>
        <a:prstGeom prst="rect">
          <a:avLst/>
        </a:prstGeom>
      </xdr:spPr>
    </xdr:pic>
    <xdr:clientData/>
  </xdr:oneCellAnchor>
  <xdr:oneCellAnchor>
    <xdr:from>
      <xdr:col>9</xdr:col>
      <xdr:colOff>501364</xdr:colOff>
      <xdr:row>13</xdr:row>
      <xdr:rowOff>72739</xdr:rowOff>
    </xdr:from>
    <xdr:ext cx="916267" cy="879762"/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46165" y="12873990"/>
          <a:ext cx="916305" cy="88011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14</xdr:row>
      <xdr:rowOff>311727</xdr:rowOff>
    </xdr:from>
    <xdr:ext cx="2210234" cy="593148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14130020"/>
          <a:ext cx="2210435" cy="593725"/>
        </a:xfrm>
        <a:prstGeom prst="rect">
          <a:avLst/>
        </a:prstGeom>
      </xdr:spPr>
    </xdr:pic>
    <xdr:clientData/>
  </xdr:oneCellAnchor>
  <xdr:oneCellAnchor>
    <xdr:from>
      <xdr:col>9</xdr:col>
      <xdr:colOff>539029</xdr:colOff>
      <xdr:row>20</xdr:row>
      <xdr:rowOff>47625</xdr:rowOff>
    </xdr:from>
    <xdr:ext cx="749800" cy="904875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83630" y="19970115"/>
          <a:ext cx="749935" cy="90487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21</xdr:row>
      <xdr:rowOff>0</xdr:rowOff>
    </xdr:from>
    <xdr:ext cx="723034" cy="87257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093976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22</xdr:row>
      <xdr:rowOff>311727</xdr:rowOff>
    </xdr:from>
    <xdr:ext cx="2149830" cy="363682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2226818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28</xdr:row>
      <xdr:rowOff>311727</xdr:rowOff>
    </xdr:from>
    <xdr:ext cx="2149830" cy="363682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2837180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26</xdr:row>
      <xdr:rowOff>0</xdr:rowOff>
    </xdr:from>
    <xdr:ext cx="770659" cy="930049"/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6026110"/>
          <a:ext cx="770890" cy="929640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27</xdr:row>
      <xdr:rowOff>0</xdr:rowOff>
    </xdr:from>
    <xdr:ext cx="723034" cy="872574"/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704338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136512</xdr:colOff>
      <xdr:row>41</xdr:row>
      <xdr:rowOff>77804</xdr:rowOff>
    </xdr:from>
    <xdr:ext cx="1577991" cy="838845"/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18850610" y="40993060"/>
          <a:ext cx="839470" cy="1577975"/>
        </a:xfrm>
        <a:prstGeom prst="rect">
          <a:avLst/>
        </a:prstGeom>
      </xdr:spPr>
    </xdr:pic>
    <xdr:clientData/>
  </xdr:oneCellAnchor>
  <xdr:oneCellAnchor>
    <xdr:from>
      <xdr:col>9</xdr:col>
      <xdr:colOff>266267</xdr:colOff>
      <xdr:row>42</xdr:row>
      <xdr:rowOff>95250</xdr:rowOff>
    </xdr:from>
    <xdr:ext cx="1924903" cy="640773"/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611215" y="42397680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415636</xdr:colOff>
      <xdr:row>43</xdr:row>
      <xdr:rowOff>51954</xdr:rowOff>
    </xdr:from>
    <xdr:ext cx="1075041" cy="876733"/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0440" y="43371135"/>
          <a:ext cx="1075055" cy="876935"/>
        </a:xfrm>
        <a:prstGeom prst="rect">
          <a:avLst/>
        </a:prstGeom>
      </xdr:spPr>
    </xdr:pic>
    <xdr:clientData/>
  </xdr:oneCellAnchor>
  <xdr:oneCellAnchor>
    <xdr:from>
      <xdr:col>9</xdr:col>
      <xdr:colOff>168853</xdr:colOff>
      <xdr:row>45</xdr:row>
      <xdr:rowOff>187367</xdr:rowOff>
    </xdr:from>
    <xdr:ext cx="2042380" cy="74348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513425" y="45541565"/>
          <a:ext cx="2042795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44</xdr:row>
      <xdr:rowOff>264103</xdr:rowOff>
    </xdr:from>
    <xdr:ext cx="2149643" cy="554182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0715" y="44600495"/>
          <a:ext cx="2149475" cy="554355"/>
        </a:xfrm>
        <a:prstGeom prst="rect">
          <a:avLst/>
        </a:prstGeom>
      </xdr:spPr>
    </xdr:pic>
    <xdr:clientData/>
  </xdr:oneCellAnchor>
  <xdr:oneCellAnchor>
    <xdr:from>
      <xdr:col>9</xdr:col>
      <xdr:colOff>123391</xdr:colOff>
      <xdr:row>33</xdr:row>
      <xdr:rowOff>166688</xdr:rowOff>
    </xdr:from>
    <xdr:ext cx="1924903" cy="640773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468340" y="33313370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34</xdr:row>
      <xdr:rowOff>51954</xdr:rowOff>
    </xdr:from>
    <xdr:ext cx="1133438" cy="924358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0440" y="34215705"/>
          <a:ext cx="1133475" cy="924560"/>
        </a:xfrm>
        <a:prstGeom prst="rect">
          <a:avLst/>
        </a:prstGeom>
      </xdr:spPr>
    </xdr:pic>
    <xdr:clientData/>
  </xdr:oneCellAnchor>
  <xdr:oneCellAnchor>
    <xdr:from>
      <xdr:col>9</xdr:col>
      <xdr:colOff>145041</xdr:colOff>
      <xdr:row>36</xdr:row>
      <xdr:rowOff>92117</xdr:rowOff>
    </xdr:from>
    <xdr:ext cx="2140960" cy="743485"/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489930" y="36290885"/>
          <a:ext cx="2141220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35</xdr:row>
      <xdr:rowOff>287915</xdr:rowOff>
    </xdr:from>
    <xdr:ext cx="2210234" cy="554182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0715" y="35469195"/>
          <a:ext cx="2210435" cy="55435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47</xdr:row>
      <xdr:rowOff>225137</xdr:rowOff>
    </xdr:from>
    <xdr:ext cx="2175597" cy="606136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431510" y="47613570"/>
          <a:ext cx="2175510" cy="60642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48</xdr:row>
      <xdr:rowOff>311727</xdr:rowOff>
    </xdr:from>
    <xdr:ext cx="2149830" cy="36368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4871720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49</xdr:row>
      <xdr:rowOff>225136</xdr:rowOff>
    </xdr:from>
    <xdr:ext cx="2269905" cy="432955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345150" y="49648110"/>
          <a:ext cx="2269490" cy="433070"/>
        </a:xfrm>
        <a:prstGeom prst="rect">
          <a:avLst/>
        </a:prstGeom>
      </xdr:spPr>
    </xdr:pic>
    <xdr:clientData/>
  </xdr:oneCellAnchor>
  <xdr:oneCellAnchor>
    <xdr:from>
      <xdr:col>9</xdr:col>
      <xdr:colOff>128330</xdr:colOff>
      <xdr:row>50</xdr:row>
      <xdr:rowOff>107633</xdr:rowOff>
    </xdr:from>
    <xdr:ext cx="1930374" cy="863685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9006820" y="50014505"/>
          <a:ext cx="863600" cy="1930400"/>
        </a:xfrm>
        <a:prstGeom prst="rect">
          <a:avLst/>
        </a:prstGeom>
      </xdr:spPr>
    </xdr:pic>
    <xdr:clientData/>
  </xdr:oneCellAnchor>
  <xdr:oneCellAnchor>
    <xdr:from>
      <xdr:col>9</xdr:col>
      <xdr:colOff>130494</xdr:colOff>
      <xdr:row>51</xdr:row>
      <xdr:rowOff>40466</xdr:rowOff>
    </xdr:from>
    <xdr:ext cx="1930374" cy="963991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 flipH="1">
          <a:off x="18958560" y="51014630"/>
          <a:ext cx="963930" cy="1930400"/>
        </a:xfrm>
        <a:prstGeom prst="rect">
          <a:avLst/>
        </a:prstGeom>
      </xdr:spPr>
    </xdr:pic>
    <xdr:clientData/>
  </xdr:oneCellAnchor>
  <xdr:oneCellAnchor>
    <xdr:from>
      <xdr:col>9</xdr:col>
      <xdr:colOff>97569</xdr:colOff>
      <xdr:row>52</xdr:row>
      <xdr:rowOff>207666</xdr:rowOff>
    </xdr:from>
    <xdr:ext cx="2212245" cy="620976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9237960" y="51887120"/>
          <a:ext cx="621030" cy="2211705"/>
        </a:xfrm>
        <a:prstGeom prst="rect">
          <a:avLst/>
        </a:prstGeom>
      </xdr:spPr>
    </xdr:pic>
    <xdr:clientData/>
  </xdr:oneCellAnchor>
  <xdr:oneCellAnchor>
    <xdr:from>
      <xdr:col>9</xdr:col>
      <xdr:colOff>51955</xdr:colOff>
      <xdr:row>53</xdr:row>
      <xdr:rowOff>207819</xdr:rowOff>
    </xdr:from>
    <xdr:ext cx="2210233" cy="606136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396585" y="53700045"/>
          <a:ext cx="2210435" cy="605790"/>
        </a:xfrm>
        <a:prstGeom prst="rect">
          <a:avLst/>
        </a:prstGeom>
      </xdr:spPr>
    </xdr:pic>
    <xdr:clientData/>
  </xdr:oneCellAnchor>
  <xdr:oneCellAnchor>
    <xdr:from>
      <xdr:col>9</xdr:col>
      <xdr:colOff>545525</xdr:colOff>
      <xdr:row>54</xdr:row>
      <xdr:rowOff>-1</xdr:rowOff>
    </xdr:from>
    <xdr:ext cx="1021757" cy="928688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32"/>
        <a:srcRect t="-6906" r="44521"/>
        <a:stretch>
          <a:fillRect/>
        </a:stretch>
      </xdr:blipFill>
      <xdr:spPr>
        <a:xfrm>
          <a:off x="18890615" y="54509035"/>
          <a:ext cx="1021715" cy="929005"/>
        </a:xfrm>
        <a:prstGeom prst="rect">
          <a:avLst/>
        </a:prstGeom>
      </xdr:spPr>
    </xdr:pic>
    <xdr:clientData/>
  </xdr:oneCellAnchor>
  <xdr:oneCellAnchor>
    <xdr:from>
      <xdr:col>4</xdr:col>
      <xdr:colOff>69274</xdr:colOff>
      <xdr:row>53</xdr:row>
      <xdr:rowOff>658091</xdr:rowOff>
    </xdr:from>
    <xdr:ext cx="3097788" cy="1339995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41515" y="54150260"/>
          <a:ext cx="3097530" cy="1339850"/>
        </a:xfrm>
        <a:prstGeom prst="rect">
          <a:avLst/>
        </a:prstGeom>
      </xdr:spPr>
    </xdr:pic>
    <xdr:clientData/>
  </xdr:oneCellAnchor>
  <xdr:oneCellAnchor>
    <xdr:from>
      <xdr:col>9</xdr:col>
      <xdr:colOff>690562</xdr:colOff>
      <xdr:row>55</xdr:row>
      <xdr:rowOff>23813</xdr:rowOff>
    </xdr:from>
    <xdr:ext cx="714375" cy="961962"/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rcRect l="64166" t="-2302"/>
        <a:stretch>
          <a:fillRect/>
        </a:stretch>
      </xdr:blipFill>
      <xdr:spPr>
        <a:xfrm>
          <a:off x="19035395" y="55550435"/>
          <a:ext cx="714375" cy="962025"/>
        </a:xfrm>
        <a:prstGeom prst="rect">
          <a:avLst/>
        </a:prstGeom>
      </xdr:spPr>
    </xdr:pic>
    <xdr:clientData/>
  </xdr:oneCellAnchor>
  <xdr:oneCellAnchor>
    <xdr:from>
      <xdr:col>9</xdr:col>
      <xdr:colOff>75767</xdr:colOff>
      <xdr:row>19</xdr:row>
      <xdr:rowOff>82262</xdr:rowOff>
    </xdr:from>
    <xdr:ext cx="2164773" cy="883227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20715" y="18987135"/>
          <a:ext cx="2164715" cy="88328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25</xdr:row>
      <xdr:rowOff>56285</xdr:rowOff>
    </xdr:from>
    <xdr:ext cx="2018195" cy="883227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31510" y="25064720"/>
          <a:ext cx="2018030" cy="88328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32</xdr:row>
      <xdr:rowOff>30308</xdr:rowOff>
    </xdr:from>
    <xdr:ext cx="1078057" cy="905765"/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2795" y="32159575"/>
          <a:ext cx="1078230" cy="906145"/>
        </a:xfrm>
        <a:prstGeom prst="rect">
          <a:avLst/>
        </a:prstGeom>
      </xdr:spPr>
    </xdr:pic>
    <xdr:clientData/>
  </xdr:oneCellAnchor>
  <xdr:oneCellAnchor>
    <xdr:from>
      <xdr:col>9</xdr:col>
      <xdr:colOff>253277</xdr:colOff>
      <xdr:row>30</xdr:row>
      <xdr:rowOff>987137</xdr:rowOff>
    </xdr:from>
    <xdr:ext cx="1032598" cy="933961"/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597880" y="31081980"/>
          <a:ext cx="1033145" cy="934085"/>
        </a:xfrm>
        <a:prstGeom prst="rect">
          <a:avLst/>
        </a:prstGeom>
      </xdr:spPr>
    </xdr:pic>
    <xdr:clientData/>
  </xdr:oneCellAnchor>
  <xdr:oneCellAnchor>
    <xdr:from>
      <xdr:col>9</xdr:col>
      <xdr:colOff>363682</xdr:colOff>
      <xdr:row>30</xdr:row>
      <xdr:rowOff>86592</xdr:rowOff>
    </xdr:from>
    <xdr:ext cx="922193" cy="868264"/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708370" y="30181550"/>
          <a:ext cx="922655" cy="86804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40</xdr:row>
      <xdr:rowOff>77933</xdr:rowOff>
    </xdr:from>
    <xdr:ext cx="1030432" cy="865751"/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2795" y="40345360"/>
          <a:ext cx="1030605" cy="866140"/>
        </a:xfrm>
        <a:prstGeom prst="rect">
          <a:avLst/>
        </a:prstGeom>
      </xdr:spPr>
    </xdr:pic>
    <xdr:clientData/>
  </xdr:oneCellAnchor>
  <xdr:oneCellAnchor>
    <xdr:from>
      <xdr:col>9</xdr:col>
      <xdr:colOff>277090</xdr:colOff>
      <xdr:row>39</xdr:row>
      <xdr:rowOff>82262</xdr:rowOff>
    </xdr:from>
    <xdr:ext cx="961160" cy="869348"/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622010" y="39332535"/>
          <a:ext cx="961390" cy="869315"/>
        </a:xfrm>
        <a:prstGeom prst="rect">
          <a:avLst/>
        </a:prstGeom>
      </xdr:spPr>
    </xdr:pic>
    <xdr:clientData/>
  </xdr:oneCellAnchor>
  <xdr:oneCellAnchor>
    <xdr:from>
      <xdr:col>9</xdr:col>
      <xdr:colOff>316057</xdr:colOff>
      <xdr:row>38</xdr:row>
      <xdr:rowOff>62780</xdr:rowOff>
    </xdr:from>
    <xdr:ext cx="874568" cy="823424"/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660745" y="38295580"/>
          <a:ext cx="875030" cy="8235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</xdr:colOff>
      <xdr:row>27</xdr:row>
      <xdr:rowOff>1238250</xdr:rowOff>
    </xdr:from>
    <xdr:to>
      <xdr:col>4</xdr:col>
      <xdr:colOff>0</xdr:colOff>
      <xdr:row>31</xdr:row>
      <xdr:rowOff>438149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2965" y="27917775"/>
          <a:ext cx="3067685" cy="3489325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404811</xdr:colOff>
      <xdr:row>30</xdr:row>
      <xdr:rowOff>71438</xdr:rowOff>
    </xdr:from>
    <xdr:to>
      <xdr:col>9</xdr:col>
      <xdr:colOff>1095374</xdr:colOff>
      <xdr:row>30</xdr:row>
      <xdr:rowOff>834824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25945" y="30023435"/>
          <a:ext cx="690245" cy="76327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357189</xdr:colOff>
      <xdr:row>32</xdr:row>
      <xdr:rowOff>71439</xdr:rowOff>
    </xdr:from>
    <xdr:to>
      <xdr:col>9</xdr:col>
      <xdr:colOff>1369511</xdr:colOff>
      <xdr:row>32</xdr:row>
      <xdr:rowOff>952501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32057975"/>
          <a:ext cx="1012190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452438</xdr:colOff>
      <xdr:row>33</xdr:row>
      <xdr:rowOff>23814</xdr:rowOff>
    </xdr:from>
    <xdr:to>
      <xdr:col>9</xdr:col>
      <xdr:colOff>1150015</xdr:colOff>
      <xdr:row>33</xdr:row>
      <xdr:rowOff>904875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33027620"/>
          <a:ext cx="697865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29</xdr:row>
      <xdr:rowOff>214313</xdr:rowOff>
    </xdr:from>
    <xdr:to>
      <xdr:col>10</xdr:col>
      <xdr:colOff>450850</xdr:colOff>
      <xdr:row>29</xdr:row>
      <xdr:rowOff>928688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92570" y="29149040"/>
          <a:ext cx="2141855" cy="7143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36</xdr:row>
      <xdr:rowOff>214313</xdr:rowOff>
    </xdr:from>
    <xdr:to>
      <xdr:col>10</xdr:col>
      <xdr:colOff>498474</xdr:colOff>
      <xdr:row>36</xdr:row>
      <xdr:rowOff>762000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36269930"/>
          <a:ext cx="2164715" cy="548005"/>
        </a:xfrm>
        <a:prstGeom prst="rect">
          <a:avLst/>
        </a:prstGeom>
      </xdr:spPr>
    </xdr:pic>
    <xdr:clientData/>
  </xdr:twoCellAnchor>
  <xdr:twoCellAnchor editAs="oneCell">
    <xdr:from>
      <xdr:col>9</xdr:col>
      <xdr:colOff>223969</xdr:colOff>
      <xdr:row>35</xdr:row>
      <xdr:rowOff>85597</xdr:rowOff>
    </xdr:from>
    <xdr:to>
      <xdr:col>10</xdr:col>
      <xdr:colOff>150156</xdr:colOff>
      <xdr:row>36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823430" y="34745930"/>
          <a:ext cx="931545" cy="1687830"/>
        </a:xfrm>
        <a:prstGeom prst="rect">
          <a:avLst/>
        </a:prstGeom>
      </xdr:spPr>
    </xdr:pic>
    <xdr:clientData/>
  </xdr:twoCellAnchor>
  <xdr:twoCellAnchor editAs="oneCell">
    <xdr:from>
      <xdr:col>3</xdr:col>
      <xdr:colOff>73603</xdr:colOff>
      <xdr:row>145</xdr:row>
      <xdr:rowOff>1714500</xdr:rowOff>
    </xdr:from>
    <xdr:to>
      <xdr:col>4</xdr:col>
      <xdr:colOff>0</xdr:colOff>
      <xdr:row>148</xdr:row>
      <xdr:rowOff>355889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21375" y="147955635"/>
          <a:ext cx="3089275" cy="2390140"/>
        </a:xfrm>
        <a:prstGeom prst="rect">
          <a:avLst/>
        </a:prstGeom>
      </xdr:spPr>
    </xdr:pic>
    <xdr:clientData/>
  </xdr:twoCellAnchor>
  <xdr:twoCellAnchor editAs="oneCell">
    <xdr:from>
      <xdr:col>9</xdr:col>
      <xdr:colOff>95333</xdr:colOff>
      <xdr:row>154</xdr:row>
      <xdr:rowOff>214229</xdr:rowOff>
    </xdr:from>
    <xdr:to>
      <xdr:col>10</xdr:col>
      <xdr:colOff>450850</xdr:colOff>
      <xdr:row>154</xdr:row>
      <xdr:rowOff>899943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32345" y="155591510"/>
          <a:ext cx="685800" cy="21177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155</xdr:row>
      <xdr:rowOff>404814</xdr:rowOff>
    </xdr:from>
    <xdr:to>
      <xdr:col>10</xdr:col>
      <xdr:colOff>450850</xdr:colOff>
      <xdr:row>155</xdr:row>
      <xdr:rowOff>762000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57515560"/>
          <a:ext cx="2094230" cy="35750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145</xdr:row>
      <xdr:rowOff>47625</xdr:rowOff>
    </xdr:from>
    <xdr:to>
      <xdr:col>10</xdr:col>
      <xdr:colOff>450850</xdr:colOff>
      <xdr:row>145</xdr:row>
      <xdr:rowOff>985492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364325" y="146985990"/>
          <a:ext cx="2070100" cy="937260"/>
        </a:xfrm>
        <a:prstGeom prst="rect">
          <a:avLst/>
        </a:prstGeom>
      </xdr:spPr>
    </xdr:pic>
    <xdr:clientData/>
  </xdr:twoCellAnchor>
  <xdr:twoCellAnchor editAs="oneCell">
    <xdr:from>
      <xdr:col>9</xdr:col>
      <xdr:colOff>283933</xdr:colOff>
      <xdr:row>156</xdr:row>
      <xdr:rowOff>192320</xdr:rowOff>
    </xdr:from>
    <xdr:to>
      <xdr:col>10</xdr:col>
      <xdr:colOff>260120</xdr:colOff>
      <xdr:row>156</xdr:row>
      <xdr:rowOff>879244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20031075" y="157794960"/>
          <a:ext cx="686435" cy="173799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157</xdr:row>
      <xdr:rowOff>381001</xdr:rowOff>
    </xdr:from>
    <xdr:to>
      <xdr:col>10</xdr:col>
      <xdr:colOff>450850</xdr:colOff>
      <xdr:row>157</xdr:row>
      <xdr:rowOff>822683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59526605"/>
          <a:ext cx="2141855" cy="4413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146</xdr:row>
      <xdr:rowOff>95251</xdr:rowOff>
    </xdr:from>
    <xdr:to>
      <xdr:col>9</xdr:col>
      <xdr:colOff>1119187</xdr:colOff>
      <xdr:row>146</xdr:row>
      <xdr:rowOff>872149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48050885"/>
          <a:ext cx="928370" cy="776605"/>
        </a:xfrm>
        <a:prstGeom prst="rect">
          <a:avLst/>
        </a:prstGeom>
      </xdr:spPr>
    </xdr:pic>
    <xdr:clientData/>
  </xdr:twoCellAnchor>
  <xdr:twoCellAnchor editAs="oneCell">
    <xdr:from>
      <xdr:col>9</xdr:col>
      <xdr:colOff>247756</xdr:colOff>
      <xdr:row>147</xdr:row>
      <xdr:rowOff>61809</xdr:rowOff>
    </xdr:from>
    <xdr:to>
      <xdr:col>9</xdr:col>
      <xdr:colOff>1580378</xdr:colOff>
      <xdr:row>147</xdr:row>
      <xdr:rowOff>928686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701510" y="148801455"/>
          <a:ext cx="867410" cy="133286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148</xdr:row>
      <xdr:rowOff>71438</xdr:rowOff>
    </xdr:from>
    <xdr:to>
      <xdr:col>9</xdr:col>
      <xdr:colOff>1143000</xdr:colOff>
      <xdr:row>148</xdr:row>
      <xdr:rowOff>939169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50061295"/>
          <a:ext cx="809625" cy="8680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150</xdr:row>
      <xdr:rowOff>95251</xdr:rowOff>
    </xdr:from>
    <xdr:to>
      <xdr:col>10</xdr:col>
      <xdr:colOff>450850</xdr:colOff>
      <xdr:row>150</xdr:row>
      <xdr:rowOff>934065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292570" y="152119965"/>
          <a:ext cx="2141855" cy="8382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151</xdr:row>
      <xdr:rowOff>1</xdr:rowOff>
    </xdr:from>
    <xdr:to>
      <xdr:col>9</xdr:col>
      <xdr:colOff>1571624</xdr:colOff>
      <xdr:row>151</xdr:row>
      <xdr:rowOff>771678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53041985"/>
          <a:ext cx="1452245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152</xdr:row>
      <xdr:rowOff>166688</xdr:rowOff>
    </xdr:from>
    <xdr:to>
      <xdr:col>10</xdr:col>
      <xdr:colOff>71437</xdr:colOff>
      <xdr:row>152</xdr:row>
      <xdr:rowOff>973128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40195" y="154225625"/>
          <a:ext cx="1714500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153</xdr:row>
      <xdr:rowOff>95250</xdr:rowOff>
    </xdr:from>
    <xdr:to>
      <xdr:col>9</xdr:col>
      <xdr:colOff>1476375</xdr:colOff>
      <xdr:row>153</xdr:row>
      <xdr:rowOff>945173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16700" y="155171775"/>
          <a:ext cx="1381125" cy="849630"/>
        </a:xfrm>
        <a:prstGeom prst="rect">
          <a:avLst/>
        </a:prstGeom>
      </xdr:spPr>
    </xdr:pic>
    <xdr:clientData/>
  </xdr:twoCellAnchor>
  <xdr:oneCellAnchor>
    <xdr:from>
      <xdr:col>9</xdr:col>
      <xdr:colOff>83</xdr:colOff>
      <xdr:row>170</xdr:row>
      <xdr:rowOff>214229</xdr:rowOff>
    </xdr:from>
    <xdr:ext cx="2019048" cy="685714"/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9888200" y="171917360"/>
          <a:ext cx="685165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171</xdr:row>
      <xdr:rowOff>404814</xdr:rowOff>
    </xdr:from>
    <xdr:ext cx="2082132" cy="357186"/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7379188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160</xdr:row>
      <xdr:rowOff>71438</xdr:rowOff>
    </xdr:from>
    <xdr:ext cx="2047874" cy="937867"/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92570" y="162268535"/>
          <a:ext cx="2047875" cy="93789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172</xdr:row>
      <xdr:rowOff>192320</xdr:rowOff>
    </xdr:from>
    <xdr:ext cx="1595437" cy="686924"/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7414240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173</xdr:row>
      <xdr:rowOff>381001</xdr:rowOff>
    </xdr:from>
    <xdr:ext cx="2095499" cy="441682"/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7580292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162</xdr:row>
      <xdr:rowOff>95251</xdr:rowOff>
    </xdr:from>
    <xdr:ext cx="1023937" cy="856580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64327205"/>
          <a:ext cx="1023620" cy="855980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163</xdr:row>
      <xdr:rowOff>61810</xdr:rowOff>
    </xdr:from>
    <xdr:ext cx="1300058" cy="845694"/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72300" y="165083490"/>
          <a:ext cx="845820" cy="129984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164</xdr:row>
      <xdr:rowOff>71439</xdr:rowOff>
    </xdr:from>
    <xdr:ext cx="881062" cy="944296"/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66337615"/>
          <a:ext cx="88074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166</xdr:row>
      <xdr:rowOff>95250</xdr:rowOff>
    </xdr:from>
    <xdr:ext cx="1785937" cy="791495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16700" y="168396285"/>
          <a:ext cx="1785620" cy="79121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167</xdr:row>
      <xdr:rowOff>47626</xdr:rowOff>
    </xdr:from>
    <xdr:ext cx="1523999" cy="836616"/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69365930"/>
          <a:ext cx="1524000" cy="836295"/>
        </a:xfrm>
        <a:prstGeom prst="rect">
          <a:avLst/>
        </a:prstGeom>
      </xdr:spPr>
    </xdr:pic>
    <xdr:clientData/>
  </xdr:oneCellAnchor>
  <xdr:oneCellAnchor>
    <xdr:from>
      <xdr:col>9</xdr:col>
      <xdr:colOff>95249</xdr:colOff>
      <xdr:row>168</xdr:row>
      <xdr:rowOff>47626</xdr:rowOff>
    </xdr:from>
    <xdr:ext cx="1500188" cy="795732"/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16065" y="170383200"/>
          <a:ext cx="1500505" cy="795655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169</xdr:row>
      <xdr:rowOff>95250</xdr:rowOff>
    </xdr:from>
    <xdr:ext cx="1262062" cy="852070"/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16700" y="171448095"/>
          <a:ext cx="1261745" cy="851535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160</xdr:row>
      <xdr:rowOff>1028269</xdr:rowOff>
    </xdr:from>
    <xdr:to>
      <xdr:col>4</xdr:col>
      <xdr:colOff>0</xdr:colOff>
      <xdr:row>163</xdr:row>
      <xdr:rowOff>342470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43600" y="163214685"/>
          <a:ext cx="3067050" cy="2376805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357187</xdr:colOff>
      <xdr:row>161</xdr:row>
      <xdr:rowOff>47625</xdr:rowOff>
    </xdr:from>
    <xdr:to>
      <xdr:col>9</xdr:col>
      <xdr:colOff>1476374</xdr:colOff>
      <xdr:row>161</xdr:row>
      <xdr:rowOff>979046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578320" y="163262310"/>
          <a:ext cx="1118870" cy="930910"/>
        </a:xfrm>
        <a:prstGeom prst="rect">
          <a:avLst/>
        </a:prstGeom>
      </xdr:spPr>
    </xdr:pic>
    <xdr:clientData/>
  </xdr:twoCellAnchor>
  <xdr:oneCellAnchor>
    <xdr:from>
      <xdr:col>9</xdr:col>
      <xdr:colOff>119145</xdr:colOff>
      <xdr:row>124</xdr:row>
      <xdr:rowOff>47542</xdr:rowOff>
    </xdr:from>
    <xdr:ext cx="2019048" cy="685714"/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06945" y="124956570"/>
          <a:ext cx="685800" cy="201866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125</xdr:row>
      <xdr:rowOff>404814</xdr:rowOff>
    </xdr:from>
    <xdr:ext cx="2082132" cy="357186"/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2699746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126</xdr:row>
      <xdr:rowOff>192320</xdr:rowOff>
    </xdr:from>
    <xdr:ext cx="1595437" cy="686924"/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2734798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127</xdr:row>
      <xdr:rowOff>381001</xdr:rowOff>
    </xdr:from>
    <xdr:ext cx="2095499" cy="441682"/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2900850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117</xdr:row>
      <xdr:rowOff>95251</xdr:rowOff>
    </xdr:from>
    <xdr:ext cx="928687" cy="776898"/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18550055"/>
          <a:ext cx="928370" cy="776605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118</xdr:row>
      <xdr:rowOff>37998</xdr:rowOff>
    </xdr:from>
    <xdr:ext cx="1347683" cy="876674"/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80555" y="119273955"/>
          <a:ext cx="876935" cy="1348105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119</xdr:row>
      <xdr:rowOff>71438</xdr:rowOff>
    </xdr:from>
    <xdr:ext cx="833437" cy="893253"/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20560465"/>
          <a:ext cx="833120" cy="89344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121</xdr:row>
      <xdr:rowOff>71439</xdr:rowOff>
    </xdr:from>
    <xdr:ext cx="1928811" cy="854814"/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40195" y="122595005"/>
          <a:ext cx="1928495" cy="85471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122</xdr:row>
      <xdr:rowOff>71439</xdr:rowOff>
    </xdr:from>
    <xdr:ext cx="1500187" cy="823545"/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23612275"/>
          <a:ext cx="1499870" cy="823595"/>
        </a:xfrm>
        <a:prstGeom prst="rect">
          <a:avLst/>
        </a:prstGeom>
      </xdr:spPr>
    </xdr:pic>
    <xdr:clientData/>
  </xdr:oneCellAnchor>
  <xdr:twoCellAnchor editAs="oneCell">
    <xdr:from>
      <xdr:col>3</xdr:col>
      <xdr:colOff>71438</xdr:colOff>
      <xdr:row>117</xdr:row>
      <xdr:rowOff>285750</xdr:rowOff>
    </xdr:from>
    <xdr:to>
      <xdr:col>4</xdr:col>
      <xdr:colOff>0</xdr:colOff>
      <xdr:row>120</xdr:row>
      <xdr:rowOff>523875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19470" y="118740555"/>
          <a:ext cx="3091180" cy="3289935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116</xdr:row>
      <xdr:rowOff>119063</xdr:rowOff>
    </xdr:from>
    <xdr:to>
      <xdr:col>9</xdr:col>
      <xdr:colOff>1071562</xdr:colOff>
      <xdr:row>116</xdr:row>
      <xdr:rowOff>890587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50075" y="117556280"/>
          <a:ext cx="642620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123</xdr:row>
      <xdr:rowOff>95250</xdr:rowOff>
    </xdr:from>
    <xdr:to>
      <xdr:col>10</xdr:col>
      <xdr:colOff>261937</xdr:colOff>
      <xdr:row>123</xdr:row>
      <xdr:rowOff>841775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40195" y="124653675"/>
          <a:ext cx="1905000" cy="746125"/>
        </a:xfrm>
        <a:prstGeom prst="rect">
          <a:avLst/>
        </a:prstGeom>
      </xdr:spPr>
    </xdr:pic>
    <xdr:clientData/>
  </xdr:twoCellAnchor>
  <xdr:oneCellAnchor>
    <xdr:from>
      <xdr:col>9</xdr:col>
      <xdr:colOff>166770</xdr:colOff>
      <xdr:row>139</xdr:row>
      <xdr:rowOff>166604</xdr:rowOff>
    </xdr:from>
    <xdr:ext cx="2019048" cy="685714"/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54570" y="140334365"/>
          <a:ext cx="685800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140</xdr:row>
      <xdr:rowOff>404814</xdr:rowOff>
    </xdr:from>
    <xdr:ext cx="2082132" cy="357186"/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4225651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141</xdr:row>
      <xdr:rowOff>192320</xdr:rowOff>
    </xdr:from>
    <xdr:ext cx="1595437" cy="686924"/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4260703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142</xdr:row>
      <xdr:rowOff>381001</xdr:rowOff>
    </xdr:from>
    <xdr:ext cx="2095499" cy="441682"/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4426755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132</xdr:row>
      <xdr:rowOff>95251</xdr:rowOff>
    </xdr:from>
    <xdr:ext cx="976312" cy="816739"/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33809105"/>
          <a:ext cx="975995" cy="816610"/>
        </a:xfrm>
        <a:prstGeom prst="rect">
          <a:avLst/>
        </a:prstGeom>
      </xdr:spPr>
    </xdr:pic>
    <xdr:clientData/>
  </xdr:oneCellAnchor>
  <xdr:oneCellAnchor>
    <xdr:from>
      <xdr:col>9</xdr:col>
      <xdr:colOff>200131</xdr:colOff>
      <xdr:row>133</xdr:row>
      <xdr:rowOff>37997</xdr:rowOff>
    </xdr:from>
    <xdr:ext cx="1323871" cy="861185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52615" y="134537450"/>
          <a:ext cx="861060" cy="132397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134</xdr:row>
      <xdr:rowOff>71439</xdr:rowOff>
    </xdr:from>
    <xdr:ext cx="785812" cy="842210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35819515"/>
          <a:ext cx="785495" cy="84201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136</xdr:row>
      <xdr:rowOff>71439</xdr:rowOff>
    </xdr:from>
    <xdr:ext cx="1809749" cy="802048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16700" y="137854055"/>
          <a:ext cx="1809115" cy="802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137</xdr:row>
      <xdr:rowOff>71439</xdr:rowOff>
    </xdr:from>
    <xdr:ext cx="1571624" cy="862761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16700" y="138871325"/>
          <a:ext cx="1570990" cy="862965"/>
        </a:xfrm>
        <a:prstGeom prst="rect">
          <a:avLst/>
        </a:prstGeom>
      </xdr:spPr>
    </xdr:pic>
    <xdr:clientData/>
  </xdr:oneCellAnchor>
  <xdr:oneCellAnchor>
    <xdr:from>
      <xdr:col>9</xdr:col>
      <xdr:colOff>428626</xdr:colOff>
      <xdr:row>130</xdr:row>
      <xdr:rowOff>119063</xdr:rowOff>
    </xdr:from>
    <xdr:ext cx="690562" cy="828674"/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50075" y="131798060"/>
          <a:ext cx="690245" cy="82867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138</xdr:row>
      <xdr:rowOff>95250</xdr:rowOff>
    </xdr:from>
    <xdr:ext cx="1571624" cy="740725"/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64325" y="139912725"/>
          <a:ext cx="1571625" cy="74041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176</xdr:row>
      <xdr:rowOff>1309688</xdr:rowOff>
    </xdr:from>
    <xdr:to>
      <xdr:col>4</xdr:col>
      <xdr:colOff>0</xdr:colOff>
      <xdr:row>178</xdr:row>
      <xdr:rowOff>435752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3600" y="179491005"/>
          <a:ext cx="3067050" cy="145288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191</xdr:row>
      <xdr:rowOff>261938</xdr:rowOff>
    </xdr:from>
    <xdr:to>
      <xdr:col>10</xdr:col>
      <xdr:colOff>450850</xdr:colOff>
      <xdr:row>191</xdr:row>
      <xdr:rowOff>628399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340195" y="193994405"/>
          <a:ext cx="2094230" cy="366395"/>
        </a:xfrm>
        <a:prstGeom prst="rect">
          <a:avLst/>
        </a:prstGeom>
      </xdr:spPr>
    </xdr:pic>
    <xdr:clientData/>
  </xdr:twoCellAnchor>
  <xdr:twoCellAnchor editAs="oneCell">
    <xdr:from>
      <xdr:col>9</xdr:col>
      <xdr:colOff>119226</xdr:colOff>
      <xdr:row>190</xdr:row>
      <xdr:rowOff>142713</xdr:rowOff>
    </xdr:from>
    <xdr:to>
      <xdr:col>10</xdr:col>
      <xdr:colOff>333378</xdr:colOff>
      <xdr:row>190</xdr:row>
      <xdr:rowOff>873929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6200000">
          <a:off x="19963130" y="192235455"/>
          <a:ext cx="730885" cy="197612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547689</xdr:colOff>
      <xdr:row>189</xdr:row>
      <xdr:rowOff>47625</xdr:rowOff>
    </xdr:from>
    <xdr:to>
      <xdr:col>9</xdr:col>
      <xdr:colOff>1238249</xdr:colOff>
      <xdr:row>189</xdr:row>
      <xdr:rowOff>840037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768820" y="191745870"/>
          <a:ext cx="690245" cy="791845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188</xdr:row>
      <xdr:rowOff>142876</xdr:rowOff>
    </xdr:from>
    <xdr:to>
      <xdr:col>10</xdr:col>
      <xdr:colOff>34506</xdr:colOff>
      <xdr:row>188</xdr:row>
      <xdr:rowOff>928688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68820" y="190823850"/>
          <a:ext cx="1249045" cy="7854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187</xdr:row>
      <xdr:rowOff>119063</xdr:rowOff>
    </xdr:from>
    <xdr:to>
      <xdr:col>9</xdr:col>
      <xdr:colOff>1297818</xdr:colOff>
      <xdr:row>187</xdr:row>
      <xdr:rowOff>785813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697700" y="189782450"/>
          <a:ext cx="82105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177</xdr:row>
      <xdr:rowOff>47625</xdr:rowOff>
    </xdr:from>
    <xdr:to>
      <xdr:col>10</xdr:col>
      <xdr:colOff>428624</xdr:colOff>
      <xdr:row>177</xdr:row>
      <xdr:rowOff>917816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16700" y="179538630"/>
          <a:ext cx="2094865" cy="8699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179</xdr:row>
      <xdr:rowOff>71437</xdr:rowOff>
    </xdr:from>
    <xdr:to>
      <xdr:col>10</xdr:col>
      <xdr:colOff>190499</xdr:colOff>
      <xdr:row>179</xdr:row>
      <xdr:rowOff>952500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268440" y="181596665"/>
          <a:ext cx="1905000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180</xdr:row>
      <xdr:rowOff>71438</xdr:rowOff>
    </xdr:from>
    <xdr:to>
      <xdr:col>9</xdr:col>
      <xdr:colOff>1309687</xdr:colOff>
      <xdr:row>180</xdr:row>
      <xdr:rowOff>944562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40195" y="182613935"/>
          <a:ext cx="1190625" cy="873125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182</xdr:row>
      <xdr:rowOff>95251</xdr:rowOff>
    </xdr:from>
    <xdr:to>
      <xdr:col>9</xdr:col>
      <xdr:colOff>1190625</xdr:colOff>
      <xdr:row>182</xdr:row>
      <xdr:rowOff>919856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911695" y="184672605"/>
          <a:ext cx="500380" cy="82423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183</xdr:row>
      <xdr:rowOff>23812</xdr:rowOff>
    </xdr:from>
    <xdr:to>
      <xdr:col>10</xdr:col>
      <xdr:colOff>450850</xdr:colOff>
      <xdr:row>183</xdr:row>
      <xdr:rowOff>762000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92570" y="185618120"/>
          <a:ext cx="2141855" cy="73850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186</xdr:row>
      <xdr:rowOff>23813</xdr:rowOff>
    </xdr:from>
    <xdr:to>
      <xdr:col>10</xdr:col>
      <xdr:colOff>0</xdr:colOff>
      <xdr:row>186</xdr:row>
      <xdr:rowOff>888098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340195" y="188669930"/>
          <a:ext cx="1643380" cy="8642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86574</xdr:colOff>
      <xdr:row>176</xdr:row>
      <xdr:rowOff>47625</xdr:rowOff>
    </xdr:from>
    <xdr:to>
      <xdr:col>10</xdr:col>
      <xdr:colOff>333374</xdr:colOff>
      <xdr:row>176</xdr:row>
      <xdr:rowOff>946292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flipH="1">
          <a:off x="19307810" y="178521360"/>
          <a:ext cx="2008505" cy="89852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71439</xdr:colOff>
      <xdr:row>185</xdr:row>
      <xdr:rowOff>119064</xdr:rowOff>
    </xdr:from>
    <xdr:to>
      <xdr:col>10</xdr:col>
      <xdr:colOff>119062</xdr:colOff>
      <xdr:row>185</xdr:row>
      <xdr:rowOff>898146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292570" y="187747910"/>
          <a:ext cx="1809750" cy="7791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184</xdr:row>
      <xdr:rowOff>166688</xdr:rowOff>
    </xdr:from>
    <xdr:to>
      <xdr:col>10</xdr:col>
      <xdr:colOff>450850</xdr:colOff>
      <xdr:row>184</xdr:row>
      <xdr:rowOff>833437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292570" y="186778265"/>
          <a:ext cx="2141855" cy="666750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68</xdr:row>
      <xdr:rowOff>23813</xdr:rowOff>
    </xdr:from>
    <xdr:ext cx="809625" cy="895004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190" y="686320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70</xdr:row>
      <xdr:rowOff>71439</xdr:rowOff>
    </xdr:from>
    <xdr:ext cx="1012322" cy="881062"/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7071423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71</xdr:row>
      <xdr:rowOff>23814</xdr:rowOff>
    </xdr:from>
    <xdr:ext cx="735286" cy="928686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71683880"/>
          <a:ext cx="735330" cy="929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74</xdr:row>
      <xdr:rowOff>190501</xdr:rowOff>
    </xdr:from>
    <xdr:ext cx="2125025" cy="547687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74902695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247782</xdr:colOff>
      <xdr:row>73</xdr:row>
      <xdr:rowOff>14160</xdr:rowOff>
    </xdr:from>
    <xdr:ext cx="1545437" cy="914528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84060" y="73393300"/>
          <a:ext cx="915035" cy="1545590"/>
        </a:xfrm>
        <a:prstGeom prst="rect">
          <a:avLst/>
        </a:prstGeom>
      </xdr:spPr>
    </xdr:pic>
    <xdr:clientData/>
  </xdr:oneCellAnchor>
  <xdr:twoCellAnchor editAs="oneCell">
    <xdr:from>
      <xdr:col>3</xdr:col>
      <xdr:colOff>71437</xdr:colOff>
      <xdr:row>68</xdr:row>
      <xdr:rowOff>0</xdr:rowOff>
    </xdr:from>
    <xdr:to>
      <xdr:col>4</xdr:col>
      <xdr:colOff>0</xdr:colOff>
      <xdr:row>71</xdr:row>
      <xdr:rowOff>475982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919470" y="68608575"/>
          <a:ext cx="3091180" cy="35274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166688</xdr:colOff>
      <xdr:row>77</xdr:row>
      <xdr:rowOff>404813</xdr:rowOff>
    </xdr:from>
    <xdr:to>
      <xdr:col>4</xdr:col>
      <xdr:colOff>0</xdr:colOff>
      <xdr:row>80</xdr:row>
      <xdr:rowOff>634279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14720" y="78168500"/>
          <a:ext cx="2995930" cy="328104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77</xdr:row>
      <xdr:rowOff>95250</xdr:rowOff>
    </xdr:from>
    <xdr:to>
      <xdr:col>9</xdr:col>
      <xdr:colOff>1095374</xdr:colOff>
      <xdr:row>77</xdr:row>
      <xdr:rowOff>973129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77859255"/>
          <a:ext cx="951865" cy="877570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80</xdr:row>
      <xdr:rowOff>71438</xdr:rowOff>
    </xdr:from>
    <xdr:to>
      <xdr:col>10</xdr:col>
      <xdr:colOff>47625</xdr:colOff>
      <xdr:row>80</xdr:row>
      <xdr:rowOff>997850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80886935"/>
          <a:ext cx="1119505" cy="92646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304893</xdr:colOff>
      <xdr:row>82</xdr:row>
      <xdr:rowOff>52295</xdr:rowOff>
    </xdr:from>
    <xdr:to>
      <xdr:col>10</xdr:col>
      <xdr:colOff>359964</xdr:colOff>
      <xdr:row>83</xdr:row>
      <xdr:rowOff>119062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92645" y="82536030"/>
          <a:ext cx="1083945" cy="1816735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79</xdr:row>
      <xdr:rowOff>47625</xdr:rowOff>
    </xdr:from>
    <xdr:to>
      <xdr:col>9</xdr:col>
      <xdr:colOff>1524000</xdr:colOff>
      <xdr:row>79</xdr:row>
      <xdr:rowOff>992068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79846170"/>
          <a:ext cx="1000125" cy="9442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84</xdr:row>
      <xdr:rowOff>404814</xdr:rowOff>
    </xdr:from>
    <xdr:to>
      <xdr:col>10</xdr:col>
      <xdr:colOff>450850</xdr:colOff>
      <xdr:row>84</xdr:row>
      <xdr:rowOff>726326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85289390"/>
          <a:ext cx="2117725" cy="32131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83</xdr:row>
      <xdr:rowOff>261938</xdr:rowOff>
    </xdr:from>
    <xdr:to>
      <xdr:col>10</xdr:col>
      <xdr:colOff>166687</xdr:colOff>
      <xdr:row>83</xdr:row>
      <xdr:rowOff>842927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84129245"/>
          <a:ext cx="1452245" cy="581025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107</xdr:row>
      <xdr:rowOff>71437</xdr:rowOff>
    </xdr:from>
    <xdr:ext cx="785813" cy="868681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190" y="10835322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109</xdr:row>
      <xdr:rowOff>71439</xdr:rowOff>
    </xdr:from>
    <xdr:ext cx="1012322" cy="881062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11038776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110</xdr:row>
      <xdr:rowOff>23814</xdr:rowOff>
    </xdr:from>
    <xdr:ext cx="833437" cy="105265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111357410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113</xdr:row>
      <xdr:rowOff>357188</xdr:rowOff>
    </xdr:from>
    <xdr:ext cx="2125025" cy="547687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69075" y="11474259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362050</xdr:colOff>
      <xdr:row>112</xdr:row>
      <xdr:rowOff>66581</xdr:rowOff>
    </xdr:from>
    <xdr:ext cx="1614391" cy="950689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914870" y="113103025"/>
          <a:ext cx="950595" cy="161417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105</xdr:row>
      <xdr:rowOff>1524000</xdr:rowOff>
    </xdr:from>
    <xdr:to>
      <xdr:col>4</xdr:col>
      <xdr:colOff>0</xdr:colOff>
      <xdr:row>109</xdr:row>
      <xdr:rowOff>557214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943600" y="107264835"/>
          <a:ext cx="3067050" cy="3608705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132</xdr:row>
      <xdr:rowOff>619125</xdr:rowOff>
    </xdr:from>
    <xdr:to>
      <xdr:col>4</xdr:col>
      <xdr:colOff>0</xdr:colOff>
      <xdr:row>135</xdr:row>
      <xdr:rowOff>904875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919470" y="134332980"/>
          <a:ext cx="3091180" cy="3337560"/>
        </a:xfrm>
        <a:prstGeom prst="rect">
          <a:avLst/>
        </a:prstGeom>
      </xdr:spPr>
    </xdr:pic>
    <xdr:clientData/>
  </xdr:twoCellAnchor>
  <xdr:twoCellAnchor editAs="oneCell">
    <xdr:from>
      <xdr:col>3</xdr:col>
      <xdr:colOff>257608</xdr:colOff>
      <xdr:row>5</xdr:row>
      <xdr:rowOff>0</xdr:rowOff>
    </xdr:from>
    <xdr:to>
      <xdr:col>4</xdr:col>
      <xdr:colOff>0</xdr:colOff>
      <xdr:row>8</xdr:row>
      <xdr:rowOff>452189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05525" y="4520565"/>
          <a:ext cx="2905125" cy="3503930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500063</xdr:colOff>
      <xdr:row>5</xdr:row>
      <xdr:rowOff>23813</xdr:rowOff>
    </xdr:from>
    <xdr:to>
      <xdr:col>9</xdr:col>
      <xdr:colOff>1285984</xdr:colOff>
      <xdr:row>5</xdr:row>
      <xdr:rowOff>952501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721195" y="4544060"/>
          <a:ext cx="786130" cy="929005"/>
        </a:xfrm>
        <a:prstGeom prst="rect">
          <a:avLst/>
        </a:prstGeom>
      </xdr:spPr>
    </xdr:pic>
    <xdr:clientData/>
  </xdr:twoCellAnchor>
  <xdr:twoCellAnchor editAs="oneCell">
    <xdr:from>
      <xdr:col>9</xdr:col>
      <xdr:colOff>738189</xdr:colOff>
      <xdr:row>6</xdr:row>
      <xdr:rowOff>47625</xdr:rowOff>
    </xdr:from>
    <xdr:to>
      <xdr:col>9</xdr:col>
      <xdr:colOff>1238251</xdr:colOff>
      <xdr:row>6</xdr:row>
      <xdr:rowOff>995190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959320" y="5585460"/>
          <a:ext cx="500380" cy="94742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7</xdr:row>
      <xdr:rowOff>71438</xdr:rowOff>
    </xdr:from>
    <xdr:to>
      <xdr:col>9</xdr:col>
      <xdr:colOff>1524000</xdr:colOff>
      <xdr:row>7</xdr:row>
      <xdr:rowOff>943220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768820" y="6626225"/>
          <a:ext cx="976630" cy="871855"/>
        </a:xfrm>
        <a:prstGeom prst="rect">
          <a:avLst/>
        </a:prstGeom>
      </xdr:spPr>
    </xdr:pic>
    <xdr:clientData/>
  </xdr:twoCellAnchor>
  <xdr:twoCellAnchor editAs="oneCell">
    <xdr:from>
      <xdr:col>9</xdr:col>
      <xdr:colOff>81093</xdr:colOff>
      <xdr:row>9</xdr:row>
      <xdr:rowOff>228470</xdr:rowOff>
    </xdr:from>
    <xdr:to>
      <xdr:col>10</xdr:col>
      <xdr:colOff>450850</xdr:colOff>
      <xdr:row>9</xdr:row>
      <xdr:rowOff>863445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50760" y="8069580"/>
          <a:ext cx="635000" cy="2131695"/>
        </a:xfrm>
        <a:prstGeom prst="rect">
          <a:avLst/>
        </a:prstGeom>
      </xdr:spPr>
    </xdr:pic>
    <xdr:clientData/>
  </xdr:twoCellAnchor>
  <xdr:twoCellAnchor editAs="oneCell">
    <xdr:from>
      <xdr:col>9</xdr:col>
      <xdr:colOff>71593</xdr:colOff>
      <xdr:row>10</xdr:row>
      <xdr:rowOff>118909</xdr:rowOff>
    </xdr:from>
    <xdr:to>
      <xdr:col>10</xdr:col>
      <xdr:colOff>450850</xdr:colOff>
      <xdr:row>10</xdr:row>
      <xdr:rowOff>698479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73620" y="8944610"/>
          <a:ext cx="579755" cy="2141220"/>
        </a:xfrm>
        <a:prstGeom prst="rect">
          <a:avLst/>
        </a:prstGeom>
      </xdr:spPr>
    </xdr:pic>
    <xdr:clientData/>
  </xdr:twoCellAnchor>
  <xdr:twoCellAnchor editAs="oneCell">
    <xdr:from>
      <xdr:col>9</xdr:col>
      <xdr:colOff>109724</xdr:colOff>
      <xdr:row>11</xdr:row>
      <xdr:rowOff>199841</xdr:rowOff>
    </xdr:from>
    <xdr:to>
      <xdr:col>10</xdr:col>
      <xdr:colOff>450850</xdr:colOff>
      <xdr:row>11</xdr:row>
      <xdr:rowOff>797900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83145" y="10071100"/>
          <a:ext cx="598170" cy="2103120"/>
        </a:xfrm>
        <a:prstGeom prst="rect">
          <a:avLst/>
        </a:prstGeom>
      </xdr:spPr>
    </xdr:pic>
    <xdr:clientData/>
  </xdr:twoCellAnchor>
  <xdr:twoCellAnchor editAs="oneCell">
    <xdr:from>
      <xdr:col>9</xdr:col>
      <xdr:colOff>124004</xdr:colOff>
      <xdr:row>12</xdr:row>
      <xdr:rowOff>209374</xdr:rowOff>
    </xdr:from>
    <xdr:to>
      <xdr:col>10</xdr:col>
      <xdr:colOff>450850</xdr:colOff>
      <xdr:row>12</xdr:row>
      <xdr:rowOff>774243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07275" y="11088370"/>
          <a:ext cx="564515" cy="208915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14</xdr:row>
      <xdr:rowOff>281420</xdr:rowOff>
    </xdr:from>
    <xdr:to>
      <xdr:col>10</xdr:col>
      <xdr:colOff>450850</xdr:colOff>
      <xdr:row>14</xdr:row>
      <xdr:rowOff>845012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13957300"/>
          <a:ext cx="2141855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8</xdr:row>
      <xdr:rowOff>309562</xdr:rowOff>
    </xdr:from>
    <xdr:to>
      <xdr:col>10</xdr:col>
      <xdr:colOff>450850</xdr:colOff>
      <xdr:row>8</xdr:row>
      <xdr:rowOff>785811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340195" y="7881620"/>
          <a:ext cx="2094230" cy="476250"/>
        </a:xfrm>
        <a:prstGeom prst="rect">
          <a:avLst/>
        </a:prstGeom>
      </xdr:spPr>
    </xdr:pic>
    <xdr:clientData/>
  </xdr:twoCellAnchor>
  <xdr:oneCellAnchor>
    <xdr:from>
      <xdr:col>3</xdr:col>
      <xdr:colOff>452437</xdr:colOff>
      <xdr:row>17</xdr:row>
      <xdr:rowOff>0</xdr:rowOff>
    </xdr:from>
    <xdr:ext cx="2619374" cy="3452564"/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300470" y="16727805"/>
          <a:ext cx="2619375" cy="3452495"/>
        </a:xfrm>
        <a:prstGeom prst="rect">
          <a:avLst/>
        </a:prstGeom>
      </xdr:spPr>
    </xdr:pic>
    <xdr:clientData/>
  </xdr:oneCellAnchor>
  <xdr:oneCellAnchor>
    <xdr:from>
      <xdr:col>9</xdr:col>
      <xdr:colOff>642938</xdr:colOff>
      <xdr:row>17</xdr:row>
      <xdr:rowOff>23812</xdr:rowOff>
    </xdr:from>
    <xdr:ext cx="806072" cy="952499"/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864070" y="16751300"/>
          <a:ext cx="805815" cy="952500"/>
        </a:xfrm>
        <a:prstGeom prst="rect">
          <a:avLst/>
        </a:prstGeom>
      </xdr:spPr>
    </xdr:pic>
    <xdr:clientData/>
  </xdr:oneCellAnchor>
  <xdr:oneCellAnchor>
    <xdr:from>
      <xdr:col>9</xdr:col>
      <xdr:colOff>785813</xdr:colOff>
      <xdr:row>18</xdr:row>
      <xdr:rowOff>47625</xdr:rowOff>
    </xdr:from>
    <xdr:ext cx="427266" cy="809625"/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0006945" y="17792700"/>
          <a:ext cx="427355" cy="809625"/>
        </a:xfrm>
        <a:prstGeom prst="rect">
          <a:avLst/>
        </a:prstGeom>
      </xdr:spPr>
    </xdr:pic>
    <xdr:clientData/>
  </xdr:oneCellAnchor>
  <xdr:oneCellAnchor>
    <xdr:from>
      <xdr:col>9</xdr:col>
      <xdr:colOff>595313</xdr:colOff>
      <xdr:row>19</xdr:row>
      <xdr:rowOff>71438</xdr:rowOff>
    </xdr:from>
    <xdr:ext cx="976312" cy="871782"/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816445" y="18833465"/>
          <a:ext cx="976630" cy="871855"/>
        </a:xfrm>
        <a:prstGeom prst="rect">
          <a:avLst/>
        </a:prstGeom>
      </xdr:spPr>
    </xdr:pic>
    <xdr:clientData/>
  </xdr:oneCellAnchor>
  <xdr:oneCellAnchor>
    <xdr:from>
      <xdr:col>9</xdr:col>
      <xdr:colOff>81093</xdr:colOff>
      <xdr:row>21</xdr:row>
      <xdr:rowOff>228470</xdr:rowOff>
    </xdr:from>
    <xdr:ext cx="2062032" cy="63497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15835" y="20311745"/>
          <a:ext cx="635000" cy="2061845"/>
        </a:xfrm>
        <a:prstGeom prst="rect">
          <a:avLst/>
        </a:prstGeom>
      </xdr:spPr>
    </xdr:pic>
    <xdr:clientData/>
  </xdr:oneCellAnchor>
  <xdr:oneCellAnchor>
    <xdr:from>
      <xdr:col>9</xdr:col>
      <xdr:colOff>71593</xdr:colOff>
      <xdr:row>22</xdr:row>
      <xdr:rowOff>118909</xdr:rowOff>
    </xdr:from>
    <xdr:ext cx="2071531" cy="579570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38695" y="21186775"/>
          <a:ext cx="579755" cy="2071370"/>
        </a:xfrm>
        <a:prstGeom prst="rect">
          <a:avLst/>
        </a:prstGeom>
      </xdr:spPr>
    </xdr:pic>
    <xdr:clientData/>
  </xdr:oneCellAnchor>
  <xdr:oneCellAnchor>
    <xdr:from>
      <xdr:col>9</xdr:col>
      <xdr:colOff>109724</xdr:colOff>
      <xdr:row>23</xdr:row>
      <xdr:rowOff>199841</xdr:rowOff>
    </xdr:from>
    <xdr:ext cx="2033401" cy="598059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48220" y="22313265"/>
          <a:ext cx="598170" cy="2033270"/>
        </a:xfrm>
        <a:prstGeom prst="rect">
          <a:avLst/>
        </a:prstGeom>
      </xdr:spPr>
    </xdr:pic>
    <xdr:clientData/>
  </xdr:oneCellAnchor>
  <xdr:oneCellAnchor>
    <xdr:from>
      <xdr:col>9</xdr:col>
      <xdr:colOff>124004</xdr:colOff>
      <xdr:row>24</xdr:row>
      <xdr:rowOff>209374</xdr:rowOff>
    </xdr:from>
    <xdr:ext cx="2114371" cy="564869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19975" y="23282910"/>
          <a:ext cx="564515" cy="2114550"/>
        </a:xfrm>
        <a:prstGeom prst="rect">
          <a:avLst/>
        </a:prstGeom>
      </xdr:spPr>
    </xdr:pic>
    <xdr:clientData/>
  </xdr:oneCellAnchor>
  <xdr:oneCellAnchor>
    <xdr:from>
      <xdr:col>9</xdr:col>
      <xdr:colOff>71439</xdr:colOff>
      <xdr:row>20</xdr:row>
      <xdr:rowOff>214312</xdr:rowOff>
    </xdr:from>
    <xdr:ext cx="2104600" cy="476249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292570" y="19993610"/>
          <a:ext cx="2104390" cy="476250"/>
        </a:xfrm>
        <a:prstGeom prst="rect">
          <a:avLst/>
        </a:prstGeom>
      </xdr:spPr>
    </xdr:pic>
    <xdr:clientData/>
  </xdr:oneCellAnchor>
  <xdr:oneCellAnchor>
    <xdr:from>
      <xdr:col>9</xdr:col>
      <xdr:colOff>380999</xdr:colOff>
      <xdr:row>39</xdr:row>
      <xdr:rowOff>47626</xdr:rowOff>
    </xdr:from>
    <xdr:ext cx="809625" cy="895004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01815" y="391553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41</xdr:row>
      <xdr:rowOff>71439</xdr:rowOff>
    </xdr:from>
    <xdr:ext cx="1012322" cy="88106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412134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42</xdr:row>
      <xdr:rowOff>23814</xdr:rowOff>
    </xdr:from>
    <xdr:ext cx="833437" cy="1054819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42183050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45</xdr:row>
      <xdr:rowOff>357188</xdr:rowOff>
    </xdr:from>
    <xdr:ext cx="2125025" cy="547687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69075" y="4556823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223969</xdr:colOff>
      <xdr:row>44</xdr:row>
      <xdr:rowOff>85597</xdr:rowOff>
    </xdr:from>
    <xdr:ext cx="1545437" cy="914528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60565" y="43964225"/>
          <a:ext cx="914400" cy="1544955"/>
        </a:xfrm>
        <a:prstGeom prst="rect">
          <a:avLst/>
        </a:prstGeom>
      </xdr:spPr>
    </xdr:pic>
    <xdr:clientData/>
  </xdr:oneCellAnchor>
  <xdr:oneCellAnchor>
    <xdr:from>
      <xdr:col>3</xdr:col>
      <xdr:colOff>142875</xdr:colOff>
      <xdr:row>48</xdr:row>
      <xdr:rowOff>1238249</xdr:rowOff>
    </xdr:from>
    <xdr:ext cx="2890228" cy="3545898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91225" y="4928044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49</xdr:row>
      <xdr:rowOff>23813</xdr:rowOff>
    </xdr:from>
    <xdr:ext cx="833438" cy="921328"/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49303940"/>
          <a:ext cx="833120" cy="92138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51</xdr:row>
      <xdr:rowOff>71439</xdr:rowOff>
    </xdr:from>
    <xdr:ext cx="1012322" cy="881062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513861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52</xdr:row>
      <xdr:rowOff>23814</xdr:rowOff>
    </xdr:from>
    <xdr:ext cx="738186" cy="932349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5235575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71437</xdr:colOff>
      <xdr:row>55</xdr:row>
      <xdr:rowOff>190501</xdr:rowOff>
    </xdr:from>
    <xdr:ext cx="2125025" cy="547687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92570" y="55574565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362051</xdr:colOff>
      <xdr:row>54</xdr:row>
      <xdr:rowOff>66581</xdr:rowOff>
    </xdr:from>
    <xdr:ext cx="1423889" cy="838632"/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875500" y="54140735"/>
          <a:ext cx="838835" cy="1423670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48</xdr:row>
      <xdr:rowOff>119064</xdr:rowOff>
    </xdr:from>
    <xdr:ext cx="2076633" cy="809624"/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316700" y="48381920"/>
          <a:ext cx="2076450" cy="80962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59</xdr:row>
      <xdr:rowOff>47624</xdr:rowOff>
    </xdr:from>
    <xdr:ext cx="785812" cy="868679"/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0695" y="5950013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61</xdr:row>
      <xdr:rowOff>71439</xdr:rowOff>
    </xdr:from>
    <xdr:ext cx="1012322" cy="881062"/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615588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62</xdr:row>
      <xdr:rowOff>23814</xdr:rowOff>
    </xdr:from>
    <xdr:ext cx="738186" cy="932349"/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6252845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65</xdr:row>
      <xdr:rowOff>238125</xdr:rowOff>
    </xdr:from>
    <xdr:ext cx="2125025" cy="547687"/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65794890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242988</xdr:colOff>
      <xdr:row>64</xdr:row>
      <xdr:rowOff>18956</xdr:rowOff>
    </xdr:from>
    <xdr:ext cx="1614391" cy="950832"/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796125" y="64226440"/>
          <a:ext cx="950595" cy="1614170"/>
        </a:xfrm>
        <a:prstGeom prst="rect">
          <a:avLst/>
        </a:prstGeom>
      </xdr:spPr>
    </xdr:pic>
    <xdr:clientData/>
  </xdr:oneCellAnchor>
  <xdr:oneCellAnchor>
    <xdr:from>
      <xdr:col>3</xdr:col>
      <xdr:colOff>71437</xdr:colOff>
      <xdr:row>58</xdr:row>
      <xdr:rowOff>452438</xdr:rowOff>
    </xdr:from>
    <xdr:ext cx="3013313" cy="3736397"/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919470" y="58887995"/>
          <a:ext cx="3013075" cy="373634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58</xdr:row>
      <xdr:rowOff>166688</xdr:rowOff>
    </xdr:from>
    <xdr:ext cx="2007550" cy="714375"/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40195" y="58602245"/>
          <a:ext cx="2007235" cy="714375"/>
        </a:xfrm>
        <a:prstGeom prst="rect">
          <a:avLst/>
        </a:prstGeom>
      </xdr:spPr>
    </xdr:pic>
    <xdr:clientData/>
  </xdr:oneCellAnchor>
  <xdr:twoCellAnchor editAs="oneCell">
    <xdr:from>
      <xdr:col>9</xdr:col>
      <xdr:colOff>452437</xdr:colOff>
      <xdr:row>131</xdr:row>
      <xdr:rowOff>47625</xdr:rowOff>
    </xdr:from>
    <xdr:to>
      <xdr:col>9</xdr:col>
      <xdr:colOff>1126995</xdr:colOff>
      <xdr:row>131</xdr:row>
      <xdr:rowOff>904875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flipH="1">
          <a:off x="19673570" y="132744210"/>
          <a:ext cx="674370" cy="85725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87</xdr:row>
      <xdr:rowOff>95250</xdr:rowOff>
    </xdr:from>
    <xdr:ext cx="904874" cy="833985"/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8803195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90</xdr:row>
      <xdr:rowOff>71438</xdr:rowOff>
    </xdr:from>
    <xdr:ext cx="976312" cy="926412"/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910596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92</xdr:row>
      <xdr:rowOff>52295</xdr:rowOff>
    </xdr:from>
    <xdr:ext cx="1674321" cy="1066893"/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29780" y="92771595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89</xdr:row>
      <xdr:rowOff>47625</xdr:rowOff>
    </xdr:from>
    <xdr:ext cx="1000124" cy="944443"/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9001887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94</xdr:row>
      <xdr:rowOff>404814</xdr:rowOff>
    </xdr:from>
    <xdr:ext cx="2024062" cy="321512"/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95462090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93</xdr:row>
      <xdr:rowOff>261938</xdr:rowOff>
    </xdr:from>
    <xdr:ext cx="1309687" cy="580989"/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9430194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85</xdr:row>
      <xdr:rowOff>1428750</xdr:rowOff>
    </xdr:from>
    <xdr:ext cx="2976562" cy="3290019"/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3600" y="86919435"/>
          <a:ext cx="2976245" cy="3289935"/>
        </a:xfrm>
        <a:prstGeom prst="rect">
          <a:avLst/>
        </a:prstGeom>
      </xdr:spPr>
    </xdr:pic>
    <xdr:clientData/>
  </xdr:oneCellAnchor>
  <xdr:twoCellAnchor editAs="oneCell">
    <xdr:from>
      <xdr:col>9</xdr:col>
      <xdr:colOff>138545</xdr:colOff>
      <xdr:row>195</xdr:row>
      <xdr:rowOff>86591</xdr:rowOff>
    </xdr:from>
    <xdr:to>
      <xdr:col>10</xdr:col>
      <xdr:colOff>275133</xdr:colOff>
      <xdr:row>195</xdr:row>
      <xdr:rowOff>987137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59880" y="197888225"/>
          <a:ext cx="1898650" cy="90043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97</xdr:row>
      <xdr:rowOff>95250</xdr:rowOff>
    </xdr:from>
    <xdr:ext cx="904874" cy="833985"/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9820465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100</xdr:row>
      <xdr:rowOff>71438</xdr:rowOff>
    </xdr:from>
    <xdr:ext cx="976312" cy="926412"/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1012323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102</xdr:row>
      <xdr:rowOff>52295</xdr:rowOff>
    </xdr:from>
    <xdr:ext cx="1674321" cy="1066893"/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29780" y="102944295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99</xdr:row>
      <xdr:rowOff>47625</xdr:rowOff>
    </xdr:from>
    <xdr:ext cx="1000124" cy="944443"/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10019157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104</xdr:row>
      <xdr:rowOff>404814</xdr:rowOff>
    </xdr:from>
    <xdr:ext cx="2024062" cy="321512"/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105634790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103</xdr:row>
      <xdr:rowOff>261938</xdr:rowOff>
    </xdr:from>
    <xdr:ext cx="1309687" cy="580989"/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10447464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95</xdr:row>
      <xdr:rowOff>1428750</xdr:rowOff>
    </xdr:from>
    <xdr:ext cx="2976562" cy="3266207"/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3600" y="97092135"/>
          <a:ext cx="2976245" cy="3265805"/>
        </a:xfrm>
        <a:prstGeom prst="rect">
          <a:avLst/>
        </a:prstGeom>
      </xdr:spPr>
    </xdr:pic>
    <xdr:clientData/>
  </xdr:oneCellAnchor>
  <xdr:oneCellAnchor>
    <xdr:from>
      <xdr:col>3</xdr:col>
      <xdr:colOff>142876</xdr:colOff>
      <xdr:row>39</xdr:row>
      <xdr:rowOff>0</xdr:rowOff>
    </xdr:from>
    <xdr:ext cx="2890228" cy="3545898"/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91225" y="3910774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4</xdr:row>
      <xdr:rowOff>71438</xdr:rowOff>
    </xdr:from>
    <xdr:ext cx="809624" cy="822144"/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578320" y="3574415"/>
          <a:ext cx="809625" cy="822325"/>
        </a:xfrm>
        <a:prstGeom prst="rect">
          <a:avLst/>
        </a:prstGeom>
      </xdr:spPr>
    </xdr:pic>
    <xdr:clientData/>
  </xdr:oneCellAnchor>
  <xdr:oneCellAnchor>
    <xdr:from>
      <xdr:col>9</xdr:col>
      <xdr:colOff>382693</xdr:colOff>
      <xdr:row>16</xdr:row>
      <xdr:rowOff>95251</xdr:rowOff>
    </xdr:from>
    <xdr:ext cx="950806" cy="784526"/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19603720" y="15805785"/>
          <a:ext cx="950595" cy="78422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28</xdr:row>
      <xdr:rowOff>71439</xdr:rowOff>
    </xdr:from>
    <xdr:ext cx="762000" cy="837197"/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578320" y="27988895"/>
          <a:ext cx="762000" cy="836930"/>
        </a:xfrm>
        <a:prstGeom prst="rect">
          <a:avLst/>
        </a:prstGeom>
      </xdr:spPr>
    </xdr:pic>
    <xdr:clientData/>
  </xdr:oneCellAnchor>
  <xdr:oneCellAnchor>
    <xdr:from>
      <xdr:col>9</xdr:col>
      <xdr:colOff>272761</xdr:colOff>
      <xdr:row>38</xdr:row>
      <xdr:rowOff>86592</xdr:rowOff>
    </xdr:from>
    <xdr:ext cx="822613" cy="894834"/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493865" y="38176835"/>
          <a:ext cx="822325" cy="89471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47</xdr:row>
      <xdr:rowOff>95250</xdr:rowOff>
    </xdr:from>
    <xdr:ext cx="785811" cy="854801"/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30695" y="47341155"/>
          <a:ext cx="785495" cy="854710"/>
        </a:xfrm>
        <a:prstGeom prst="rect">
          <a:avLst/>
        </a:prstGeom>
      </xdr:spPr>
    </xdr:pic>
    <xdr:clientData/>
  </xdr:oneCellAnchor>
  <xdr:oneCellAnchor>
    <xdr:from>
      <xdr:col>9</xdr:col>
      <xdr:colOff>404812</xdr:colOff>
      <xdr:row>57</xdr:row>
      <xdr:rowOff>71438</xdr:rowOff>
    </xdr:from>
    <xdr:ext cx="762000" cy="843100"/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625945" y="57489725"/>
          <a:ext cx="762000" cy="8432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67</xdr:row>
      <xdr:rowOff>119063</xdr:rowOff>
    </xdr:from>
    <xdr:ext cx="738187" cy="820208"/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554825" y="67710050"/>
          <a:ext cx="737870" cy="82042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76</xdr:row>
      <xdr:rowOff>47626</xdr:rowOff>
    </xdr:from>
    <xdr:ext cx="904874" cy="904874"/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578320" y="76794360"/>
          <a:ext cx="904875" cy="904875"/>
        </a:xfrm>
        <a:prstGeom prst="rect">
          <a:avLst/>
        </a:prstGeom>
      </xdr:spPr>
    </xdr:pic>
    <xdr:clientData/>
  </xdr:oneCellAnchor>
  <xdr:oneCellAnchor>
    <xdr:from>
      <xdr:col>9</xdr:col>
      <xdr:colOff>309562</xdr:colOff>
      <xdr:row>86</xdr:row>
      <xdr:rowOff>142875</xdr:rowOff>
    </xdr:from>
    <xdr:ext cx="833437" cy="808452"/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530695" y="87062310"/>
          <a:ext cx="833120" cy="80835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96</xdr:row>
      <xdr:rowOff>119064</xdr:rowOff>
    </xdr:from>
    <xdr:ext cx="714373" cy="735804"/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411950" y="97210880"/>
          <a:ext cx="713740" cy="73596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106</xdr:row>
      <xdr:rowOff>95250</xdr:rowOff>
    </xdr:from>
    <xdr:ext cx="744281" cy="809625"/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30695" y="107360085"/>
          <a:ext cx="744220" cy="80962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115</xdr:row>
      <xdr:rowOff>119063</xdr:rowOff>
    </xdr:from>
    <xdr:ext cx="1053185" cy="833437"/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59575" y="116539010"/>
          <a:ext cx="1052830" cy="83375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129</xdr:row>
      <xdr:rowOff>119063</xdr:rowOff>
    </xdr:from>
    <xdr:ext cx="1047748" cy="829134"/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59575" y="130780790"/>
          <a:ext cx="1047115" cy="82931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144</xdr:row>
      <xdr:rowOff>95250</xdr:rowOff>
    </xdr:from>
    <xdr:ext cx="690561" cy="842927"/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78320" y="146016345"/>
          <a:ext cx="690245" cy="84264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159</xdr:row>
      <xdr:rowOff>95251</xdr:rowOff>
    </xdr:from>
    <xdr:ext cx="714374" cy="871994"/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78320" y="161275395"/>
          <a:ext cx="714375" cy="8718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175</xdr:row>
      <xdr:rowOff>47626</xdr:rowOff>
    </xdr:from>
    <xdr:ext cx="1762124" cy="864984"/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316700" y="177504090"/>
          <a:ext cx="1761490" cy="864870"/>
        </a:xfrm>
        <a:prstGeom prst="rect">
          <a:avLst/>
        </a:prstGeom>
      </xdr:spPr>
    </xdr:pic>
    <xdr:clientData/>
  </xdr:oneCellAnchor>
  <xdr:oneCellAnchor>
    <xdr:from>
      <xdr:col>3</xdr:col>
      <xdr:colOff>329045</xdr:colOff>
      <xdr:row>193</xdr:row>
      <xdr:rowOff>190500</xdr:rowOff>
    </xdr:from>
    <xdr:ext cx="2770909" cy="1744455"/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77280" y="195957825"/>
          <a:ext cx="2770505" cy="174434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193</xdr:row>
      <xdr:rowOff>103909</xdr:rowOff>
    </xdr:from>
    <xdr:ext cx="1316182" cy="917928"/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636740" y="195870830"/>
          <a:ext cx="1316355" cy="918210"/>
        </a:xfrm>
        <a:prstGeom prst="rect">
          <a:avLst/>
        </a:prstGeom>
      </xdr:spPr>
    </xdr:pic>
    <xdr:clientData/>
  </xdr:oneCellAnchor>
  <xdr:twoCellAnchor editAs="oneCell">
    <xdr:from>
      <xdr:col>9</xdr:col>
      <xdr:colOff>642939</xdr:colOff>
      <xdr:row>3</xdr:row>
      <xdr:rowOff>71439</xdr:rowOff>
    </xdr:from>
    <xdr:to>
      <xdr:col>9</xdr:col>
      <xdr:colOff>1285874</xdr:colOff>
      <xdr:row>3</xdr:row>
      <xdr:rowOff>977052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864070" y="2557145"/>
          <a:ext cx="642620" cy="90551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15</xdr:row>
      <xdr:rowOff>95250</xdr:rowOff>
    </xdr:from>
    <xdr:to>
      <xdr:col>9</xdr:col>
      <xdr:colOff>1166812</xdr:colOff>
      <xdr:row>15</xdr:row>
      <xdr:rowOff>949329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745325" y="14788515"/>
          <a:ext cx="642620" cy="854075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27</xdr:row>
      <xdr:rowOff>71439</xdr:rowOff>
    </xdr:from>
    <xdr:to>
      <xdr:col>9</xdr:col>
      <xdr:colOff>1138734</xdr:colOff>
      <xdr:row>27</xdr:row>
      <xdr:rowOff>904875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625945" y="26971625"/>
          <a:ext cx="734060" cy="833755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37</xdr:row>
      <xdr:rowOff>47627</xdr:rowOff>
    </xdr:from>
    <xdr:to>
      <xdr:col>9</xdr:col>
      <xdr:colOff>1047749</xdr:colOff>
      <xdr:row>37</xdr:row>
      <xdr:rowOff>985531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483070" y="37120830"/>
          <a:ext cx="785495" cy="937895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309563</xdr:colOff>
      <xdr:row>46</xdr:row>
      <xdr:rowOff>47626</xdr:rowOff>
    </xdr:from>
    <xdr:to>
      <xdr:col>9</xdr:col>
      <xdr:colOff>1071562</xdr:colOff>
      <xdr:row>46</xdr:row>
      <xdr:rowOff>957109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530695" y="46276260"/>
          <a:ext cx="762000" cy="90932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56</xdr:row>
      <xdr:rowOff>23813</xdr:rowOff>
    </xdr:from>
    <xdr:to>
      <xdr:col>9</xdr:col>
      <xdr:colOff>1119188</xdr:colOff>
      <xdr:row>56</xdr:row>
      <xdr:rowOff>924186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578320" y="56424830"/>
          <a:ext cx="762000" cy="9004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143</xdr:row>
      <xdr:rowOff>1</xdr:rowOff>
    </xdr:from>
    <xdr:to>
      <xdr:col>9</xdr:col>
      <xdr:colOff>1309687</xdr:colOff>
      <xdr:row>143</xdr:row>
      <xdr:rowOff>942429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316700" y="144903825"/>
          <a:ext cx="1214120" cy="942340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166689</xdr:colOff>
      <xdr:row>158</xdr:row>
      <xdr:rowOff>47626</xdr:rowOff>
    </xdr:from>
    <xdr:to>
      <xdr:col>9</xdr:col>
      <xdr:colOff>1381124</xdr:colOff>
      <xdr:row>158</xdr:row>
      <xdr:rowOff>930852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387820" y="160210500"/>
          <a:ext cx="1214120" cy="882650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114</xdr:row>
      <xdr:rowOff>71439</xdr:rowOff>
    </xdr:from>
    <xdr:to>
      <xdr:col>9</xdr:col>
      <xdr:colOff>1141382</xdr:colOff>
      <xdr:row>114</xdr:row>
      <xdr:rowOff>928687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625945" y="115474115"/>
          <a:ext cx="73660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452437</xdr:colOff>
      <xdr:row>128</xdr:row>
      <xdr:rowOff>71438</xdr:rowOff>
    </xdr:from>
    <xdr:to>
      <xdr:col>9</xdr:col>
      <xdr:colOff>1190624</xdr:colOff>
      <xdr:row>128</xdr:row>
      <xdr:rowOff>883181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673570" y="129715895"/>
          <a:ext cx="737870" cy="811530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66</xdr:row>
      <xdr:rowOff>71438</xdr:rowOff>
    </xdr:from>
    <xdr:to>
      <xdr:col>9</xdr:col>
      <xdr:colOff>1023937</xdr:colOff>
      <xdr:row>66</xdr:row>
      <xdr:rowOff>973272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483070" y="66645155"/>
          <a:ext cx="762000" cy="9017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75</xdr:row>
      <xdr:rowOff>47625</xdr:rowOff>
    </xdr:from>
    <xdr:to>
      <xdr:col>9</xdr:col>
      <xdr:colOff>1024895</xdr:colOff>
      <xdr:row>75</xdr:row>
      <xdr:rowOff>857250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507200" y="75777090"/>
          <a:ext cx="739140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85</xdr:row>
      <xdr:rowOff>95251</xdr:rowOff>
    </xdr:from>
    <xdr:to>
      <xdr:col>9</xdr:col>
      <xdr:colOff>1121832</xdr:colOff>
      <xdr:row>85</xdr:row>
      <xdr:rowOff>928687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602450" y="85997415"/>
          <a:ext cx="740410" cy="83312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95</xdr:row>
      <xdr:rowOff>71438</xdr:rowOff>
    </xdr:from>
    <xdr:to>
      <xdr:col>9</xdr:col>
      <xdr:colOff>1000124</xdr:colOff>
      <xdr:row>95</xdr:row>
      <xdr:rowOff>873708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530695" y="96145985"/>
          <a:ext cx="690245" cy="80200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105</xdr:row>
      <xdr:rowOff>47626</xdr:rowOff>
    </xdr:from>
    <xdr:to>
      <xdr:col>9</xdr:col>
      <xdr:colOff>1047749</xdr:colOff>
      <xdr:row>105</xdr:row>
      <xdr:rowOff>950222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507200" y="106295190"/>
          <a:ext cx="761365" cy="902335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166688</xdr:colOff>
      <xdr:row>174</xdr:row>
      <xdr:rowOff>47626</xdr:rowOff>
    </xdr:from>
    <xdr:to>
      <xdr:col>10</xdr:col>
      <xdr:colOff>450850</xdr:colOff>
      <xdr:row>174</xdr:row>
      <xdr:rowOff>884988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387820" y="176486820"/>
          <a:ext cx="2046605" cy="83693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192</xdr:row>
      <xdr:rowOff>23814</xdr:rowOff>
    </xdr:from>
    <xdr:to>
      <xdr:col>10</xdr:col>
      <xdr:colOff>190499</xdr:colOff>
      <xdr:row>192</xdr:row>
      <xdr:rowOff>984232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530695" y="194773550"/>
          <a:ext cx="1642745" cy="960120"/>
        </a:xfrm>
        <a:prstGeom prst="rect">
          <a:avLst/>
        </a:prstGeom>
      </xdr:spPr>
    </xdr:pic>
    <xdr:clientData/>
  </xdr:twoCellAnchor>
  <xdr:oneCellAnchor>
    <xdr:from>
      <xdr:col>9</xdr:col>
      <xdr:colOff>333375</xdr:colOff>
      <xdr:row>31</xdr:row>
      <xdr:rowOff>47625</xdr:rowOff>
    </xdr:from>
    <xdr:ext cx="857250" cy="947651"/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31017210"/>
          <a:ext cx="857250" cy="947420"/>
        </a:xfrm>
        <a:prstGeom prst="rect">
          <a:avLst/>
        </a:prstGeom>
      </xdr:spPr>
    </xdr:pic>
    <xdr:clientData/>
  </xdr:oneCellAnchor>
  <xdr:oneCellAnchor>
    <xdr:from>
      <xdr:col>9</xdr:col>
      <xdr:colOff>285749</xdr:colOff>
      <xdr:row>40</xdr:row>
      <xdr:rowOff>47625</xdr:rowOff>
    </xdr:from>
    <xdr:ext cx="785813" cy="868681"/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6565" y="40172640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50</xdr:row>
      <xdr:rowOff>47626</xdr:rowOff>
    </xdr:from>
    <xdr:ext cx="833438" cy="921328"/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50345340"/>
          <a:ext cx="833120" cy="920750"/>
        </a:xfrm>
        <a:prstGeom prst="rect">
          <a:avLst/>
        </a:prstGeom>
      </xdr:spPr>
    </xdr:pic>
    <xdr:clientData/>
  </xdr:oneCellAnchor>
  <xdr:oneCellAnchor>
    <xdr:from>
      <xdr:col>9</xdr:col>
      <xdr:colOff>238124</xdr:colOff>
      <xdr:row>60</xdr:row>
      <xdr:rowOff>71438</xdr:rowOff>
    </xdr:from>
    <xdr:ext cx="809625" cy="895004"/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8940" y="60541535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261937</xdr:colOff>
      <xdr:row>69</xdr:row>
      <xdr:rowOff>47625</xdr:rowOff>
    </xdr:from>
    <xdr:ext cx="809625" cy="895004"/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83070" y="696734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78</xdr:row>
      <xdr:rowOff>95250</xdr:rowOff>
    </xdr:from>
    <xdr:ext cx="809624" cy="746197"/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78876525"/>
          <a:ext cx="809625" cy="74612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88</xdr:row>
      <xdr:rowOff>95250</xdr:rowOff>
    </xdr:from>
    <xdr:ext cx="904874" cy="833985"/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8904922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95250</xdr:rowOff>
    </xdr:from>
    <xdr:ext cx="857249" cy="790091"/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99221925"/>
          <a:ext cx="856615" cy="7899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108</xdr:row>
      <xdr:rowOff>71438</xdr:rowOff>
    </xdr:from>
    <xdr:ext cx="762000" cy="842356"/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109370495"/>
          <a:ext cx="762000" cy="84264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34</xdr:row>
      <xdr:rowOff>23815</xdr:rowOff>
    </xdr:from>
    <xdr:ext cx="738186" cy="932352"/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3404489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43</xdr:row>
      <xdr:rowOff>23814</xdr:rowOff>
    </xdr:from>
    <xdr:ext cx="833437" cy="1054819"/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43200320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53</xdr:row>
      <xdr:rowOff>23814</xdr:rowOff>
    </xdr:from>
    <xdr:ext cx="738186" cy="932349"/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5337302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63</xdr:row>
      <xdr:rowOff>23814</xdr:rowOff>
    </xdr:from>
    <xdr:ext cx="690561" cy="872198"/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63545720"/>
          <a:ext cx="690245" cy="87249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72</xdr:row>
      <xdr:rowOff>23814</xdr:rowOff>
    </xdr:from>
    <xdr:ext cx="716432" cy="904873"/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72701150"/>
          <a:ext cx="716280" cy="90487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81</xdr:row>
      <xdr:rowOff>71438</xdr:rowOff>
    </xdr:from>
    <xdr:ext cx="976312" cy="926412"/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819042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91</xdr:row>
      <xdr:rowOff>71438</xdr:rowOff>
    </xdr:from>
    <xdr:ext cx="976312" cy="926412"/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920769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101</xdr:row>
      <xdr:rowOff>71438</xdr:rowOff>
    </xdr:from>
    <xdr:ext cx="976312" cy="926412"/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1022496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111</xdr:row>
      <xdr:rowOff>23814</xdr:rowOff>
    </xdr:from>
    <xdr:ext cx="833437" cy="1052654"/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112374680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120</xdr:row>
      <xdr:rowOff>71439</xdr:rowOff>
    </xdr:from>
    <xdr:ext cx="690562" cy="740124"/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21577735"/>
          <a:ext cx="690245" cy="74041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135</xdr:row>
      <xdr:rowOff>71438</xdr:rowOff>
    </xdr:from>
    <xdr:ext cx="714374" cy="765645"/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36836785"/>
          <a:ext cx="714375" cy="7658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149</xdr:row>
      <xdr:rowOff>71439</xdr:rowOff>
    </xdr:from>
    <xdr:ext cx="761999" cy="816688"/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51078565"/>
          <a:ext cx="761365" cy="8166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165</xdr:row>
      <xdr:rowOff>71439</xdr:rowOff>
    </xdr:from>
    <xdr:ext cx="733191" cy="785812"/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67354885"/>
          <a:ext cx="732790" cy="786130"/>
        </a:xfrm>
        <a:prstGeom prst="rect">
          <a:avLst/>
        </a:prstGeom>
      </xdr:spPr>
    </xdr:pic>
    <xdr:clientData/>
  </xdr:oneCellAnchor>
  <xdr:oneCellAnchor>
    <xdr:from>
      <xdr:col>3</xdr:col>
      <xdr:colOff>95249</xdr:colOff>
      <xdr:row>177</xdr:row>
      <xdr:rowOff>1309688</xdr:rowOff>
    </xdr:from>
    <xdr:ext cx="3071813" cy="1431116"/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2965" y="180508275"/>
          <a:ext cx="3072130" cy="14306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178</xdr:row>
      <xdr:rowOff>71438</xdr:rowOff>
    </xdr:from>
    <xdr:ext cx="1809749" cy="806518"/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16700" y="180579395"/>
          <a:ext cx="1809115" cy="80645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181</xdr:row>
      <xdr:rowOff>71438</xdr:rowOff>
    </xdr:from>
    <xdr:ext cx="1142999" cy="838199"/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40195" y="183631205"/>
          <a:ext cx="1143000" cy="838200"/>
        </a:xfrm>
        <a:prstGeom prst="rect">
          <a:avLst/>
        </a:prstGeom>
      </xdr:spPr>
    </xdr:pic>
    <xdr:clientData/>
  </xdr:oneCellAnchor>
  <xdr:oneCellAnchor>
    <xdr:from>
      <xdr:col>9</xdr:col>
      <xdr:colOff>138545</xdr:colOff>
      <xdr:row>194</xdr:row>
      <xdr:rowOff>86591</xdr:rowOff>
    </xdr:from>
    <xdr:ext cx="1755838" cy="900546"/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59880" y="196870955"/>
          <a:ext cx="1755775" cy="900430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13</xdr:row>
      <xdr:rowOff>281420</xdr:rowOff>
    </xdr:from>
    <xdr:ext cx="2190749" cy="563592"/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12940030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26</xdr:row>
      <xdr:rowOff>281420</xdr:rowOff>
    </xdr:from>
    <xdr:ext cx="2190749" cy="563592"/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26164540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25</xdr:row>
      <xdr:rowOff>281420</xdr:rowOff>
    </xdr:from>
    <xdr:ext cx="2190749" cy="563592"/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25147270"/>
          <a:ext cx="2190750" cy="563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158750</xdr:colOff>
      <xdr:row>11</xdr:row>
      <xdr:rowOff>152400</xdr:rowOff>
    </xdr:from>
    <xdr:to>
      <xdr:col>14</xdr:col>
      <xdr:colOff>243205</xdr:colOff>
      <xdr:row>20</xdr:row>
      <xdr:rowOff>69215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6825" y="3172460"/>
          <a:ext cx="34182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727075</xdr:colOff>
      <xdr:row>11</xdr:row>
      <xdr:rowOff>144145</xdr:rowOff>
    </xdr:from>
    <xdr:to>
      <xdr:col>12</xdr:col>
      <xdr:colOff>330835</xdr:colOff>
      <xdr:row>20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00" y="3164205"/>
          <a:ext cx="3394710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336550</xdr:colOff>
      <xdr:row>11</xdr:row>
      <xdr:rowOff>58420</xdr:rowOff>
    </xdr:from>
    <xdr:to>
      <xdr:col>11</xdr:col>
      <xdr:colOff>605155</xdr:colOff>
      <xdr:row>19</xdr:row>
      <xdr:rowOff>280035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7325" y="3078480"/>
          <a:ext cx="33928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336550</xdr:colOff>
      <xdr:row>11</xdr:row>
      <xdr:rowOff>58420</xdr:rowOff>
    </xdr:from>
    <xdr:to>
      <xdr:col>13</xdr:col>
      <xdr:colOff>229870</xdr:colOff>
      <xdr:row>19</xdr:row>
      <xdr:rowOff>280035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7325" y="3078480"/>
          <a:ext cx="3398520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</xdr:row>
          <xdr:rowOff>38100</xdr:rowOff>
        </xdr:from>
        <xdr:to>
          <xdr:col>9</xdr:col>
          <xdr:colOff>1152525</xdr:colOff>
          <xdr:row>8</xdr:row>
          <xdr:rowOff>209550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21</xdr:row>
          <xdr:rowOff>38100</xdr:rowOff>
        </xdr:from>
        <xdr:to>
          <xdr:col>9</xdr:col>
          <xdr:colOff>1152525</xdr:colOff>
          <xdr:row>22</xdr:row>
          <xdr:rowOff>209549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0215;/3&#12289;&#22352;&#26885;&#25253;&#20215;&#21333;/&#26446;&#23572;&#21457;&#27873;/BOM&#26356;&#26032;/&#21518;&#35270;&#38236;&#20135;&#21697;&#25104;&#26412;/&#21457;&#27873;/&#21508;&#27169;&#22359;&#36141;&#38144;&#28165;&#21333;&#30830;&#35748;-&#21457;&#27873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核算明细表 (更新)"/>
      <sheetName val="2022年生产数量"/>
      <sheetName val="浇注量及金额"/>
      <sheetName val="白料单价计算依据"/>
      <sheetName val="目标价格核算明细表"/>
      <sheetName val="湖南光华与客户订价方案"/>
      <sheetName val="销售产品清单"/>
      <sheetName val="采购物料清单"/>
      <sheetName val="数据有效性"/>
    </sheetNames>
    <sheetDataSet>
      <sheetData sheetId="0">
        <row r="2">
          <cell r="C2" t="str">
            <v>QAD代码</v>
          </cell>
          <cell r="D2" t="str">
            <v>QAD名称</v>
          </cell>
          <cell r="E2" t="str">
            <v>销售方式</v>
          </cell>
          <cell r="F2" t="str">
            <v>核算用单价</v>
          </cell>
          <cell r="G2" t="str">
            <v>定价依据</v>
          </cell>
          <cell r="H2" t="str">
            <v>备注</v>
          </cell>
          <cell r="I2" t="str">
            <v>混料浇注量</v>
          </cell>
          <cell r="J2" t="str">
            <v>系统料费</v>
          </cell>
          <cell r="K2" t="str">
            <v>混料单价</v>
          </cell>
        </row>
        <row r="3">
          <cell r="C3" t="str">
            <v>SLT0000168</v>
          </cell>
          <cell r="D3" t="str">
            <v>6486司机背泡沫</v>
          </cell>
          <cell r="E3" t="str">
            <v>内部</v>
          </cell>
          <cell r="F3">
            <v>44.91</v>
          </cell>
          <cell r="G3" t="str">
            <v>潍坊内部定价表</v>
          </cell>
          <cell r="J3">
            <v>13.986637020697</v>
          </cell>
        </row>
        <row r="4">
          <cell r="C4" t="str">
            <v>SLT0000421</v>
          </cell>
          <cell r="D4" t="str">
            <v>6486前翻6人背泡沫(三点式）</v>
          </cell>
          <cell r="E4" t="str">
            <v>内部</v>
          </cell>
          <cell r="F4">
            <v>88.84</v>
          </cell>
          <cell r="G4" t="str">
            <v>潍坊内部定价表</v>
          </cell>
          <cell r="I4">
            <v>2.6991900000000002</v>
          </cell>
          <cell r="J4">
            <v>29.178622874877799</v>
          </cell>
          <cell r="K4">
            <v>12.958379513854201</v>
          </cell>
        </row>
        <row r="5">
          <cell r="C5" t="str">
            <v>SLT0000422</v>
          </cell>
          <cell r="D5" t="str">
            <v>6486前翻6人座泡沫三点式</v>
          </cell>
          <cell r="E5" t="str">
            <v>内部</v>
          </cell>
          <cell r="F5">
            <v>33.92</v>
          </cell>
          <cell r="G5" t="str">
            <v>潍坊内部定价表</v>
          </cell>
          <cell r="I5">
            <v>1.9496100000000001</v>
          </cell>
          <cell r="J5">
            <v>22.200951436439102</v>
          </cell>
          <cell r="K5">
            <v>13.011274254850999</v>
          </cell>
        </row>
        <row r="6">
          <cell r="C6" t="str">
            <v>SLT0000169</v>
          </cell>
          <cell r="D6" t="str">
            <v>6486正司机垫泡沫（含骨架）短</v>
          </cell>
          <cell r="E6" t="str">
            <v>内部</v>
          </cell>
          <cell r="F6">
            <v>49.34</v>
          </cell>
          <cell r="G6" t="str">
            <v>潍坊内部定价表</v>
          </cell>
          <cell r="I6">
            <v>1.1000000000000001</v>
          </cell>
          <cell r="J6">
            <v>13.9488708014445</v>
          </cell>
          <cell r="K6">
            <v>12.8529</v>
          </cell>
        </row>
        <row r="7">
          <cell r="C7" t="str">
            <v>SLT0000228</v>
          </cell>
          <cell r="D7" t="str">
            <v>6486折叠座泡沫(新）</v>
          </cell>
          <cell r="E7" t="str">
            <v>内部</v>
          </cell>
          <cell r="F7">
            <v>9.82</v>
          </cell>
          <cell r="G7" t="str">
            <v>潍坊内部定价表</v>
          </cell>
          <cell r="I7">
            <v>0.55000000000000004</v>
          </cell>
          <cell r="J7">
            <v>5.8371328068799002</v>
          </cell>
          <cell r="K7">
            <v>12.8529</v>
          </cell>
        </row>
        <row r="8">
          <cell r="C8" t="str">
            <v>SLT0000205</v>
          </cell>
          <cell r="D8" t="str">
            <v>6486跨背泡沫(含骨架）</v>
          </cell>
          <cell r="E8" t="str">
            <v>内部</v>
          </cell>
          <cell r="F8">
            <v>29.15</v>
          </cell>
          <cell r="G8" t="str">
            <v>潍坊内部定价表</v>
          </cell>
          <cell r="I8">
            <v>0.5</v>
          </cell>
          <cell r="J8">
            <v>12.1365754264905</v>
          </cell>
          <cell r="K8">
            <v>14.30259</v>
          </cell>
        </row>
        <row r="9">
          <cell r="C9" t="str">
            <v>SLT0000489</v>
          </cell>
          <cell r="D9" t="str">
            <v>前翻10人背（三点式）泡沫</v>
          </cell>
          <cell r="E9" t="str">
            <v>内部</v>
          </cell>
          <cell r="F9">
            <v>114.19</v>
          </cell>
          <cell r="G9" t="str">
            <v>潍坊内部定价表</v>
          </cell>
          <cell r="I9">
            <v>2.8997099999999998</v>
          </cell>
          <cell r="J9">
            <v>44.029475025679901</v>
          </cell>
          <cell r="K9">
            <v>12.963960396039599</v>
          </cell>
        </row>
        <row r="10">
          <cell r="C10" t="str">
            <v>SLT0000488</v>
          </cell>
          <cell r="D10" t="str">
            <v>前翻十人座三点式</v>
          </cell>
          <cell r="E10" t="str">
            <v>内部</v>
          </cell>
          <cell r="F10">
            <v>44.14</v>
          </cell>
          <cell r="G10" t="str">
            <v>潍坊内部定价表</v>
          </cell>
          <cell r="I10">
            <v>1.9996</v>
          </cell>
          <cell r="J10">
            <v>29.244553732217</v>
          </cell>
          <cell r="K10">
            <v>12.9725575115023</v>
          </cell>
        </row>
        <row r="11">
          <cell r="C11" t="str">
            <v>SLT0000182</v>
          </cell>
          <cell r="D11" t="str">
            <v>6486副司机垫泡沫（含骨架）长</v>
          </cell>
          <cell r="E11" t="str">
            <v>内部</v>
          </cell>
          <cell r="F11">
            <v>49.34</v>
          </cell>
          <cell r="G11" t="str">
            <v>潍坊内部定价表</v>
          </cell>
          <cell r="J11">
            <v>13.949928926033399</v>
          </cell>
        </row>
        <row r="12">
          <cell r="C12" t="str">
            <v>SLT0000316</v>
          </cell>
          <cell r="D12" t="str">
            <v>K1司机背泡沫（宽车）</v>
          </cell>
          <cell r="E12" t="str">
            <v>内部</v>
          </cell>
          <cell r="F12">
            <v>20.76</v>
          </cell>
          <cell r="G12" t="str">
            <v>潍坊内部定价表</v>
          </cell>
          <cell r="I12">
            <v>1.1998800000000001</v>
          </cell>
          <cell r="J12">
            <v>12.9071389799192</v>
          </cell>
          <cell r="K12">
            <v>12.9480198019802</v>
          </cell>
        </row>
        <row r="13">
          <cell r="C13" t="str">
            <v>SLT0000317</v>
          </cell>
          <cell r="D13" t="str">
            <v>K1司机座泡沫（宽车）</v>
          </cell>
          <cell r="E13" t="str">
            <v>内部</v>
          </cell>
          <cell r="F13">
            <v>24.24</v>
          </cell>
          <cell r="G13" t="str">
            <v>潍坊内部定价表</v>
          </cell>
          <cell r="I13">
            <v>1.09978</v>
          </cell>
          <cell r="J13">
            <v>15.188785327125499</v>
          </cell>
          <cell r="K13">
            <v>12.931563312662499</v>
          </cell>
        </row>
        <row r="14">
          <cell r="C14" t="str">
            <v>SLT0000386</v>
          </cell>
          <cell r="D14" t="str">
            <v>K1乘客双人左背泡沫</v>
          </cell>
          <cell r="E14" t="str">
            <v>内部</v>
          </cell>
          <cell r="F14">
            <v>19.7</v>
          </cell>
          <cell r="G14" t="str">
            <v>潍坊内部定价表</v>
          </cell>
          <cell r="I14">
            <v>0.94981000000000004</v>
          </cell>
          <cell r="J14">
            <v>12.639824891369001</v>
          </cell>
          <cell r="K14">
            <v>12.942191438287701</v>
          </cell>
        </row>
        <row r="15">
          <cell r="C15" t="str">
            <v>SLT0000404</v>
          </cell>
          <cell r="D15" t="str">
            <v>K1单人座泡沫（左舵）</v>
          </cell>
          <cell r="E15" t="str">
            <v>内部</v>
          </cell>
          <cell r="F15">
            <v>18.86</v>
          </cell>
          <cell r="G15" t="str">
            <v>潍坊内部定价表</v>
          </cell>
          <cell r="I15">
            <v>0.84982999999999997</v>
          </cell>
          <cell r="J15">
            <v>11.443437533639999</v>
          </cell>
          <cell r="K15">
            <v>12.9011972394479</v>
          </cell>
        </row>
        <row r="16">
          <cell r="C16" t="str">
            <v>SLT0000405</v>
          </cell>
          <cell r="D16" t="str">
            <v>K1单人背泡沫</v>
          </cell>
          <cell r="E16" t="str">
            <v>内部</v>
          </cell>
          <cell r="F16">
            <v>17.010000000000002</v>
          </cell>
          <cell r="G16" t="str">
            <v>潍坊内部定价表</v>
          </cell>
          <cell r="I16">
            <v>0.9</v>
          </cell>
          <cell r="J16">
            <v>10.753724525887799</v>
          </cell>
          <cell r="K16">
            <v>12.946501650165001</v>
          </cell>
        </row>
        <row r="17">
          <cell r="C17" t="str">
            <v>SLT0000387</v>
          </cell>
          <cell r="D17" t="str">
            <v>K1乘客双人座泡沫（左舵）</v>
          </cell>
          <cell r="E17" t="str">
            <v>内部</v>
          </cell>
          <cell r="F17">
            <v>39.119999999999997</v>
          </cell>
          <cell r="G17" t="str">
            <v>潍坊内部定价表</v>
          </cell>
          <cell r="I17">
            <v>1.9994000000000001</v>
          </cell>
          <cell r="J17">
            <v>24.681456103873401</v>
          </cell>
          <cell r="K17">
            <v>12.991026307892399</v>
          </cell>
        </row>
        <row r="18">
          <cell r="C18" t="str">
            <v>SLT0000388</v>
          </cell>
          <cell r="D18" t="str">
            <v>K1乘客双人右背泡沫（三点式）</v>
          </cell>
          <cell r="E18" t="str">
            <v>内部</v>
          </cell>
          <cell r="F18">
            <v>19.53</v>
          </cell>
          <cell r="G18" t="str">
            <v>潍坊内部定价表</v>
          </cell>
          <cell r="I18">
            <v>0.94981000000000004</v>
          </cell>
          <cell r="J18">
            <v>12.630863415614099</v>
          </cell>
          <cell r="K18">
            <v>12.936877375475101</v>
          </cell>
        </row>
        <row r="19">
          <cell r="C19" t="str">
            <v>SLT0000443</v>
          </cell>
          <cell r="D19" t="str">
            <v>K1四人联体左背泡沫</v>
          </cell>
          <cell r="E19" t="str">
            <v>内部</v>
          </cell>
          <cell r="F19">
            <v>36.159999999999997</v>
          </cell>
          <cell r="G19" t="str">
            <v>潍坊内部定价表</v>
          </cell>
          <cell r="I19">
            <v>1.9996</v>
          </cell>
          <cell r="J19">
            <v>24.048696732811699</v>
          </cell>
          <cell r="K19">
            <v>12.9330816163233</v>
          </cell>
        </row>
        <row r="20">
          <cell r="C20" t="str">
            <v>SLT0000444</v>
          </cell>
          <cell r="D20" t="str">
            <v>K1四人联体左座泡沫</v>
          </cell>
          <cell r="E20" t="str">
            <v>内部</v>
          </cell>
          <cell r="F20">
            <v>37.49</v>
          </cell>
          <cell r="G20" t="str">
            <v>潍坊内部定价表</v>
          </cell>
          <cell r="I20">
            <v>1.9996</v>
          </cell>
          <cell r="J20">
            <v>24.044634014112201</v>
          </cell>
          <cell r="K20">
            <v>12.958133626725299</v>
          </cell>
        </row>
        <row r="21">
          <cell r="C21" t="str">
            <v>SLT0000556</v>
          </cell>
          <cell r="D21" t="str">
            <v>K1四人联体右背泡沫</v>
          </cell>
          <cell r="E21" t="str">
            <v>内部</v>
          </cell>
          <cell r="F21">
            <v>36.18</v>
          </cell>
          <cell r="G21" t="str">
            <v>潍坊内部定价表</v>
          </cell>
          <cell r="I21">
            <v>1.9996</v>
          </cell>
          <cell r="J21">
            <v>24.0653394734993</v>
          </cell>
          <cell r="K21">
            <v>12.9626885377075</v>
          </cell>
        </row>
        <row r="22">
          <cell r="C22" t="str">
            <v>SLT0000557</v>
          </cell>
          <cell r="D22" t="str">
            <v>K1四人联体右座泡沫</v>
          </cell>
          <cell r="E22" t="str">
            <v>内部</v>
          </cell>
          <cell r="F22">
            <v>33.82</v>
          </cell>
          <cell r="G22" t="str">
            <v>潍坊内部定价表</v>
          </cell>
          <cell r="I22">
            <v>1.9994000000000001</v>
          </cell>
          <cell r="J22">
            <v>21.522139986442301</v>
          </cell>
          <cell r="K22">
            <v>12.9568610583175</v>
          </cell>
        </row>
        <row r="23">
          <cell r="C23" t="str">
            <v>SLT0000510</v>
          </cell>
          <cell r="D23" t="str">
            <v>K1侧翻左座泡沫</v>
          </cell>
          <cell r="E23" t="str">
            <v>内部</v>
          </cell>
          <cell r="F23">
            <v>31.22</v>
          </cell>
          <cell r="G23" t="str">
            <v>潍坊内部定价表</v>
          </cell>
          <cell r="I23">
            <v>1.5498449999999999</v>
          </cell>
          <cell r="J23">
            <v>19.6008180784589</v>
          </cell>
          <cell r="K23">
            <v>12.969273927392701</v>
          </cell>
        </row>
        <row r="24">
          <cell r="C24" t="str">
            <v>SLT0000511</v>
          </cell>
          <cell r="D24" t="str">
            <v>K1侧翻左背泡沫</v>
          </cell>
          <cell r="E24" t="str">
            <v>内部</v>
          </cell>
          <cell r="F24">
            <v>33.53</v>
          </cell>
          <cell r="G24" t="str">
            <v>潍坊内部定价表</v>
          </cell>
          <cell r="I24">
            <v>1.6996599999999999</v>
          </cell>
          <cell r="J24">
            <v>22.206107790388799</v>
          </cell>
          <cell r="K24">
            <v>12.998368673734699</v>
          </cell>
        </row>
        <row r="25">
          <cell r="C25" t="str">
            <v>SLT0001132</v>
          </cell>
          <cell r="D25" t="str">
            <v>K1侧翻右背泡沫（窄体15人）</v>
          </cell>
          <cell r="E25" t="str">
            <v>内部</v>
          </cell>
          <cell r="F25">
            <v>0</v>
          </cell>
          <cell r="H25" t="str">
            <v>代码错误？</v>
          </cell>
          <cell r="J25" t="e">
            <v>#N/A</v>
          </cell>
        </row>
        <row r="26">
          <cell r="C26" t="str">
            <v>SLT0001863</v>
          </cell>
          <cell r="D26" t="str">
            <v>K1窄车右舵三人座泡沫</v>
          </cell>
          <cell r="E26" t="str">
            <v>内部</v>
          </cell>
          <cell r="F26">
            <v>46.98</v>
          </cell>
          <cell r="G26" t="str">
            <v>潍坊内部定价表</v>
          </cell>
          <cell r="I26">
            <v>1.4</v>
          </cell>
          <cell r="J26">
            <v>30.51583342304</v>
          </cell>
          <cell r="K26">
            <v>14.13561</v>
          </cell>
        </row>
        <row r="27">
          <cell r="C27" t="str">
            <v>SLT0001131</v>
          </cell>
          <cell r="D27" t="str">
            <v>窄车右舵双人座</v>
          </cell>
          <cell r="E27" t="str">
            <v>内部</v>
          </cell>
          <cell r="F27">
            <v>27.97</v>
          </cell>
          <cell r="G27" t="str">
            <v>潍坊内部定价表</v>
          </cell>
          <cell r="I27">
            <v>1.35</v>
          </cell>
          <cell r="J27">
            <v>17.0870634403107</v>
          </cell>
          <cell r="K27">
            <v>12.8529</v>
          </cell>
        </row>
        <row r="28">
          <cell r="C28" t="str">
            <v>SLT0001130</v>
          </cell>
          <cell r="D28" t="str">
            <v>窄车右舵单人座</v>
          </cell>
          <cell r="E28" t="str">
            <v>内部</v>
          </cell>
          <cell r="F28">
            <v>18.87</v>
          </cell>
          <cell r="G28" t="str">
            <v>潍坊内部定价表</v>
          </cell>
          <cell r="I28">
            <v>0.9</v>
          </cell>
          <cell r="J28">
            <v>11.3864681520557</v>
          </cell>
          <cell r="K28">
            <v>12.8529</v>
          </cell>
        </row>
        <row r="29">
          <cell r="C29" t="str">
            <v>SLT0000608</v>
          </cell>
          <cell r="D29" t="str">
            <v>K1乘客双人背泡沫（窄体）</v>
          </cell>
          <cell r="E29" t="str">
            <v>内部</v>
          </cell>
          <cell r="F29">
            <v>94.19</v>
          </cell>
          <cell r="G29" t="str">
            <v>潍坊内部定价表</v>
          </cell>
          <cell r="I29">
            <v>1.9496100000000001</v>
          </cell>
          <cell r="J29">
            <v>40.250212559403899</v>
          </cell>
          <cell r="K29">
            <v>12.9543378675735</v>
          </cell>
        </row>
        <row r="30">
          <cell r="C30" t="str">
            <v>SLT0000478</v>
          </cell>
          <cell r="D30" t="str">
            <v>K1三人背泡沫（窄体）</v>
          </cell>
          <cell r="E30" t="str">
            <v>内部</v>
          </cell>
          <cell r="F30">
            <v>105.57</v>
          </cell>
          <cell r="G30" t="str">
            <v>潍坊内部定价表</v>
          </cell>
          <cell r="I30">
            <v>1.45</v>
          </cell>
          <cell r="J30">
            <v>41.885853900477201</v>
          </cell>
          <cell r="K30">
            <v>14.150790000000001</v>
          </cell>
        </row>
        <row r="31">
          <cell r="C31" t="str">
            <v>SLT0000643</v>
          </cell>
          <cell r="D31" t="str">
            <v>K1单人座泡沫（窄体）</v>
          </cell>
          <cell r="E31" t="str">
            <v>内部</v>
          </cell>
          <cell r="F31">
            <v>15.34</v>
          </cell>
          <cell r="G31" t="str">
            <v>潍坊内部定价表</v>
          </cell>
          <cell r="I31">
            <v>0.69993000000000005</v>
          </cell>
          <cell r="J31">
            <v>9.0278140894530203</v>
          </cell>
          <cell r="K31">
            <v>12.977623762376201</v>
          </cell>
        </row>
        <row r="32">
          <cell r="C32" t="str">
            <v>SLT0000649</v>
          </cell>
          <cell r="D32" t="str">
            <v>K1侧翻左背（窄体15人）</v>
          </cell>
          <cell r="E32" t="str">
            <v>内部</v>
          </cell>
          <cell r="F32">
            <v>25.42</v>
          </cell>
          <cell r="G32" t="str">
            <v>潍坊内部定价表</v>
          </cell>
          <cell r="I32">
            <v>1.3</v>
          </cell>
          <cell r="J32">
            <v>16.4958903404446</v>
          </cell>
          <cell r="K32">
            <v>12.8529</v>
          </cell>
        </row>
        <row r="33">
          <cell r="C33" t="str">
            <v>SLT0000609</v>
          </cell>
          <cell r="D33" t="str">
            <v>K1乘客双人座泡沫（窄体）</v>
          </cell>
          <cell r="E33" t="str">
            <v>内部</v>
          </cell>
          <cell r="F33">
            <v>27.66</v>
          </cell>
          <cell r="G33" t="str">
            <v>潍坊内部定价表</v>
          </cell>
          <cell r="I33">
            <v>1.8496300000000001</v>
          </cell>
          <cell r="J33">
            <v>17.088343651132799</v>
          </cell>
          <cell r="K33">
            <v>12.961170234046801</v>
          </cell>
        </row>
        <row r="34">
          <cell r="C34" t="str">
            <v>SLT0000532</v>
          </cell>
          <cell r="D34" t="str">
            <v>K1侧翻右座泡沫</v>
          </cell>
          <cell r="E34" t="str">
            <v>内部</v>
          </cell>
          <cell r="F34">
            <v>34.25</v>
          </cell>
          <cell r="G34" t="str">
            <v>潍坊内部定价表</v>
          </cell>
          <cell r="I34">
            <v>1.5498449999999999</v>
          </cell>
          <cell r="J34">
            <v>19.5732935457834</v>
          </cell>
          <cell r="K34">
            <v>12.969273927392701</v>
          </cell>
        </row>
        <row r="35">
          <cell r="C35" t="str">
            <v>SLT0000533</v>
          </cell>
          <cell r="D35" t="str">
            <v>K1侧翻右背泡沫</v>
          </cell>
          <cell r="E35" t="str">
            <v>内部</v>
          </cell>
          <cell r="F35">
            <v>33.369999999999997</v>
          </cell>
          <cell r="G35" t="str">
            <v>潍坊内部定价表</v>
          </cell>
          <cell r="I35">
            <v>1.6996599999999999</v>
          </cell>
          <cell r="J35">
            <v>22.098570081330699</v>
          </cell>
          <cell r="K35">
            <v>12.998368673734699</v>
          </cell>
        </row>
        <row r="36">
          <cell r="C36" t="str">
            <v>SLT0000546</v>
          </cell>
          <cell r="D36" t="str">
            <v>一排四人连体座泡沫总成</v>
          </cell>
          <cell r="E36" t="str">
            <v>内部</v>
          </cell>
          <cell r="F36">
            <v>63.5</v>
          </cell>
          <cell r="G36" t="str">
            <v>潍坊内部定价表</v>
          </cell>
          <cell r="I36">
            <v>4</v>
          </cell>
          <cell r="J36">
            <v>41.769159649595203</v>
          </cell>
          <cell r="K36">
            <v>14.1432</v>
          </cell>
        </row>
        <row r="37">
          <cell r="C37" t="str">
            <v>SLT0000547</v>
          </cell>
          <cell r="D37" t="str">
            <v>一排四人连体三人背泡沫</v>
          </cell>
          <cell r="E37" t="str">
            <v>内部</v>
          </cell>
          <cell r="F37">
            <v>61.69</v>
          </cell>
          <cell r="G37" t="str">
            <v>潍坊内部定价表</v>
          </cell>
          <cell r="I37">
            <v>1.1950000000000001</v>
          </cell>
          <cell r="J37">
            <v>40.504281012882799</v>
          </cell>
          <cell r="K37">
            <v>14.1432</v>
          </cell>
        </row>
        <row r="38">
          <cell r="C38" t="str">
            <v>SLT0000561</v>
          </cell>
          <cell r="D38" t="str">
            <v>K1单人座泡沫（右舵）</v>
          </cell>
          <cell r="E38" t="str">
            <v>内部</v>
          </cell>
          <cell r="F38">
            <v>17.16</v>
          </cell>
          <cell r="G38" t="str">
            <v>潍坊内部定价表</v>
          </cell>
          <cell r="I38">
            <v>0.79984</v>
          </cell>
          <cell r="J38">
            <v>10.256846823146001</v>
          </cell>
          <cell r="K38">
            <v>12.9011972394479</v>
          </cell>
        </row>
        <row r="39">
          <cell r="C39" t="str">
            <v>SLT0000580</v>
          </cell>
          <cell r="D39" t="str">
            <v>K1乘客双人座泡沫（右舵）</v>
          </cell>
          <cell r="E39" t="str">
            <v>内部</v>
          </cell>
          <cell r="F39">
            <v>37.840000000000003</v>
          </cell>
          <cell r="G39" t="str">
            <v>潍坊内部定价表</v>
          </cell>
          <cell r="I39">
            <v>1.79982</v>
          </cell>
          <cell r="J39">
            <v>23.7845831713168</v>
          </cell>
          <cell r="K39">
            <v>12.973828382838301</v>
          </cell>
        </row>
        <row r="40">
          <cell r="C40" t="str">
            <v>SLT0000572</v>
          </cell>
          <cell r="D40" t="str">
            <v>K1乘客双人右背泡沫（右舵）</v>
          </cell>
          <cell r="E40" t="str">
            <v>内部</v>
          </cell>
          <cell r="F40">
            <v>19.690000000000001</v>
          </cell>
          <cell r="G40" t="str">
            <v>潍坊内部定价表</v>
          </cell>
          <cell r="I40">
            <v>0.94981000000000004</v>
          </cell>
          <cell r="J40">
            <v>12.630863415614099</v>
          </cell>
          <cell r="K40">
            <v>12.936877375475101</v>
          </cell>
        </row>
        <row r="41">
          <cell r="C41" t="str">
            <v>SLT0001857</v>
          </cell>
          <cell r="D41" t="str">
            <v>K1窄车侧翻右背泡沫15人</v>
          </cell>
          <cell r="E41" t="str">
            <v>内部</v>
          </cell>
          <cell r="F41">
            <v>32.450000000000003</v>
          </cell>
          <cell r="G41" t="str">
            <v>潍坊内部定价表</v>
          </cell>
          <cell r="J41">
            <v>21.4216434369058</v>
          </cell>
        </row>
        <row r="42">
          <cell r="C42" t="str">
            <v>SLT0000644</v>
          </cell>
          <cell r="D42" t="str">
            <v>K1单人背窄体三排</v>
          </cell>
          <cell r="E42" t="str">
            <v>内部</v>
          </cell>
          <cell r="F42">
            <v>56.55</v>
          </cell>
          <cell r="G42" t="str">
            <v>潍坊内部定价表</v>
          </cell>
          <cell r="I42">
            <v>0.89981999999999995</v>
          </cell>
          <cell r="J42">
            <v>20.4769726917031</v>
          </cell>
          <cell r="K42">
            <v>12.982426485297101</v>
          </cell>
        </row>
        <row r="43">
          <cell r="C43" t="str">
            <v>SLT0000652</v>
          </cell>
          <cell r="D43" t="str">
            <v>K1单人背窄体四排</v>
          </cell>
          <cell r="E43" t="str">
            <v>内部</v>
          </cell>
          <cell r="F43">
            <v>43.93</v>
          </cell>
          <cell r="G43" t="str">
            <v>潍坊内部定价表</v>
          </cell>
          <cell r="I43">
            <v>0.89981999999999995</v>
          </cell>
          <cell r="J43">
            <v>10.7571313942824</v>
          </cell>
          <cell r="K43">
            <v>12.982426485297101</v>
          </cell>
        </row>
        <row r="44">
          <cell r="C44" t="str">
            <v>SLT0000571</v>
          </cell>
          <cell r="D44" t="str">
            <v>K1一排三人座右舵</v>
          </cell>
          <cell r="E44" t="str">
            <v>内部</v>
          </cell>
          <cell r="F44">
            <v>54.46</v>
          </cell>
          <cell r="G44" t="str">
            <v>潍坊内部定价表</v>
          </cell>
          <cell r="I44">
            <v>3.4060000000000001</v>
          </cell>
          <cell r="J44">
            <v>35.440285728155899</v>
          </cell>
          <cell r="K44">
            <v>13.169647680563701</v>
          </cell>
        </row>
        <row r="45">
          <cell r="C45" t="str">
            <v>SLT0000479</v>
          </cell>
          <cell r="D45" t="str">
            <v>K1三人连体座窄车</v>
          </cell>
          <cell r="E45" t="str">
            <v>内部</v>
          </cell>
          <cell r="F45">
            <v>46.98</v>
          </cell>
          <cell r="G45" t="str">
            <v>潍坊内部定价表</v>
          </cell>
          <cell r="I45">
            <v>2.9</v>
          </cell>
          <cell r="J45">
            <v>30.51583342304</v>
          </cell>
          <cell r="K45">
            <v>12.960678</v>
          </cell>
        </row>
        <row r="46">
          <cell r="C46" t="str">
            <v>SLT0002034</v>
          </cell>
          <cell r="D46" t="str">
            <v>K1一排四人座泡沫</v>
          </cell>
          <cell r="E46" t="str">
            <v>内部</v>
          </cell>
          <cell r="F46">
            <v>65.16</v>
          </cell>
          <cell r="G46" t="str">
            <v>潍坊内部定价表</v>
          </cell>
          <cell r="I46">
            <v>2.95</v>
          </cell>
          <cell r="J46">
            <v>41.769159649595203</v>
          </cell>
          <cell r="K46">
            <v>12.8529</v>
          </cell>
        </row>
        <row r="47">
          <cell r="C47" t="str">
            <v>SLT0002035</v>
          </cell>
          <cell r="D47" t="str">
            <v>K1一排四人联体三人背泡沫</v>
          </cell>
          <cell r="E47" t="str">
            <v>内部</v>
          </cell>
          <cell r="F47">
            <v>61.69</v>
          </cell>
          <cell r="G47" t="str">
            <v>潍坊内部定价表</v>
          </cell>
          <cell r="I47">
            <v>2.86</v>
          </cell>
          <cell r="J47">
            <v>40.504281012882799</v>
          </cell>
          <cell r="K47">
            <v>12.8529</v>
          </cell>
        </row>
        <row r="48">
          <cell r="C48" t="str">
            <v>SLT0000467</v>
          </cell>
          <cell r="D48" t="str">
            <v>K1乘客一排三人座分体左新</v>
          </cell>
          <cell r="E48" t="str">
            <v>内部</v>
          </cell>
          <cell r="F48">
            <v>57.61</v>
          </cell>
          <cell r="G48" t="str">
            <v>潍坊内部定价表</v>
          </cell>
          <cell r="I48">
            <v>3</v>
          </cell>
          <cell r="J48">
            <v>37.971963317813803</v>
          </cell>
          <cell r="K48">
            <v>12.8529</v>
          </cell>
        </row>
        <row r="49">
          <cell r="C49" t="str">
            <v>SLT0002477</v>
          </cell>
          <cell r="D49" t="str">
            <v>1730副司机座泡沫</v>
          </cell>
          <cell r="E49" t="str">
            <v>模块内</v>
          </cell>
          <cell r="F49">
            <v>82.27</v>
          </cell>
          <cell r="G49" t="str">
            <v>材料成本/0.7</v>
          </cell>
          <cell r="I49">
            <v>3</v>
          </cell>
          <cell r="J49">
            <v>35.580468813178001</v>
          </cell>
          <cell r="K49">
            <v>13.129215686274501</v>
          </cell>
        </row>
        <row r="50">
          <cell r="C50" t="str">
            <v>SLT0002478</v>
          </cell>
          <cell r="D50" t="str">
            <v>1730小背泡沫</v>
          </cell>
          <cell r="E50" t="str">
            <v>模块内</v>
          </cell>
          <cell r="F50">
            <v>10.39</v>
          </cell>
          <cell r="G50" t="str">
            <v>材料成本/0.7</v>
          </cell>
          <cell r="I50">
            <v>0.39995999999999998</v>
          </cell>
          <cell r="J50">
            <v>5.7217187668199996</v>
          </cell>
          <cell r="K50">
            <v>12.930561056105599</v>
          </cell>
        </row>
        <row r="51">
          <cell r="C51" t="str">
            <v>SLT0000661</v>
          </cell>
          <cell r="D51" t="str">
            <v>K1中间座泡沫（窄体）</v>
          </cell>
          <cell r="E51" t="str">
            <v>内部</v>
          </cell>
          <cell r="F51">
            <v>12.79</v>
          </cell>
          <cell r="G51" t="str">
            <v>潍坊内部定价表</v>
          </cell>
          <cell r="I51">
            <v>0.54988999999999999</v>
          </cell>
          <cell r="J51">
            <v>7.5751895012309598</v>
          </cell>
          <cell r="K51">
            <v>12.9945729145829</v>
          </cell>
        </row>
        <row r="52">
          <cell r="C52" t="str">
            <v>SLT0000662</v>
          </cell>
          <cell r="D52" t="str">
            <v>K1中间背泡沫（窄体）</v>
          </cell>
          <cell r="E52" t="str">
            <v>内部</v>
          </cell>
          <cell r="F52">
            <v>12.36</v>
          </cell>
          <cell r="G52" t="str">
            <v>潍坊内部定价表</v>
          </cell>
          <cell r="I52">
            <v>0.57994199999999996</v>
          </cell>
          <cell r="J52">
            <v>7.6084749826060802</v>
          </cell>
          <cell r="K52">
            <v>12.9867326732673</v>
          </cell>
        </row>
        <row r="53">
          <cell r="C53" t="str">
            <v>SLT0000344</v>
          </cell>
          <cell r="D53" t="str">
            <v>K1司机座泡沫（窄体)460</v>
          </cell>
          <cell r="E53" t="str">
            <v>内部</v>
          </cell>
          <cell r="F53">
            <v>22.33</v>
          </cell>
          <cell r="G53" t="str">
            <v>潍坊内部定价表</v>
          </cell>
          <cell r="I53">
            <v>1.04979</v>
          </cell>
          <cell r="J53">
            <v>13.9232665850021</v>
          </cell>
          <cell r="K53">
            <v>12.9642068413683</v>
          </cell>
        </row>
        <row r="54">
          <cell r="C54" t="str">
            <v>SLT0000345</v>
          </cell>
          <cell r="D54" t="str">
            <v>K1司机背泡沫（窄体)460</v>
          </cell>
          <cell r="E54" t="str">
            <v>内部</v>
          </cell>
          <cell r="F54">
            <v>21.26</v>
          </cell>
          <cell r="G54" t="str">
            <v>潍坊内部定价表</v>
          </cell>
          <cell r="I54">
            <v>0.99990000000000001</v>
          </cell>
          <cell r="J54">
            <v>13.2702459270196</v>
          </cell>
          <cell r="K54">
            <v>12.954851485148501</v>
          </cell>
        </row>
        <row r="55">
          <cell r="C55" t="str">
            <v>SLT0000626</v>
          </cell>
          <cell r="D55" t="str">
            <v>K1窄车三排三人座泡沫</v>
          </cell>
          <cell r="E55" t="str">
            <v>内部</v>
          </cell>
          <cell r="F55">
            <v>60.99</v>
          </cell>
          <cell r="G55" t="str">
            <v>潍坊内部定价表</v>
          </cell>
          <cell r="I55">
            <v>2.9996999999999998</v>
          </cell>
          <cell r="J55">
            <v>40.323131181552803</v>
          </cell>
          <cell r="K55">
            <v>12.905511551155101</v>
          </cell>
        </row>
        <row r="56">
          <cell r="C56" t="str">
            <v>SLT0000627</v>
          </cell>
          <cell r="D56" t="str">
            <v>K1窄车三排三人背泡沫</v>
          </cell>
          <cell r="E56" t="str">
            <v>内部</v>
          </cell>
          <cell r="F56">
            <v>61.8</v>
          </cell>
          <cell r="G56" t="str">
            <v>潍坊内部定价表</v>
          </cell>
          <cell r="I56">
            <v>3.19936</v>
          </cell>
          <cell r="J56">
            <v>41.885839594632799</v>
          </cell>
          <cell r="K56">
            <v>12.957374474894999</v>
          </cell>
        </row>
        <row r="57">
          <cell r="C57" t="str">
            <v>SLT0000600</v>
          </cell>
          <cell r="D57" t="str">
            <v>K1窄车12座侧翻左背泡沫</v>
          </cell>
          <cell r="E57" t="str">
            <v>内部</v>
          </cell>
          <cell r="F57">
            <v>24.41</v>
          </cell>
          <cell r="G57" t="str">
            <v>潍坊内部定价表</v>
          </cell>
          <cell r="I57">
            <v>1.3497300000000001</v>
          </cell>
          <cell r="J57">
            <v>15.788259216812101</v>
          </cell>
          <cell r="K57">
            <v>12.9566153230646</v>
          </cell>
        </row>
        <row r="58">
          <cell r="C58" t="str">
            <v>SLT0000601</v>
          </cell>
          <cell r="D58" t="str">
            <v>K1窄车12座侧翻左座泡沫</v>
          </cell>
          <cell r="E58" t="str">
            <v>内部</v>
          </cell>
          <cell r="F58">
            <v>23.72</v>
          </cell>
          <cell r="G58" t="str">
            <v>潍坊内部定价表</v>
          </cell>
          <cell r="I58">
            <v>1.049685</v>
          </cell>
          <cell r="J58">
            <v>14.556025956063801</v>
          </cell>
          <cell r="K58">
            <v>12.9598979693908</v>
          </cell>
        </row>
        <row r="59">
          <cell r="C59" t="str">
            <v>SLT0000589</v>
          </cell>
          <cell r="D59" t="str">
            <v>K1窄车12座侧翻右背泡沫</v>
          </cell>
          <cell r="E59" t="str">
            <v>内部</v>
          </cell>
          <cell r="F59">
            <v>24.45</v>
          </cell>
          <cell r="G59" t="str">
            <v>潍坊内部定价表</v>
          </cell>
          <cell r="I59">
            <v>1.3497300000000001</v>
          </cell>
          <cell r="J59">
            <v>15.816645941131901</v>
          </cell>
          <cell r="K59">
            <v>12.9566153230646</v>
          </cell>
        </row>
        <row r="60">
          <cell r="C60" t="str">
            <v>SLT0000590</v>
          </cell>
          <cell r="D60" t="str">
            <v>K1窄车12座侧翻右座泡沫</v>
          </cell>
          <cell r="E60" t="str">
            <v>内部</v>
          </cell>
          <cell r="F60">
            <v>22.92</v>
          </cell>
          <cell r="G60" t="str">
            <v>潍坊内部定价表</v>
          </cell>
          <cell r="I60">
            <v>1.049685</v>
          </cell>
          <cell r="J60">
            <v>14.556025956063801</v>
          </cell>
          <cell r="K60">
            <v>12.9598979693908</v>
          </cell>
        </row>
        <row r="61">
          <cell r="C61" t="str">
            <v>SLT0001043</v>
          </cell>
          <cell r="D61" t="str">
            <v>K1右舵双人左靠背泡沫（出口马来）</v>
          </cell>
          <cell r="E61" t="str">
            <v>内部</v>
          </cell>
          <cell r="F61">
            <v>19.809999999999999</v>
          </cell>
          <cell r="G61" t="str">
            <v>潍坊内部定价表</v>
          </cell>
          <cell r="I61">
            <v>0.84991499999999998</v>
          </cell>
          <cell r="J61">
            <v>12.7179177515183</v>
          </cell>
          <cell r="K61">
            <v>12.959405940594101</v>
          </cell>
        </row>
        <row r="62">
          <cell r="C62" t="str">
            <v>SLT0001053</v>
          </cell>
          <cell r="D62" t="str">
            <v>K1右舵单人座泡沫（出口马来）</v>
          </cell>
          <cell r="E62" t="str">
            <v>内部</v>
          </cell>
          <cell r="F62">
            <v>26.33</v>
          </cell>
          <cell r="G62" t="str">
            <v>潍坊内部定价表</v>
          </cell>
          <cell r="I62">
            <v>0.86982599999999999</v>
          </cell>
          <cell r="J62">
            <v>16.538127533640001</v>
          </cell>
          <cell r="K62">
            <v>12.986981396279299</v>
          </cell>
        </row>
        <row r="63">
          <cell r="C63" t="str">
            <v>SLT0001044</v>
          </cell>
          <cell r="D63" t="str">
            <v>K1右舵双人右靠背泡沫（出口马来）</v>
          </cell>
          <cell r="E63" t="str">
            <v>内部</v>
          </cell>
          <cell r="F63">
            <v>19.809999999999999</v>
          </cell>
          <cell r="G63" t="str">
            <v>潍坊内部定价表</v>
          </cell>
          <cell r="I63">
            <v>0.84991499999999998</v>
          </cell>
          <cell r="J63">
            <v>12.714717224463</v>
          </cell>
          <cell r="K63">
            <v>12.959405940594101</v>
          </cell>
        </row>
        <row r="64">
          <cell r="C64" t="str">
            <v>SLT0001045</v>
          </cell>
          <cell r="D64" t="str">
            <v>K1右舵双人座泡沫（出口马来）</v>
          </cell>
          <cell r="E64" t="str">
            <v>内部</v>
          </cell>
          <cell r="F64">
            <v>39.18</v>
          </cell>
          <cell r="G64" t="str">
            <v>潍坊内部定价表</v>
          </cell>
          <cell r="I64">
            <v>1.7996399999999999</v>
          </cell>
          <cell r="J64">
            <v>24.725911412824001</v>
          </cell>
          <cell r="K64">
            <v>12.963447689537899</v>
          </cell>
        </row>
        <row r="65">
          <cell r="C65" t="str">
            <v>SLT0000484</v>
          </cell>
          <cell r="D65" t="str">
            <v>KI5990二、三排双人座泡沫</v>
          </cell>
          <cell r="E65" t="str">
            <v>内部</v>
          </cell>
          <cell r="F65">
            <v>37.770000000000003</v>
          </cell>
          <cell r="G65" t="str">
            <v>潍坊内部定价表</v>
          </cell>
          <cell r="I65">
            <v>1.9994000000000001</v>
          </cell>
          <cell r="J65">
            <v>23.9417991291647</v>
          </cell>
          <cell r="K65">
            <v>12.981915574672399</v>
          </cell>
        </row>
        <row r="66">
          <cell r="C66" t="str">
            <v>SLT0000031</v>
          </cell>
          <cell r="D66" t="str">
            <v>欧马可正司机背泡沫</v>
          </cell>
          <cell r="E66" t="str">
            <v>模块内</v>
          </cell>
          <cell r="F66">
            <v>24.64</v>
          </cell>
          <cell r="G66" t="str">
            <v>材料成本/0.7</v>
          </cell>
          <cell r="I66">
            <v>1.35</v>
          </cell>
          <cell r="J66">
            <v>16.454304069249002</v>
          </cell>
          <cell r="K66">
            <v>14.1432</v>
          </cell>
        </row>
        <row r="67">
          <cell r="C67" t="str">
            <v>SLT0000032</v>
          </cell>
          <cell r="D67" t="str">
            <v>欧马可正司机座泡沫</v>
          </cell>
          <cell r="E67" t="str">
            <v>模块内</v>
          </cell>
          <cell r="F67">
            <v>21.2</v>
          </cell>
          <cell r="G67" t="str">
            <v>材料成本/0.7</v>
          </cell>
          <cell r="I67">
            <v>1.1000000000000001</v>
          </cell>
          <cell r="J67">
            <v>13.320570868212201</v>
          </cell>
          <cell r="K67">
            <v>14.22669</v>
          </cell>
        </row>
        <row r="68">
          <cell r="C68" t="str">
            <v>SLT0000072</v>
          </cell>
          <cell r="D68" t="str">
            <v>欧马可副司机座泡沫1800</v>
          </cell>
          <cell r="E68" t="str">
            <v>模块内</v>
          </cell>
          <cell r="F68">
            <v>34.43</v>
          </cell>
          <cell r="G68" t="str">
            <v>材料成本/0.7</v>
          </cell>
          <cell r="J68">
            <v>22.835666634395199</v>
          </cell>
        </row>
        <row r="69">
          <cell r="C69" t="str">
            <v>SLT0000004</v>
          </cell>
          <cell r="D69" t="str">
            <v>右舵1695副司机背泡沫</v>
          </cell>
          <cell r="E69" t="str">
            <v>模块内</v>
          </cell>
          <cell r="F69">
            <v>30.02</v>
          </cell>
          <cell r="G69" t="str">
            <v>材料成本/0.7</v>
          </cell>
          <cell r="J69">
            <v>19.589714408384101</v>
          </cell>
        </row>
        <row r="70">
          <cell r="C70" t="str">
            <v>SLT0000718</v>
          </cell>
          <cell r="D70" t="str">
            <v>右舵1695副司机座泡沫</v>
          </cell>
          <cell r="E70" t="str">
            <v>模块内</v>
          </cell>
          <cell r="F70">
            <v>70.930000000000007</v>
          </cell>
          <cell r="G70" t="str">
            <v>材料成本/0.7</v>
          </cell>
          <cell r="I70">
            <v>2</v>
          </cell>
          <cell r="J70">
            <v>25.9533744716393</v>
          </cell>
          <cell r="K70">
            <v>14.150790000000001</v>
          </cell>
        </row>
        <row r="71">
          <cell r="C71" t="str">
            <v>SLT0000071</v>
          </cell>
          <cell r="D71" t="str">
            <v>欧马可副司机小背泡沫1800</v>
          </cell>
          <cell r="E71" t="str">
            <v>模块内</v>
          </cell>
          <cell r="F71">
            <v>12.04</v>
          </cell>
          <cell r="G71" t="str">
            <v>材料成本/0.7</v>
          </cell>
          <cell r="I71">
            <v>0.5</v>
          </cell>
          <cell r="J71">
            <v>6.9437564434796997</v>
          </cell>
          <cell r="K71">
            <v>14.05212</v>
          </cell>
        </row>
        <row r="72">
          <cell r="C72" t="str">
            <v>SLT0000151</v>
          </cell>
          <cell r="D72" t="str">
            <v>欧马可副司机背泡沫1995</v>
          </cell>
          <cell r="E72" t="str">
            <v>模块内</v>
          </cell>
          <cell r="F72">
            <v>23.72</v>
          </cell>
          <cell r="G72" t="str">
            <v>材料成本/0.7</v>
          </cell>
          <cell r="I72">
            <v>1.3</v>
          </cell>
          <cell r="J72">
            <v>15.180320330414</v>
          </cell>
          <cell r="K72">
            <v>14.150790000000001</v>
          </cell>
        </row>
        <row r="73">
          <cell r="C73" t="str">
            <v>SLT0000152</v>
          </cell>
          <cell r="D73" t="str">
            <v>欧马可副司机小背泡沫1995</v>
          </cell>
          <cell r="E73" t="str">
            <v>模块内</v>
          </cell>
          <cell r="F73">
            <v>13.36</v>
          </cell>
          <cell r="G73" t="str">
            <v>材料成本/0.7</v>
          </cell>
          <cell r="I73">
            <v>0.7</v>
          </cell>
          <cell r="J73">
            <v>7.6093633275387997</v>
          </cell>
          <cell r="K73">
            <v>12.9267346938776</v>
          </cell>
        </row>
        <row r="74">
          <cell r="C74" t="str">
            <v>SLT0000153</v>
          </cell>
          <cell r="D74" t="str">
            <v>欧马可副司机座泡沫1995</v>
          </cell>
          <cell r="E74" t="str">
            <v>模块内</v>
          </cell>
          <cell r="F74">
            <v>91.58</v>
          </cell>
          <cell r="G74" t="str">
            <v>材料成本/0.7</v>
          </cell>
          <cell r="I74">
            <v>3.3996599999999999</v>
          </cell>
          <cell r="J74">
            <v>37.106819529248803</v>
          </cell>
          <cell r="K74">
            <v>12.957128712871301</v>
          </cell>
        </row>
        <row r="75">
          <cell r="C75" t="str">
            <v>SLT0000752</v>
          </cell>
          <cell r="D75" t="str">
            <v>1800副司机座泡沫（半圆角）119</v>
          </cell>
          <cell r="E75" t="str">
            <v>模块内</v>
          </cell>
          <cell r="F75">
            <v>34.93</v>
          </cell>
          <cell r="G75" t="str">
            <v>材料成本/0.7</v>
          </cell>
          <cell r="I75">
            <v>1.7996399999999999</v>
          </cell>
          <cell r="J75">
            <v>22.778057147399799</v>
          </cell>
          <cell r="K75">
            <v>13.001405281056201</v>
          </cell>
        </row>
        <row r="76">
          <cell r="C76" t="str">
            <v>SLT0000019</v>
          </cell>
          <cell r="D76" t="str">
            <v>右舵司机背泡沫      圆</v>
          </cell>
          <cell r="E76" t="str">
            <v>模块内</v>
          </cell>
          <cell r="F76">
            <v>24.64</v>
          </cell>
          <cell r="G76" t="str">
            <v>材料成本/0.7</v>
          </cell>
          <cell r="I76">
            <v>1.2</v>
          </cell>
          <cell r="J76">
            <v>16.454304069249002</v>
          </cell>
          <cell r="K76">
            <v>13.991400000000001</v>
          </cell>
        </row>
        <row r="77">
          <cell r="C77" t="str">
            <v>SLT0000070</v>
          </cell>
          <cell r="D77" t="str">
            <v>欧马可左舵1800副背</v>
          </cell>
          <cell r="E77" t="str">
            <v>模块内</v>
          </cell>
          <cell r="F77">
            <v>25.4</v>
          </cell>
          <cell r="G77" t="str">
            <v>材料成本/0.7</v>
          </cell>
          <cell r="J77">
            <v>16.4632655450038</v>
          </cell>
        </row>
        <row r="78">
          <cell r="C78" t="str">
            <v>SLT0000047</v>
          </cell>
          <cell r="D78" t="str">
            <v>右舵司机座泡沫(不带骨架)</v>
          </cell>
          <cell r="E78" t="str">
            <v>模块内</v>
          </cell>
          <cell r="F78">
            <v>20.98</v>
          </cell>
          <cell r="G78" t="str">
            <v>材料成本/0.7</v>
          </cell>
          <cell r="I78">
            <v>1</v>
          </cell>
          <cell r="J78">
            <v>13.943749958155999</v>
          </cell>
          <cell r="K78">
            <v>14.120430000000001</v>
          </cell>
        </row>
        <row r="79">
          <cell r="C79" t="str">
            <v>SLT0000087</v>
          </cell>
          <cell r="D79" t="str">
            <v>右舵1800副司机背泡沫</v>
          </cell>
          <cell r="E79" t="str">
            <v>模块内</v>
          </cell>
          <cell r="F79">
            <v>19.920000000000002</v>
          </cell>
          <cell r="G79" t="str">
            <v>材料成本/0.7</v>
          </cell>
          <cell r="I79">
            <v>1</v>
          </cell>
          <cell r="J79">
            <v>12.630863415614099</v>
          </cell>
          <cell r="K79">
            <v>14.07489</v>
          </cell>
        </row>
        <row r="80">
          <cell r="C80" t="str">
            <v>SLT0000088</v>
          </cell>
          <cell r="D80" t="str">
            <v>右舵1800副司机小背泡沫</v>
          </cell>
          <cell r="E80" t="str">
            <v>模块内</v>
          </cell>
          <cell r="F80">
            <v>12.03</v>
          </cell>
          <cell r="G80" t="str">
            <v>材料成本/0.7</v>
          </cell>
          <cell r="I80">
            <v>0.5</v>
          </cell>
          <cell r="J80">
            <v>6.9387592773591003</v>
          </cell>
          <cell r="K80">
            <v>13.998989999999999</v>
          </cell>
        </row>
        <row r="81">
          <cell r="C81" t="str">
            <v>SLT0000089</v>
          </cell>
          <cell r="D81" t="str">
            <v>右舵1800副司机座泡沫</v>
          </cell>
          <cell r="E81" t="str">
            <v>模块内</v>
          </cell>
          <cell r="F81">
            <v>42.49</v>
          </cell>
          <cell r="G81" t="str">
            <v>材料成本/0.7</v>
          </cell>
          <cell r="I81">
            <v>2.5</v>
          </cell>
          <cell r="J81">
            <v>28.478652435654801</v>
          </cell>
          <cell r="K81">
            <v>14.097659999999999</v>
          </cell>
        </row>
        <row r="82">
          <cell r="C82" t="str">
            <v>SLT0000135</v>
          </cell>
          <cell r="D82" t="str">
            <v>右舵1995副司机背泡沫</v>
          </cell>
          <cell r="E82" t="str">
            <v>模块内</v>
          </cell>
          <cell r="F82">
            <v>22.85</v>
          </cell>
          <cell r="G82" t="str">
            <v>材料成本/0.7</v>
          </cell>
          <cell r="J82">
            <v>14.573008256063799</v>
          </cell>
        </row>
        <row r="83">
          <cell r="C83" t="str">
            <v>SLT0000136</v>
          </cell>
          <cell r="D83" t="str">
            <v>右舵1995副小背正面一道横</v>
          </cell>
          <cell r="E83" t="str">
            <v>模块内</v>
          </cell>
          <cell r="F83">
            <v>13.78</v>
          </cell>
          <cell r="G83" t="str">
            <v>材料成本/0.7</v>
          </cell>
          <cell r="I83">
            <v>0.7</v>
          </cell>
          <cell r="J83">
            <v>8.1644217043406009</v>
          </cell>
          <cell r="K83">
            <v>14.090070000000001</v>
          </cell>
        </row>
        <row r="84">
          <cell r="C84" t="str">
            <v>SLT0000137</v>
          </cell>
          <cell r="D84" t="str">
            <v>右舵1995副司机座泡沫（不含骨架）</v>
          </cell>
          <cell r="E84" t="str">
            <v>模块内</v>
          </cell>
          <cell r="F84">
            <v>54.18</v>
          </cell>
          <cell r="G84" t="str">
            <v>材料成本/0.7</v>
          </cell>
          <cell r="I84">
            <v>3</v>
          </cell>
          <cell r="J84">
            <v>36.665273678361103</v>
          </cell>
          <cell r="K84">
            <v>14.11284</v>
          </cell>
        </row>
        <row r="85">
          <cell r="C85" t="str">
            <v>SLT0000725</v>
          </cell>
          <cell r="D85" t="str">
            <v>奥铃升级副司机背泡沫1995</v>
          </cell>
          <cell r="E85" t="str">
            <v>模块内</v>
          </cell>
          <cell r="F85">
            <v>27.43</v>
          </cell>
          <cell r="G85" t="str">
            <v>材料成本/0.7</v>
          </cell>
          <cell r="I85">
            <v>1.3497300000000001</v>
          </cell>
          <cell r="J85">
            <v>17.067220172567801</v>
          </cell>
          <cell r="K85">
            <v>12.9778715743149</v>
          </cell>
        </row>
        <row r="86">
          <cell r="C86" t="str">
            <v>SLT0000726</v>
          </cell>
          <cell r="D86" t="str">
            <v>奥铃升级副司机座泡沫1995</v>
          </cell>
          <cell r="E86" t="str">
            <v>模块内</v>
          </cell>
          <cell r="F86">
            <v>55.38</v>
          </cell>
          <cell r="G86" t="str">
            <v>材料成本/0.7</v>
          </cell>
          <cell r="I86">
            <v>2.8994200000000001</v>
          </cell>
          <cell r="J86">
            <v>37.376669619905996</v>
          </cell>
          <cell r="K86">
            <v>12.9702800560112</v>
          </cell>
        </row>
        <row r="87">
          <cell r="C87" t="str">
            <v>SLT0000813</v>
          </cell>
          <cell r="D87" t="str">
            <v>M4-1880副司机座泡沫</v>
          </cell>
          <cell r="E87" t="str">
            <v>模块内</v>
          </cell>
          <cell r="F87">
            <v>82.02</v>
          </cell>
          <cell r="G87" t="str">
            <v>材料成本/0.7</v>
          </cell>
          <cell r="I87">
            <v>3.09938</v>
          </cell>
          <cell r="J87">
            <v>39.264366487201798</v>
          </cell>
          <cell r="K87">
            <v>13.169936987397501</v>
          </cell>
        </row>
        <row r="88">
          <cell r="C88" t="str">
            <v>SLT0000814</v>
          </cell>
          <cell r="D88" t="str">
            <v>M4-1880小背泡沫</v>
          </cell>
          <cell r="E88" t="str">
            <v>模块内</v>
          </cell>
          <cell r="F88">
            <v>14.01</v>
          </cell>
          <cell r="G88" t="str">
            <v>材料成本/0.7</v>
          </cell>
          <cell r="I88">
            <v>0.49990000000000001</v>
          </cell>
          <cell r="J88">
            <v>8.2194707696917604</v>
          </cell>
          <cell r="K88">
            <v>12.931563312662499</v>
          </cell>
        </row>
        <row r="89">
          <cell r="C89" t="str">
            <v>SLT0000824</v>
          </cell>
          <cell r="D89" t="str">
            <v>M4-卧铺1880泡沫</v>
          </cell>
          <cell r="E89" t="str">
            <v>模块内</v>
          </cell>
          <cell r="F89">
            <v>55.74</v>
          </cell>
          <cell r="G89" t="str">
            <v>材料成本/0.7</v>
          </cell>
          <cell r="I89">
            <v>2.7997200000000002</v>
          </cell>
          <cell r="J89">
            <v>37.980284688157603</v>
          </cell>
          <cell r="K89">
            <v>12.9768646864686</v>
          </cell>
        </row>
        <row r="90">
          <cell r="C90" t="str">
            <v>SLT0000776</v>
          </cell>
          <cell r="D90" t="str">
            <v>M4-正司机座泡沫</v>
          </cell>
          <cell r="E90" t="str">
            <v>模块内</v>
          </cell>
          <cell r="F90">
            <v>20.260000000000002</v>
          </cell>
          <cell r="G90" t="str">
            <v>材料成本/0.7</v>
          </cell>
          <cell r="I90">
            <v>1.04979</v>
          </cell>
          <cell r="J90">
            <v>12.661588475345001</v>
          </cell>
          <cell r="K90">
            <v>12.990018003600699</v>
          </cell>
        </row>
        <row r="91">
          <cell r="C91" t="str">
            <v>SLT0000777</v>
          </cell>
          <cell r="D91" t="str">
            <v>M4-正司机背泡沫</v>
          </cell>
          <cell r="E91" t="str">
            <v>模块内</v>
          </cell>
          <cell r="F91">
            <v>28.46</v>
          </cell>
          <cell r="G91" t="str">
            <v>材料成本/0.7</v>
          </cell>
          <cell r="I91">
            <v>1.449565</v>
          </cell>
          <cell r="J91">
            <v>18.453718837381601</v>
          </cell>
          <cell r="K91">
            <v>12.984952485745699</v>
          </cell>
        </row>
        <row r="92">
          <cell r="C92" t="str">
            <v>SLT0000794</v>
          </cell>
          <cell r="D92" t="str">
            <v>M4-2060副司机座泡沫</v>
          </cell>
          <cell r="E92" t="str">
            <v>模块内</v>
          </cell>
          <cell r="F92">
            <v>85.82</v>
          </cell>
          <cell r="G92" t="str">
            <v>材料成本/0.7</v>
          </cell>
          <cell r="I92">
            <v>3.2996699999999999</v>
          </cell>
          <cell r="J92">
            <v>40.913948475961199</v>
          </cell>
          <cell r="K92">
            <v>13.0573267326733</v>
          </cell>
        </row>
        <row r="93">
          <cell r="C93" t="str">
            <v>SLT0000795</v>
          </cell>
          <cell r="D93" t="str">
            <v>M4-副司机背泡沫</v>
          </cell>
          <cell r="E93" t="str">
            <v>模块内</v>
          </cell>
          <cell r="F93">
            <v>26.4</v>
          </cell>
          <cell r="G93" t="str">
            <v>材料成本/0.7</v>
          </cell>
          <cell r="I93">
            <v>1.2997399999999999</v>
          </cell>
          <cell r="J93">
            <v>16.584885573105201</v>
          </cell>
          <cell r="K93">
            <v>12.906511302260499</v>
          </cell>
        </row>
        <row r="94">
          <cell r="C94" t="str">
            <v>SLT0000796</v>
          </cell>
          <cell r="D94" t="str">
            <v>M4-2060小背泡沫</v>
          </cell>
          <cell r="E94" t="str">
            <v>模块内</v>
          </cell>
          <cell r="F94">
            <v>14.55</v>
          </cell>
          <cell r="G94" t="str">
            <v>材料成本/0.7</v>
          </cell>
          <cell r="I94">
            <v>0.62</v>
          </cell>
          <cell r="J94">
            <v>8.5953798250133993</v>
          </cell>
          <cell r="K94">
            <v>12.928800000000001</v>
          </cell>
        </row>
        <row r="95">
          <cell r="C95" t="str">
            <v>SLT0000820</v>
          </cell>
          <cell r="D95" t="str">
            <v>M4-卧铺2060泡沫</v>
          </cell>
          <cell r="E95" t="str">
            <v>模块内</v>
          </cell>
          <cell r="F95">
            <v>59.28</v>
          </cell>
          <cell r="G95" t="str">
            <v>材料成本/0.7</v>
          </cell>
          <cell r="I95">
            <v>3.19936</v>
          </cell>
          <cell r="J95">
            <v>40.456273107053299</v>
          </cell>
          <cell r="K95">
            <v>13.2185227045409</v>
          </cell>
        </row>
        <row r="96">
          <cell r="C96" t="str">
            <v>SHT0000083</v>
          </cell>
          <cell r="D96" t="str">
            <v>中重卡司机背泡沫</v>
          </cell>
          <cell r="E96" t="str">
            <v>模块内</v>
          </cell>
          <cell r="F96">
            <v>31.35</v>
          </cell>
          <cell r="G96" t="str">
            <v>材料成本/0.7</v>
          </cell>
          <cell r="I96">
            <v>1.550835</v>
          </cell>
          <cell r="J96">
            <v>19.659067670865401</v>
          </cell>
          <cell r="K96">
            <v>12.970731992765201</v>
          </cell>
        </row>
        <row r="97">
          <cell r="C97" t="str">
            <v>SHT0000084</v>
          </cell>
          <cell r="D97" t="str">
            <v>中重卡司机座泡沫</v>
          </cell>
          <cell r="E97" t="str">
            <v>模块内</v>
          </cell>
          <cell r="F97">
            <v>22.27</v>
          </cell>
          <cell r="G97" t="str">
            <v>材料成本/0.7</v>
          </cell>
          <cell r="I97">
            <v>1.1031955480833899</v>
          </cell>
          <cell r="J97">
            <v>13.9501510122666</v>
          </cell>
          <cell r="K97">
            <v>12.9785629480679</v>
          </cell>
        </row>
        <row r="98">
          <cell r="C98" t="str">
            <v>SHT0000106</v>
          </cell>
          <cell r="D98" t="str">
            <v>中重卡卧铺泡沫</v>
          </cell>
          <cell r="E98" t="str">
            <v>模块内</v>
          </cell>
          <cell r="F98">
            <v>68.45</v>
          </cell>
          <cell r="G98" t="str">
            <v>材料成本/0.7</v>
          </cell>
          <cell r="I98">
            <v>3.59964</v>
          </cell>
          <cell r="J98">
            <v>46.876682102274202</v>
          </cell>
          <cell r="K98">
            <v>12.976105610561101</v>
          </cell>
        </row>
        <row r="99">
          <cell r="C99" t="str">
            <v>SLT0000690</v>
          </cell>
          <cell r="D99" t="str">
            <v>奥铃升级正司机背1995</v>
          </cell>
          <cell r="E99" t="str">
            <v>模块内</v>
          </cell>
          <cell r="F99">
            <v>26.94</v>
          </cell>
          <cell r="G99" t="str">
            <v>材料成本/0.7</v>
          </cell>
          <cell r="I99">
            <v>1.3497300000000001</v>
          </cell>
          <cell r="J99">
            <v>17.165156300460001</v>
          </cell>
          <cell r="K99">
            <v>12.9778715743149</v>
          </cell>
        </row>
        <row r="100">
          <cell r="C100" t="str">
            <v>SLT0000691</v>
          </cell>
          <cell r="D100" t="str">
            <v>奥铃升级正司机座泡沫1995</v>
          </cell>
          <cell r="E100" t="str">
            <v>模块内</v>
          </cell>
          <cell r="F100">
            <v>21.54</v>
          </cell>
          <cell r="G100" t="str">
            <v>材料成本/0.7</v>
          </cell>
          <cell r="I100">
            <v>0.94981000000000004</v>
          </cell>
          <cell r="J100">
            <v>13.262344014903199</v>
          </cell>
          <cell r="K100">
            <v>12.9323224644929</v>
          </cell>
        </row>
        <row r="101">
          <cell r="C101" t="str">
            <v>SLT0000727</v>
          </cell>
          <cell r="D101" t="str">
            <v>奥铃小背升级泡沫1995</v>
          </cell>
          <cell r="E101" t="str">
            <v>模块内</v>
          </cell>
          <cell r="F101">
            <v>12.24</v>
          </cell>
          <cell r="G101" t="str">
            <v>材料成本/0.7</v>
          </cell>
          <cell r="I101">
            <v>0.59994000000000003</v>
          </cell>
          <cell r="J101">
            <v>6.9820643590779996</v>
          </cell>
          <cell r="K101">
            <v>12.9912871287129</v>
          </cell>
        </row>
        <row r="102">
          <cell r="C102" t="str">
            <v>SHT0000063</v>
          </cell>
          <cell r="D102" t="str">
            <v>D03坐垫发泡</v>
          </cell>
          <cell r="E102" t="str">
            <v>模块内</v>
          </cell>
          <cell r="F102">
            <v>17.54</v>
          </cell>
          <cell r="G102" t="str">
            <v>材料成本/0.7</v>
          </cell>
          <cell r="I102">
            <v>0.84</v>
          </cell>
          <cell r="J102">
            <v>10.639574951756201</v>
          </cell>
          <cell r="K102">
            <v>12.8529</v>
          </cell>
        </row>
        <row r="103">
          <cell r="C103" t="str">
            <v>SLT0002118</v>
          </cell>
          <cell r="D103" t="str">
            <v>BA95-正背泡沫</v>
          </cell>
          <cell r="E103" t="str">
            <v>模块内</v>
          </cell>
          <cell r="F103">
            <v>24.16</v>
          </cell>
          <cell r="G103" t="str">
            <v>材料成本/0.7</v>
          </cell>
          <cell r="I103">
            <v>1.1418349999999999</v>
          </cell>
          <cell r="J103">
            <v>15.1554998457504</v>
          </cell>
          <cell r="K103">
            <v>12.7305992547084</v>
          </cell>
        </row>
        <row r="104">
          <cell r="C104" t="str">
            <v>SLT0001629</v>
          </cell>
          <cell r="D104" t="str">
            <v>BA95副司机背泡沫</v>
          </cell>
          <cell r="E104" t="str">
            <v>模块内</v>
          </cell>
          <cell r="F104">
            <v>24.16</v>
          </cell>
          <cell r="G104" t="str">
            <v>材料成本/0.7</v>
          </cell>
          <cell r="I104">
            <v>1.09989</v>
          </cell>
          <cell r="J104">
            <v>15.1554998457504</v>
          </cell>
          <cell r="K104">
            <v>12.846303630363</v>
          </cell>
        </row>
        <row r="105">
          <cell r="C105" t="str">
            <v>SLT0001626</v>
          </cell>
          <cell r="D105" t="str">
            <v>BA95副司机座泡沫</v>
          </cell>
          <cell r="E105" t="str">
            <v>模块内</v>
          </cell>
          <cell r="F105">
            <v>86.02</v>
          </cell>
          <cell r="G105" t="str">
            <v>材料成本/0.7</v>
          </cell>
          <cell r="I105">
            <v>3.3</v>
          </cell>
          <cell r="J105">
            <v>39.151707934855203</v>
          </cell>
          <cell r="K105">
            <v>12.8529</v>
          </cell>
        </row>
        <row r="106">
          <cell r="C106" t="str">
            <v>SLT0001628</v>
          </cell>
          <cell r="D106" t="str">
            <v>BA95副司机背泡沫</v>
          </cell>
          <cell r="E106" t="str">
            <v>模块内</v>
          </cell>
          <cell r="F106">
            <v>24.2</v>
          </cell>
          <cell r="G106" t="str">
            <v>材料成本/0.7</v>
          </cell>
          <cell r="I106">
            <v>3.4</v>
          </cell>
          <cell r="J106">
            <v>15.1554998457504</v>
          </cell>
          <cell r="K106">
            <v>12.8529</v>
          </cell>
        </row>
        <row r="107">
          <cell r="C107" t="str">
            <v>SLT0001627</v>
          </cell>
          <cell r="D107" t="str">
            <v>驾驶员座垫泡沫总成非通风</v>
          </cell>
          <cell r="E107" t="str">
            <v>模块内</v>
          </cell>
          <cell r="F107">
            <v>20.45</v>
          </cell>
          <cell r="G107" t="str">
            <v>材料成本/0.7</v>
          </cell>
          <cell r="J107">
            <v>12.644606175345</v>
          </cell>
        </row>
        <row r="108">
          <cell r="C108" t="str">
            <v>SLT0002127</v>
          </cell>
          <cell r="D108" t="str">
            <v>通风正座泡沫带孔</v>
          </cell>
          <cell r="E108" t="str">
            <v>模块内</v>
          </cell>
          <cell r="F108">
            <v>20.399999999999999</v>
          </cell>
          <cell r="G108" t="str">
            <v>材料成本/0.7</v>
          </cell>
          <cell r="I108">
            <v>0.92981400000000003</v>
          </cell>
          <cell r="J108">
            <v>12.644606175345</v>
          </cell>
          <cell r="K108">
            <v>12.7076135227045</v>
          </cell>
        </row>
        <row r="109">
          <cell r="C109" t="str">
            <v>SLT0001807</v>
          </cell>
          <cell r="D109" t="str">
            <v>H22车型BA97-1895窄车副座泡沫</v>
          </cell>
          <cell r="E109" t="str">
            <v>模块内</v>
          </cell>
          <cell r="F109">
            <v>86.02</v>
          </cell>
          <cell r="G109" t="str">
            <v>材料成本/0.7</v>
          </cell>
          <cell r="I109">
            <v>2.5994799999999998</v>
          </cell>
          <cell r="J109">
            <v>39.151707934855203</v>
          </cell>
          <cell r="K109">
            <v>12.952819563912801</v>
          </cell>
        </row>
        <row r="110">
          <cell r="C110" t="str">
            <v>SLT0001806</v>
          </cell>
          <cell r="D110" t="str">
            <v>H22车型BA97-1895窄车小背泡沫</v>
          </cell>
          <cell r="E110" t="str">
            <v>模块内</v>
          </cell>
          <cell r="F110">
            <v>14.02</v>
          </cell>
          <cell r="G110" t="str">
            <v>材料成本/0.7</v>
          </cell>
          <cell r="I110">
            <v>0.49995000000000001</v>
          </cell>
          <cell r="J110">
            <v>8.2290723508576598</v>
          </cell>
          <cell r="K110">
            <v>12.9191749174917</v>
          </cell>
        </row>
        <row r="111">
          <cell r="C111" t="str">
            <v>SHT0000064</v>
          </cell>
          <cell r="D111" t="str">
            <v>B27坐垫泡沫</v>
          </cell>
          <cell r="E111" t="str">
            <v>模块内</v>
          </cell>
          <cell r="F111">
            <v>17.54</v>
          </cell>
          <cell r="G111" t="str">
            <v>材料成本/0.7</v>
          </cell>
          <cell r="J111">
            <v>10.639574951756201</v>
          </cell>
        </row>
        <row r="112">
          <cell r="C112" t="str">
            <v>SLT0010148</v>
          </cell>
          <cell r="D112" t="str">
            <v>虎V正司机背泡沫</v>
          </cell>
          <cell r="E112" t="str">
            <v>模块内</v>
          </cell>
          <cell r="F112">
            <v>21.14</v>
          </cell>
          <cell r="G112" t="str">
            <v>材料成本/0.7</v>
          </cell>
          <cell r="I112">
            <v>1.1997599999999999</v>
          </cell>
          <cell r="J112">
            <v>13.267463419142199</v>
          </cell>
          <cell r="K112">
            <v>12.901956391278301</v>
          </cell>
        </row>
        <row r="113">
          <cell r="C113" t="str">
            <v>SLT0010149</v>
          </cell>
          <cell r="D113" t="str">
            <v>虎V正司机座泡</v>
          </cell>
          <cell r="E113" t="str">
            <v>模块内</v>
          </cell>
          <cell r="F113">
            <v>22.3</v>
          </cell>
          <cell r="G113" t="str">
            <v>材料成本/0.7</v>
          </cell>
          <cell r="I113">
            <v>1.09978</v>
          </cell>
          <cell r="J113">
            <v>13.917923655480401</v>
          </cell>
          <cell r="K113">
            <v>12.9080296059212</v>
          </cell>
        </row>
        <row r="114">
          <cell r="C114" t="str">
            <v>SLT0010150</v>
          </cell>
          <cell r="D114" t="str">
            <v>虎V副司机背泡沫</v>
          </cell>
          <cell r="E114" t="str">
            <v>模块内</v>
          </cell>
          <cell r="F114">
            <v>23.83</v>
          </cell>
          <cell r="G114" t="str">
            <v>材料成本/0.7</v>
          </cell>
          <cell r="I114">
            <v>1.149885</v>
          </cell>
          <cell r="J114">
            <v>15.1535795295172</v>
          </cell>
          <cell r="K114">
            <v>12.9070297029703</v>
          </cell>
        </row>
        <row r="115">
          <cell r="C115" t="str">
            <v>SLT0002150</v>
          </cell>
          <cell r="D115" t="str">
            <v>中间座靠背泡沫总成(虎V)</v>
          </cell>
          <cell r="E115" t="str">
            <v>模块内</v>
          </cell>
          <cell r="F115">
            <v>14.02</v>
          </cell>
          <cell r="G115" t="str">
            <v>材料成本/0.7</v>
          </cell>
          <cell r="I115">
            <v>0.54988999999999999</v>
          </cell>
          <cell r="J115">
            <v>8.2290723508576598</v>
          </cell>
          <cell r="K115">
            <v>12.8852550510102</v>
          </cell>
        </row>
        <row r="116">
          <cell r="C116" t="str">
            <v>SLT0010151</v>
          </cell>
          <cell r="D116" t="str">
            <v>虎V副司机座泡沫</v>
          </cell>
          <cell r="E116" t="str">
            <v>模块内</v>
          </cell>
          <cell r="F116">
            <v>88.94</v>
          </cell>
          <cell r="G116" t="str">
            <v>材料成本/0.7</v>
          </cell>
          <cell r="I116">
            <v>2.7997200000000002</v>
          </cell>
          <cell r="J116">
            <v>44.248988700957298</v>
          </cell>
          <cell r="K116">
            <v>12.953333333333299</v>
          </cell>
        </row>
        <row r="117">
          <cell r="C117" t="str">
            <v>SLT0010349</v>
          </cell>
          <cell r="D117" t="str">
            <v>驾驶员靠背泡沫总成（带扶手）</v>
          </cell>
          <cell r="E117" t="str">
            <v>模块内</v>
          </cell>
          <cell r="F117">
            <v>23.24</v>
          </cell>
          <cell r="G117" t="str">
            <v>材料成本/0.7</v>
          </cell>
          <cell r="I117">
            <v>1.052835</v>
          </cell>
          <cell r="J117">
            <v>14.495020875944</v>
          </cell>
          <cell r="K117">
            <v>12.8533768824175</v>
          </cell>
        </row>
        <row r="118">
          <cell r="C118" t="str">
            <v>SLT0010350</v>
          </cell>
          <cell r="D118" t="str">
            <v>驾驶员座垫泡沫总成</v>
          </cell>
          <cell r="E118" t="str">
            <v>模块内</v>
          </cell>
          <cell r="F118">
            <v>19.239999999999998</v>
          </cell>
          <cell r="G118" t="str">
            <v>材料成本/0.7</v>
          </cell>
          <cell r="I118">
            <v>0.94981000000000004</v>
          </cell>
          <cell r="J118">
            <v>12.015609410322</v>
          </cell>
          <cell r="K118">
            <v>12.9437097419484</v>
          </cell>
        </row>
        <row r="119">
          <cell r="C119" t="str">
            <v>SLT0010358</v>
          </cell>
          <cell r="D119" t="str">
            <v>统帅副驾靠背泡沫总成</v>
          </cell>
          <cell r="E119" t="str">
            <v>模块内</v>
          </cell>
          <cell r="F119">
            <v>25.82</v>
          </cell>
          <cell r="G119" t="str">
            <v>材料成本/0.7</v>
          </cell>
          <cell r="I119">
            <v>1.2998700000000001</v>
          </cell>
          <cell r="J119">
            <v>16.783708382672</v>
          </cell>
          <cell r="K119">
            <v>13.027722772277199</v>
          </cell>
        </row>
        <row r="120">
          <cell r="C120" t="str">
            <v>SLT0010371</v>
          </cell>
          <cell r="D120" t="str">
            <v>中间座靠背泡沫总成(统帅）</v>
          </cell>
          <cell r="E120" t="str">
            <v>模块内</v>
          </cell>
          <cell r="F120">
            <v>10.31</v>
          </cell>
          <cell r="G120" t="str">
            <v>材料成本/0.7</v>
          </cell>
          <cell r="I120">
            <v>0.47</v>
          </cell>
          <cell r="J120">
            <v>6.2557458517231996</v>
          </cell>
          <cell r="K120">
            <v>14.24187</v>
          </cell>
        </row>
        <row r="121">
          <cell r="C121" t="str">
            <v>SLT0010396</v>
          </cell>
          <cell r="D121" t="str">
            <v>统帅副驾座垫泡沫总成</v>
          </cell>
          <cell r="E121" t="str">
            <v>模块内</v>
          </cell>
          <cell r="F121">
            <v>42.97</v>
          </cell>
          <cell r="G121" t="str">
            <v>材料成本/0.7</v>
          </cell>
          <cell r="I121">
            <v>2.89913</v>
          </cell>
          <cell r="J121">
            <v>6.2557458517231996</v>
          </cell>
          <cell r="K121">
            <v>12.9705271581474</v>
          </cell>
        </row>
        <row r="122">
          <cell r="C122" t="str">
            <v>SLT0010473</v>
          </cell>
          <cell r="D122" t="str">
            <v>靠背泡沫（通风）</v>
          </cell>
          <cell r="E122" t="str">
            <v>模块内</v>
          </cell>
          <cell r="F122">
            <v>22.5</v>
          </cell>
          <cell r="G122" t="str">
            <v>材料成本/0.7</v>
          </cell>
          <cell r="I122">
            <v>1.05</v>
          </cell>
          <cell r="J122">
            <v>14.495020875944</v>
          </cell>
          <cell r="K122">
            <v>13.92309</v>
          </cell>
        </row>
        <row r="123">
          <cell r="C123" t="str">
            <v>SLT0010474</v>
          </cell>
          <cell r="D123" t="str">
            <v>坐垫泡沫（通风）</v>
          </cell>
          <cell r="E123" t="str">
            <v>模块内</v>
          </cell>
          <cell r="F123">
            <v>18.809999999999999</v>
          </cell>
          <cell r="G123" t="str">
            <v>材料成本/0.7</v>
          </cell>
          <cell r="I123">
            <v>0.95</v>
          </cell>
          <cell r="J123">
            <v>12.015609410322</v>
          </cell>
          <cell r="K123">
            <v>14.10525</v>
          </cell>
        </row>
        <row r="124">
          <cell r="C124" t="str">
            <v>SLT0010707</v>
          </cell>
          <cell r="D124" t="str">
            <v>驾驶员靠背泡沫总成（不带扶手）</v>
          </cell>
          <cell r="E124" t="str">
            <v>模块内</v>
          </cell>
          <cell r="F124">
            <v>22.19</v>
          </cell>
          <cell r="G124" t="str">
            <v>材料成本/0.7</v>
          </cell>
          <cell r="I124">
            <v>2</v>
          </cell>
          <cell r="J124">
            <v>14.495020875944</v>
          </cell>
          <cell r="K124">
            <v>14.16597</v>
          </cell>
        </row>
        <row r="125">
          <cell r="C125" t="str">
            <v>SLT0010595</v>
          </cell>
          <cell r="D125" t="str">
            <v>统帅1880副靠背泡沫</v>
          </cell>
          <cell r="E125" t="str">
            <v>模块内</v>
          </cell>
          <cell r="F125">
            <v>42.72</v>
          </cell>
          <cell r="G125" t="str">
            <v>材料成本/0.7</v>
          </cell>
          <cell r="I125">
            <v>1.9996</v>
          </cell>
          <cell r="J125">
            <v>28.452200187806898</v>
          </cell>
          <cell r="K125">
            <v>12.9702800560112</v>
          </cell>
        </row>
        <row r="126">
          <cell r="C126" t="str">
            <v>SLT0010612</v>
          </cell>
          <cell r="D126" t="str">
            <v>统帅1880副座垫泡沫总成</v>
          </cell>
          <cell r="E126" t="str">
            <v>模块内</v>
          </cell>
          <cell r="F126">
            <v>80.95</v>
          </cell>
          <cell r="G126" t="str">
            <v>材料成本/0.7</v>
          </cell>
          <cell r="I126">
            <v>2.7994400000000002</v>
          </cell>
          <cell r="J126">
            <v>40.055845846917897</v>
          </cell>
          <cell r="K126">
            <v>12.9057521504301</v>
          </cell>
        </row>
        <row r="127">
          <cell r="C127" t="str">
            <v>SLT0010719</v>
          </cell>
          <cell r="D127" t="str">
            <v>驾驶员靠背泡沫总成</v>
          </cell>
          <cell r="E127" t="str">
            <v>模块内</v>
          </cell>
          <cell r="F127">
            <v>20.49</v>
          </cell>
          <cell r="G127" t="str">
            <v>材料成本/0.7</v>
          </cell>
          <cell r="I127">
            <v>1.1496550000000001</v>
          </cell>
          <cell r="J127">
            <v>12.8718954694105</v>
          </cell>
          <cell r="K127">
            <v>12.7154266279884</v>
          </cell>
        </row>
        <row r="128">
          <cell r="C128" t="str">
            <v>SLT0010299</v>
          </cell>
          <cell r="D128" t="str">
            <v>驾驶员座垫泡沫总成</v>
          </cell>
          <cell r="E128" t="str">
            <v>模块内</v>
          </cell>
          <cell r="F128">
            <v>52.78</v>
          </cell>
          <cell r="G128" t="str">
            <v>材料成本/0.7</v>
          </cell>
          <cell r="I128">
            <v>0.99980000000000002</v>
          </cell>
          <cell r="J128">
            <v>12.8718954694105</v>
          </cell>
          <cell r="K128">
            <v>12.6521954390878</v>
          </cell>
        </row>
        <row r="129">
          <cell r="C129" t="str">
            <v>SBS0010259</v>
          </cell>
          <cell r="D129" t="str">
            <v>J7F-AA95驾驶员靠背（一体头枕非通风）</v>
          </cell>
          <cell r="E129" t="str">
            <v>模块内</v>
          </cell>
          <cell r="F129">
            <v>25.53</v>
          </cell>
          <cell r="G129" t="str">
            <v>材料成本/0.7</v>
          </cell>
          <cell r="I129">
            <v>0.85</v>
          </cell>
          <cell r="J129">
            <v>16.418458166229598</v>
          </cell>
          <cell r="K129">
            <v>14.04453</v>
          </cell>
        </row>
        <row r="130">
          <cell r="C130" t="str">
            <v>SLT0002188</v>
          </cell>
          <cell r="D130" t="str">
            <v>J7F-AA95副背泡沫非通风头枕一体</v>
          </cell>
          <cell r="E130" t="str">
            <v>模块内</v>
          </cell>
          <cell r="F130">
            <v>23.54</v>
          </cell>
          <cell r="G130" t="str">
            <v>材料成本/0.7</v>
          </cell>
          <cell r="I130">
            <v>1.3</v>
          </cell>
          <cell r="J130">
            <v>15.238491029517199</v>
          </cell>
          <cell r="K130">
            <v>12.8529</v>
          </cell>
        </row>
        <row r="131">
          <cell r="C131" t="str">
            <v>SBS0010260</v>
          </cell>
          <cell r="D131" t="str">
            <v>J7F-AA95驾驶员座垫（一体头枕非通风）</v>
          </cell>
          <cell r="E131" t="str">
            <v>模块内</v>
          </cell>
          <cell r="F131">
            <v>16.98</v>
          </cell>
          <cell r="G131" t="str">
            <v>材料成本/0.7</v>
          </cell>
          <cell r="I131">
            <v>1.25</v>
          </cell>
          <cell r="J131">
            <v>10.578960003774601</v>
          </cell>
          <cell r="K131">
            <v>13.998989999999999</v>
          </cell>
        </row>
        <row r="132">
          <cell r="C132" t="str">
            <v>SHT0000276</v>
          </cell>
          <cell r="D132" t="str">
            <v>陕汽机械背泡沫</v>
          </cell>
          <cell r="E132" t="str">
            <v>内部</v>
          </cell>
          <cell r="F132">
            <v>16.649999999999999</v>
          </cell>
          <cell r="G132" t="str">
            <v>西安内部定价表</v>
          </cell>
          <cell r="J132">
            <v>10.1260702532207</v>
          </cell>
        </row>
        <row r="133">
          <cell r="C133" t="str">
            <v>SHT0000236</v>
          </cell>
          <cell r="D133" t="str">
            <v>中间座椅坐垫泡沫（右舵车）</v>
          </cell>
          <cell r="E133" t="str">
            <v>内部</v>
          </cell>
          <cell r="F133">
            <v>13.22</v>
          </cell>
          <cell r="G133" t="str">
            <v>西安内部定价表</v>
          </cell>
          <cell r="I133">
            <v>0.55000000000000004</v>
          </cell>
          <cell r="J133">
            <v>8.2137098209922197</v>
          </cell>
          <cell r="K133">
            <v>12.8529</v>
          </cell>
        </row>
        <row r="134">
          <cell r="C134" t="str">
            <v>SHT0000237</v>
          </cell>
          <cell r="D134" t="str">
            <v>L3000中间背泡沫</v>
          </cell>
          <cell r="E134" t="str">
            <v>内部</v>
          </cell>
          <cell r="F134">
            <v>12.32</v>
          </cell>
          <cell r="G134" t="str">
            <v>西安内部定价表</v>
          </cell>
          <cell r="J134">
            <v>7.5873945168056398</v>
          </cell>
        </row>
        <row r="135">
          <cell r="C135" t="str">
            <v>SHT0000525</v>
          </cell>
          <cell r="D135" t="str">
            <v>欧曼升级重卡座垫泡沫VT</v>
          </cell>
          <cell r="E135" t="str">
            <v>模块内</v>
          </cell>
          <cell r="F135">
            <v>18.399999999999999</v>
          </cell>
          <cell r="G135" t="str">
            <v>材料成本/0.7</v>
          </cell>
          <cell r="I135">
            <v>0.85</v>
          </cell>
          <cell r="J135">
            <v>11.679386457048301</v>
          </cell>
          <cell r="K135">
            <v>12.8529</v>
          </cell>
        </row>
        <row r="136">
          <cell r="C136" t="str">
            <v>SHT0000298</v>
          </cell>
          <cell r="D136" t="str">
            <v>中间座椅靠背泡沫(右舵车)</v>
          </cell>
          <cell r="E136" t="str">
            <v>模块内</v>
          </cell>
          <cell r="F136">
            <v>13.25</v>
          </cell>
          <cell r="G136" t="str">
            <v>材料成本/0.7</v>
          </cell>
          <cell r="I136">
            <v>0.65</v>
          </cell>
          <cell r="J136">
            <v>8.2329208346084695</v>
          </cell>
          <cell r="K136">
            <v>12.8529</v>
          </cell>
        </row>
        <row r="137">
          <cell r="C137" t="str">
            <v>SLT0000671</v>
          </cell>
          <cell r="D137" t="str">
            <v>欧曼中间背泡沫</v>
          </cell>
          <cell r="E137" t="str">
            <v>模块内</v>
          </cell>
          <cell r="F137">
            <v>12.36</v>
          </cell>
          <cell r="G137" t="str">
            <v>材料成本/0.7</v>
          </cell>
          <cell r="J137">
            <v>7.6084749826060802</v>
          </cell>
        </row>
        <row r="138">
          <cell r="C138" t="str">
            <v>SHT0000150</v>
          </cell>
          <cell r="D138" t="str">
            <v>欧曼升级重卡座背泡沫VT</v>
          </cell>
          <cell r="E138" t="str">
            <v>模块内</v>
          </cell>
          <cell r="F138">
            <v>26.06</v>
          </cell>
          <cell r="G138" t="str">
            <v>材料成本/0.7</v>
          </cell>
          <cell r="I138">
            <v>1.3</v>
          </cell>
          <cell r="J138">
            <v>16.381347987744402</v>
          </cell>
          <cell r="K138">
            <v>12.8529</v>
          </cell>
        </row>
        <row r="139">
          <cell r="C139" t="str">
            <v>SCS0010802</v>
          </cell>
          <cell r="D139" t="str">
            <v>B40L中期改款四分座泡沫</v>
          </cell>
          <cell r="E139" t="str">
            <v>模块内</v>
          </cell>
          <cell r="F139">
            <v>27.72</v>
          </cell>
          <cell r="G139" t="str">
            <v>材料成本/0.7</v>
          </cell>
          <cell r="I139">
            <v>1.254375</v>
          </cell>
          <cell r="J139">
            <v>15.1222052962476</v>
          </cell>
          <cell r="K139">
            <v>12.920328849028399</v>
          </cell>
        </row>
        <row r="140">
          <cell r="C140" t="str">
            <v>SCS0010801</v>
          </cell>
          <cell r="D140" t="str">
            <v>B40L中期改款六分座泡沫</v>
          </cell>
          <cell r="E140" t="str">
            <v>模块内</v>
          </cell>
          <cell r="F140">
            <v>37.869999999999997</v>
          </cell>
          <cell r="G140" t="str">
            <v>材料成本/0.7</v>
          </cell>
          <cell r="I140">
            <v>1.8397239999999999</v>
          </cell>
          <cell r="J140">
            <v>21.345720866262599</v>
          </cell>
          <cell r="K140">
            <v>12.929923488523301</v>
          </cell>
        </row>
        <row r="141">
          <cell r="C141" t="str">
            <v>SCS0004239</v>
          </cell>
          <cell r="D141" t="str">
            <v>B40L中期改款四分背泡沫</v>
          </cell>
          <cell r="E141" t="str">
            <v>模块内</v>
          </cell>
          <cell r="F141">
            <v>27.02</v>
          </cell>
          <cell r="G141" t="str">
            <v>材料成本/0.7</v>
          </cell>
          <cell r="I141">
            <v>1.4998499999999999</v>
          </cell>
          <cell r="J141">
            <v>17.464670725632299</v>
          </cell>
          <cell r="K141">
            <v>12.9206930693069</v>
          </cell>
        </row>
        <row r="142">
          <cell r="C142" t="str">
            <v>SCS0004209</v>
          </cell>
          <cell r="D142" t="str">
            <v>B40L中期改款六分背泡沫</v>
          </cell>
          <cell r="E142" t="str">
            <v>模块内</v>
          </cell>
          <cell r="F142">
            <v>52.79</v>
          </cell>
          <cell r="G142" t="str">
            <v>材料成本/0.7</v>
          </cell>
          <cell r="I142">
            <v>2.1495700000000002</v>
          </cell>
          <cell r="J142">
            <v>25.901527361811599</v>
          </cell>
          <cell r="K142">
            <v>12.8450200040008</v>
          </cell>
        </row>
        <row r="143">
          <cell r="C143" t="str">
            <v>SCS0004073</v>
          </cell>
          <cell r="D143" t="str">
            <v>B40S司机背泡沫</v>
          </cell>
          <cell r="E143" t="str">
            <v>模块内</v>
          </cell>
          <cell r="F143">
            <v>32.4</v>
          </cell>
          <cell r="G143" t="str">
            <v>材料成本/0.7</v>
          </cell>
          <cell r="J143">
            <v>20.865056609760298</v>
          </cell>
        </row>
        <row r="144">
          <cell r="C144" t="str">
            <v>SCS0004071</v>
          </cell>
          <cell r="D144" t="str">
            <v>B40V泡沫前座椅左右垫泡沫</v>
          </cell>
          <cell r="E144" t="str">
            <v>模块内</v>
          </cell>
          <cell r="F144">
            <v>25.86</v>
          </cell>
          <cell r="G144" t="str">
            <v>材料成本/0.7</v>
          </cell>
          <cell r="J144">
            <v>16.396694582253598</v>
          </cell>
        </row>
        <row r="145">
          <cell r="C145" t="str">
            <v>SCS0004122</v>
          </cell>
          <cell r="D145" t="str">
            <v>北汽B40V泡沫后排背泡沫</v>
          </cell>
          <cell r="E145" t="str">
            <v>模块内</v>
          </cell>
          <cell r="F145">
            <v>58.41</v>
          </cell>
          <cell r="G145" t="str">
            <v>材料成本/0.7</v>
          </cell>
          <cell r="I145">
            <v>2.5994799999999998</v>
          </cell>
          <cell r="J145">
            <v>38.960316416948302</v>
          </cell>
          <cell r="K145">
            <v>12.985463092618501</v>
          </cell>
        </row>
        <row r="146">
          <cell r="C146" t="str">
            <v>SCS0004120</v>
          </cell>
          <cell r="D146" t="str">
            <v>北汽B40V泡沫后排座垫泡沫</v>
          </cell>
          <cell r="E146" t="str">
            <v>模块内</v>
          </cell>
          <cell r="F146">
            <v>46.35</v>
          </cell>
          <cell r="G146" t="str">
            <v>材料成本/0.7</v>
          </cell>
          <cell r="I146">
            <v>2.3995199999999999</v>
          </cell>
          <cell r="J146">
            <v>30.308217183623398</v>
          </cell>
          <cell r="K146">
            <v>12.9247309461892</v>
          </cell>
        </row>
        <row r="147">
          <cell r="C147" t="str">
            <v>SHT0011207</v>
          </cell>
          <cell r="D147" t="str">
            <v>H4-2.0正座泡沫</v>
          </cell>
          <cell r="E147" t="str">
            <v>模块内</v>
          </cell>
          <cell r="F147">
            <v>0</v>
          </cell>
          <cell r="G147" t="str">
            <v>材料成本/0.7</v>
          </cell>
          <cell r="H147" t="str">
            <v>代码错误？</v>
          </cell>
          <cell r="J147" t="e">
            <v>#N/A</v>
          </cell>
        </row>
        <row r="148">
          <cell r="C148" t="str">
            <v>SHT0000489</v>
          </cell>
          <cell r="D148" t="str">
            <v>福田H4上卧铺泡沫总成</v>
          </cell>
          <cell r="E148" t="str">
            <v>模块内</v>
          </cell>
          <cell r="F148">
            <v>57.49</v>
          </cell>
          <cell r="G148" t="str">
            <v>材料成本/0.7</v>
          </cell>
          <cell r="I148">
            <v>3.1990400000000001</v>
          </cell>
          <cell r="J148">
            <v>39.200996051506799</v>
          </cell>
          <cell r="K148">
            <v>12.937121136340901</v>
          </cell>
        </row>
        <row r="149">
          <cell r="C149" t="str">
            <v>SHT0000563</v>
          </cell>
          <cell r="D149" t="str">
            <v>重卡中间座垫泡沫总成</v>
          </cell>
          <cell r="E149" t="str">
            <v>模块内</v>
          </cell>
          <cell r="F149">
            <v>10.54</v>
          </cell>
          <cell r="G149" t="str">
            <v>材料成本/0.7</v>
          </cell>
          <cell r="I149">
            <v>0.65</v>
          </cell>
          <cell r="J149">
            <v>6.3366074929489997</v>
          </cell>
          <cell r="K149">
            <v>12.8529</v>
          </cell>
        </row>
        <row r="150">
          <cell r="C150" t="str">
            <v>SHT0000561</v>
          </cell>
          <cell r="D150" t="str">
            <v>重卡中间座靠背泡沫总成</v>
          </cell>
          <cell r="E150" t="str">
            <v>模块内</v>
          </cell>
          <cell r="F150">
            <v>10.52</v>
          </cell>
          <cell r="G150" t="str">
            <v>材料成本/0.7</v>
          </cell>
          <cell r="I150">
            <v>0.5</v>
          </cell>
          <cell r="J150">
            <v>6.3271756914393196</v>
          </cell>
          <cell r="K150">
            <v>12.8529</v>
          </cell>
        </row>
        <row r="151">
          <cell r="C151" t="str">
            <v>SHT0000694</v>
          </cell>
          <cell r="D151" t="str">
            <v>H4GTL下卧铺右加宽加厚</v>
          </cell>
          <cell r="E151" t="str">
            <v>模块内</v>
          </cell>
          <cell r="F151">
            <v>100.75</v>
          </cell>
          <cell r="G151" t="str">
            <v>材料成本/0.7</v>
          </cell>
          <cell r="J151">
            <v>69.485751421154205</v>
          </cell>
        </row>
        <row r="152">
          <cell r="C152" t="str">
            <v>SHT0000693</v>
          </cell>
          <cell r="D152" t="str">
            <v>H4GTL下卧铺左加宽加厚</v>
          </cell>
          <cell r="E152" t="str">
            <v>模块内</v>
          </cell>
          <cell r="F152">
            <v>100.75</v>
          </cell>
          <cell r="G152" t="str">
            <v>材料成本/0.7</v>
          </cell>
          <cell r="J152">
            <v>69.485751421154205</v>
          </cell>
        </row>
        <row r="153">
          <cell r="C153" t="str">
            <v>SHT0000695</v>
          </cell>
          <cell r="D153" t="str">
            <v>H4GTL下卧铺中</v>
          </cell>
          <cell r="E153" t="str">
            <v>模块内</v>
          </cell>
          <cell r="F153">
            <v>24.99</v>
          </cell>
          <cell r="G153" t="str">
            <v>材料成本/0.7</v>
          </cell>
          <cell r="J153">
            <v>16.454304069249002</v>
          </cell>
        </row>
        <row r="154">
          <cell r="C154" t="str">
            <v>SHT0000515</v>
          </cell>
          <cell r="D154" t="str">
            <v>福田H4下卧铺泡沫总成(右</v>
          </cell>
          <cell r="E154" t="str">
            <v>模块内</v>
          </cell>
          <cell r="F154">
            <v>48.13</v>
          </cell>
          <cell r="G154" t="str">
            <v>材料成本/0.7</v>
          </cell>
          <cell r="I154">
            <v>3</v>
          </cell>
          <cell r="J154">
            <v>32.652565974073902</v>
          </cell>
          <cell r="K154">
            <v>12.930318</v>
          </cell>
        </row>
        <row r="155">
          <cell r="C155" t="str">
            <v>SHT0000516</v>
          </cell>
          <cell r="D155" t="str">
            <v>福田H4下卧铺泡沫总成(左</v>
          </cell>
          <cell r="E155" t="str">
            <v>模块内</v>
          </cell>
          <cell r="F155">
            <v>46.34</v>
          </cell>
          <cell r="G155" t="str">
            <v>材料成本/0.7</v>
          </cell>
          <cell r="I155">
            <v>2.9994000000000001</v>
          </cell>
          <cell r="J155">
            <v>31.3966488131164</v>
          </cell>
          <cell r="K155">
            <v>12.9216943388678</v>
          </cell>
        </row>
        <row r="156">
          <cell r="C156" t="str">
            <v>SHT0000592</v>
          </cell>
          <cell r="D156" t="str">
            <v>H3改型司机背泡沫</v>
          </cell>
          <cell r="E156" t="str">
            <v>模块内</v>
          </cell>
          <cell r="F156">
            <v>31.6</v>
          </cell>
          <cell r="G156" t="str">
            <v>材料成本/0.7</v>
          </cell>
          <cell r="I156">
            <v>1.6</v>
          </cell>
          <cell r="J156">
            <v>20.2092052463254</v>
          </cell>
          <cell r="K156">
            <v>12.8529</v>
          </cell>
        </row>
        <row r="157">
          <cell r="C157" t="str">
            <v>SHT0010519</v>
          </cell>
          <cell r="D157" t="str">
            <v>H3改型司机垫泡沫</v>
          </cell>
          <cell r="E157" t="str">
            <v>模块内</v>
          </cell>
          <cell r="F157">
            <v>21.28</v>
          </cell>
          <cell r="G157" t="str">
            <v>材料成本/0.7</v>
          </cell>
          <cell r="I157">
            <v>0.98</v>
          </cell>
          <cell r="J157">
            <v>13.2610623650316</v>
          </cell>
          <cell r="K157">
            <v>12.8529</v>
          </cell>
        </row>
        <row r="158">
          <cell r="C158" t="str">
            <v>SHT0000579</v>
          </cell>
          <cell r="D158" t="str">
            <v>H3改型副司机背泡沫</v>
          </cell>
          <cell r="E158" t="str">
            <v>模块内</v>
          </cell>
          <cell r="F158">
            <v>31.6</v>
          </cell>
          <cell r="G158" t="str">
            <v>材料成本/0.7</v>
          </cell>
          <cell r="I158">
            <v>1.68</v>
          </cell>
          <cell r="J158">
            <v>20.2092052463254</v>
          </cell>
          <cell r="K158">
            <v>12.8529</v>
          </cell>
        </row>
        <row r="159">
          <cell r="C159" t="str">
            <v>SHT0000578</v>
          </cell>
          <cell r="D159" t="str">
            <v>H3改型副司机垫泡沫</v>
          </cell>
          <cell r="E159" t="str">
            <v>模块内</v>
          </cell>
          <cell r="F159">
            <v>20.079999999999998</v>
          </cell>
          <cell r="G159" t="str">
            <v>材料成本/0.7</v>
          </cell>
          <cell r="I159">
            <v>0.98</v>
          </cell>
          <cell r="J159">
            <v>12.4153978653598</v>
          </cell>
          <cell r="K159">
            <v>12.8529</v>
          </cell>
        </row>
        <row r="160">
          <cell r="C160" t="str">
            <v>SHT0013517</v>
          </cell>
          <cell r="D160" t="str">
            <v>H4A升级正司机靠背泡沫(带扶手）</v>
          </cell>
          <cell r="E160" t="str">
            <v>模块内</v>
          </cell>
          <cell r="F160">
            <v>34.76</v>
          </cell>
          <cell r="G160" t="str">
            <v>材料成本/0.7</v>
          </cell>
          <cell r="I160">
            <v>1.68</v>
          </cell>
          <cell r="J160">
            <v>21.283630641389699</v>
          </cell>
          <cell r="K160">
            <v>12.8529</v>
          </cell>
        </row>
        <row r="161">
          <cell r="C161" t="str">
            <v>SHT0000491</v>
          </cell>
          <cell r="D161" t="str">
            <v>H4A升级正司机靠背泡沫（不带扶手）</v>
          </cell>
          <cell r="E161" t="str">
            <v>模块内</v>
          </cell>
          <cell r="F161">
            <v>34.76</v>
          </cell>
          <cell r="G161" t="str">
            <v>材料成本/0.7</v>
          </cell>
          <cell r="I161">
            <v>1.68</v>
          </cell>
          <cell r="J161">
            <v>21.283630641389699</v>
          </cell>
          <cell r="K161">
            <v>12.8529</v>
          </cell>
        </row>
        <row r="162">
          <cell r="C162" t="str">
            <v>SHT0010938</v>
          </cell>
          <cell r="D162" t="str">
            <v>H4A升级正司机坐垫泡沫*改型</v>
          </cell>
          <cell r="E162" t="str">
            <v>模块内</v>
          </cell>
          <cell r="F162">
            <v>20.02</v>
          </cell>
          <cell r="G162" t="str">
            <v>材料成本/0.7</v>
          </cell>
          <cell r="I162">
            <v>0.98</v>
          </cell>
          <cell r="J162">
            <v>12.375071224462999</v>
          </cell>
          <cell r="K162">
            <v>12.8529</v>
          </cell>
        </row>
        <row r="163">
          <cell r="C163" t="str">
            <v>SHT0000531</v>
          </cell>
          <cell r="D163" t="str">
            <v>H4A升级副司机靠背泡沫</v>
          </cell>
          <cell r="E163" t="str">
            <v>模块内</v>
          </cell>
          <cell r="F163">
            <v>34.76</v>
          </cell>
          <cell r="G163" t="str">
            <v>材料成本/0.7</v>
          </cell>
          <cell r="I163">
            <v>1.64967</v>
          </cell>
          <cell r="J163">
            <v>21.283630641389699</v>
          </cell>
          <cell r="K163">
            <v>13.0029235847169</v>
          </cell>
        </row>
        <row r="164">
          <cell r="C164" t="str">
            <v>SHT0000530</v>
          </cell>
          <cell r="D164" t="str">
            <v>H4A升级副司机坐垫泡沫</v>
          </cell>
          <cell r="E164" t="str">
            <v>模块内</v>
          </cell>
          <cell r="F164">
            <v>20.02</v>
          </cell>
          <cell r="G164" t="str">
            <v>材料成本/0.7</v>
          </cell>
          <cell r="I164">
            <v>0.97990200000000005</v>
          </cell>
          <cell r="J164">
            <v>12.375071224462999</v>
          </cell>
          <cell r="K164">
            <v>12.9624422442244</v>
          </cell>
        </row>
        <row r="165">
          <cell r="C165" t="str">
            <v>SHT0013908</v>
          </cell>
          <cell r="D165" t="str">
            <v>H4  2.2驾驶员靠背泡沫总成</v>
          </cell>
          <cell r="E165" t="str">
            <v>模块内</v>
          </cell>
          <cell r="F165">
            <v>27.39</v>
          </cell>
          <cell r="G165" t="str">
            <v>材料成本/0.7</v>
          </cell>
          <cell r="I165">
            <v>1.7</v>
          </cell>
          <cell r="J165">
            <v>16.6703321319245</v>
          </cell>
          <cell r="K165">
            <v>12.8529</v>
          </cell>
        </row>
        <row r="166">
          <cell r="C166" t="str">
            <v>SHT0011281</v>
          </cell>
          <cell r="D166" t="str">
            <v>H4  2.2驾驶员座垫泡沫总成</v>
          </cell>
          <cell r="E166" t="str">
            <v>模块内</v>
          </cell>
          <cell r="F166">
            <v>21.44</v>
          </cell>
          <cell r="G166" t="str">
            <v>材料成本/0.7</v>
          </cell>
          <cell r="I166">
            <v>0.98</v>
          </cell>
          <cell r="J166">
            <v>13.2610623650316</v>
          </cell>
          <cell r="K166">
            <v>12.8529</v>
          </cell>
        </row>
        <row r="167">
          <cell r="C167" t="str">
            <v>SHT0011062</v>
          </cell>
          <cell r="D167" t="str">
            <v>H4  2.2副驾驶员靠背泡沫总成</v>
          </cell>
          <cell r="E167" t="str">
            <v>模块内</v>
          </cell>
          <cell r="F167">
            <v>34.479999999999997</v>
          </cell>
          <cell r="G167" t="str">
            <v>材料成本/0.7</v>
          </cell>
          <cell r="I167">
            <v>0.95</v>
          </cell>
          <cell r="J167">
            <v>21.114221633436301</v>
          </cell>
          <cell r="K167">
            <v>12.8529</v>
          </cell>
        </row>
        <row r="168">
          <cell r="C168" t="str">
            <v>SHT0011060</v>
          </cell>
          <cell r="D168" t="str">
            <v>H4  2.2副驾驶员座垫泡沫总成</v>
          </cell>
          <cell r="E168" t="str">
            <v>模块内</v>
          </cell>
          <cell r="F168">
            <v>20.97</v>
          </cell>
          <cell r="G168" t="str">
            <v>材料成本/0.7</v>
          </cell>
          <cell r="I168">
            <v>0.98</v>
          </cell>
          <cell r="J168">
            <v>13.2610623650316</v>
          </cell>
          <cell r="K168">
            <v>12.8529</v>
          </cell>
        </row>
        <row r="169">
          <cell r="C169" t="str">
            <v>SHT0013900</v>
          </cell>
          <cell r="D169" t="str">
            <v>H4  2.2驾驶员靠背泡沫总成（高配通风）</v>
          </cell>
          <cell r="E169" t="str">
            <v>模块内</v>
          </cell>
          <cell r="F169">
            <v>29.2</v>
          </cell>
          <cell r="G169" t="str">
            <v>材料成本/0.7</v>
          </cell>
          <cell r="I169">
            <v>1.7</v>
          </cell>
          <cell r="J169">
            <v>16.6703321319245</v>
          </cell>
          <cell r="K169">
            <v>12.8529</v>
          </cell>
        </row>
        <row r="170">
          <cell r="C170" t="str">
            <v>SHT0013899</v>
          </cell>
          <cell r="D170" t="str">
            <v>H4  2.2驾驶员坐垫泡沫总成（高配通风）</v>
          </cell>
          <cell r="E170" t="str">
            <v>模块内</v>
          </cell>
          <cell r="F170">
            <v>12.33</v>
          </cell>
          <cell r="G170" t="str">
            <v>材料成本/0.7</v>
          </cell>
          <cell r="I170">
            <v>0.98</v>
          </cell>
          <cell r="J170">
            <v>7.4011477296761399</v>
          </cell>
          <cell r="K170">
            <v>12.8529</v>
          </cell>
        </row>
        <row r="171">
          <cell r="C171" t="str">
            <v>SHT0011355</v>
          </cell>
          <cell r="D171" t="str">
            <v>H6司机背高配</v>
          </cell>
          <cell r="E171" t="str">
            <v>模块内</v>
          </cell>
          <cell r="F171">
            <v>46.86</v>
          </cell>
          <cell r="G171" t="str">
            <v>材料成本/0.7</v>
          </cell>
          <cell r="I171">
            <v>1.68</v>
          </cell>
          <cell r="J171">
            <v>11.5959873701935</v>
          </cell>
          <cell r="K171">
            <v>12.8529</v>
          </cell>
        </row>
        <row r="172">
          <cell r="C172" t="str">
            <v>SHT0011357</v>
          </cell>
          <cell r="D172" t="str">
            <v>H6司机座高配</v>
          </cell>
          <cell r="E172" t="str">
            <v>模块内</v>
          </cell>
          <cell r="F172">
            <v>16.350000000000001</v>
          </cell>
          <cell r="G172" t="str">
            <v>材料成本/0.7</v>
          </cell>
          <cell r="I172">
            <v>0.85</v>
          </cell>
          <cell r="J172">
            <v>5.8376733571819797</v>
          </cell>
          <cell r="K172">
            <v>12.8529</v>
          </cell>
        </row>
        <row r="173">
          <cell r="C173" t="str">
            <v>SHT0011020</v>
          </cell>
          <cell r="D173" t="str">
            <v>H6副司机背低配</v>
          </cell>
          <cell r="E173" t="str">
            <v>模块内</v>
          </cell>
          <cell r="F173">
            <v>40.01</v>
          </cell>
          <cell r="G173" t="str">
            <v>材料成本/0.7</v>
          </cell>
          <cell r="I173">
            <v>1.65</v>
          </cell>
          <cell r="J173">
            <v>11.6467773504626</v>
          </cell>
          <cell r="K173">
            <v>12.8529</v>
          </cell>
        </row>
        <row r="174">
          <cell r="C174" t="str">
            <v>SHT0011026</v>
          </cell>
          <cell r="D174" t="str">
            <v>H6副司机座低配</v>
          </cell>
          <cell r="E174" t="str">
            <v>模块内</v>
          </cell>
          <cell r="F174">
            <v>19.600000000000001</v>
          </cell>
          <cell r="G174" t="str">
            <v>材料成本/0.7</v>
          </cell>
          <cell r="I174">
            <v>0.88</v>
          </cell>
          <cell r="J174">
            <v>5.8789402161506397</v>
          </cell>
          <cell r="K174">
            <v>12.8529</v>
          </cell>
        </row>
        <row r="175">
          <cell r="C175" t="str">
            <v>SHT0011385</v>
          </cell>
          <cell r="D175" t="str">
            <v>H6副司机背高配</v>
          </cell>
          <cell r="E175" t="str">
            <v>模块内</v>
          </cell>
          <cell r="F175">
            <v>47.71</v>
          </cell>
          <cell r="G175" t="str">
            <v>材料成本/0.7</v>
          </cell>
          <cell r="I175">
            <v>1.6</v>
          </cell>
          <cell r="J175">
            <v>11.9991328385796</v>
          </cell>
          <cell r="K175">
            <v>12.8529</v>
          </cell>
        </row>
        <row r="176">
          <cell r="C176" t="str">
            <v>SHT0011322</v>
          </cell>
          <cell r="D176" t="str">
            <v>H6司机座低配（副司机高配座）</v>
          </cell>
          <cell r="E176" t="str">
            <v>模块内</v>
          </cell>
          <cell r="F176">
            <v>19.3</v>
          </cell>
          <cell r="G176" t="str">
            <v>材料成本/0.7</v>
          </cell>
          <cell r="I176">
            <v>1.68</v>
          </cell>
          <cell r="J176">
            <v>11.9680190902326</v>
          </cell>
          <cell r="K176">
            <v>12.8529</v>
          </cell>
        </row>
        <row r="177">
          <cell r="C177" t="str">
            <v>SHT0011323</v>
          </cell>
          <cell r="D177" t="str">
            <v>H6司机背低配</v>
          </cell>
          <cell r="E177" t="str">
            <v>模块内</v>
          </cell>
          <cell r="F177">
            <v>47.74</v>
          </cell>
          <cell r="G177" t="str">
            <v>材料成本/0.7</v>
          </cell>
          <cell r="I177">
            <v>1.65</v>
          </cell>
          <cell r="J177">
            <v>11.957865979610901</v>
          </cell>
          <cell r="K177">
            <v>12.8529</v>
          </cell>
        </row>
        <row r="178">
          <cell r="C178" t="str">
            <v>SHT0012270</v>
          </cell>
          <cell r="D178" t="str">
            <v>高配驾驶员靠背泡沫总成</v>
          </cell>
          <cell r="E178" t="str">
            <v>模块内</v>
          </cell>
          <cell r="F178">
            <v>34.81</v>
          </cell>
          <cell r="G178" t="str">
            <v>材料成本/0.7</v>
          </cell>
          <cell r="I178">
            <v>1.65</v>
          </cell>
          <cell r="J178">
            <v>21.361083396127999</v>
          </cell>
          <cell r="K178">
            <v>14.07489</v>
          </cell>
        </row>
        <row r="179">
          <cell r="C179" t="str">
            <v>SHT0012222</v>
          </cell>
          <cell r="D179" t="str">
            <v>高配驾驶员座垫泡沫总成</v>
          </cell>
          <cell r="E179" t="str">
            <v>模块内</v>
          </cell>
          <cell r="F179">
            <v>19.239999999999998</v>
          </cell>
          <cell r="G179" t="str">
            <v>材料成本/0.7</v>
          </cell>
          <cell r="I179">
            <v>0.98</v>
          </cell>
          <cell r="J179">
            <v>12.4627656657782</v>
          </cell>
          <cell r="K179">
            <v>14.097659999999999</v>
          </cell>
        </row>
        <row r="180">
          <cell r="C180" t="str">
            <v>SHT0012219</v>
          </cell>
          <cell r="D180" t="str">
            <v>低配驾驶员靠背泡沫总成</v>
          </cell>
          <cell r="E180" t="str">
            <v>模块内</v>
          </cell>
          <cell r="F180">
            <v>33.909999999999997</v>
          </cell>
          <cell r="G180" t="str">
            <v>材料成本/0.7</v>
          </cell>
          <cell r="I180">
            <v>1.65</v>
          </cell>
          <cell r="J180">
            <v>21.361083396127999</v>
          </cell>
          <cell r="K180">
            <v>14.07489</v>
          </cell>
        </row>
        <row r="181">
          <cell r="C181" t="str">
            <v>SHT0012220</v>
          </cell>
          <cell r="D181" t="str">
            <v>低配驾驶员座垫泡沫总成</v>
          </cell>
          <cell r="E181" t="str">
            <v>模块内</v>
          </cell>
          <cell r="F181">
            <v>19.239999999999998</v>
          </cell>
          <cell r="G181" t="str">
            <v>材料成本/0.7</v>
          </cell>
          <cell r="I181">
            <v>0.98</v>
          </cell>
          <cell r="J181">
            <v>12.4627656657782</v>
          </cell>
          <cell r="K181">
            <v>14.097659999999999</v>
          </cell>
        </row>
        <row r="182">
          <cell r="C182" t="str">
            <v>SHT0014664</v>
          </cell>
          <cell r="D182" t="str">
            <v>重汽T驾驶员靠背泡沫总成</v>
          </cell>
          <cell r="E182" t="str">
            <v>模块内</v>
          </cell>
          <cell r="F182">
            <v>28.4</v>
          </cell>
          <cell r="G182" t="str">
            <v>材料成本/0.7</v>
          </cell>
          <cell r="I182">
            <v>1.68</v>
          </cell>
          <cell r="J182">
            <v>17.508459426469202</v>
          </cell>
          <cell r="K182">
            <v>12.8529</v>
          </cell>
        </row>
        <row r="183">
          <cell r="C183" t="str">
            <v>SHT0012223</v>
          </cell>
          <cell r="D183" t="str">
            <v>重汽T副驾驶员靠背泡沫总成</v>
          </cell>
          <cell r="E183" t="str">
            <v>模块内</v>
          </cell>
          <cell r="F183">
            <v>33.909999999999997</v>
          </cell>
          <cell r="G183" t="str">
            <v>材料成本/0.7</v>
          </cell>
          <cell r="I183">
            <v>1.65</v>
          </cell>
          <cell r="J183">
            <v>21.361083396127999</v>
          </cell>
          <cell r="K183">
            <v>14.07489</v>
          </cell>
        </row>
        <row r="184">
          <cell r="C184" t="str">
            <v>SHT0013956</v>
          </cell>
          <cell r="D184" t="str">
            <v>低配副背泡沫总成</v>
          </cell>
          <cell r="E184" t="str">
            <v>模块内</v>
          </cell>
          <cell r="F184">
            <v>33.909999999999997</v>
          </cell>
          <cell r="G184" t="str">
            <v>材料成本/0.7</v>
          </cell>
          <cell r="J184">
            <v>21.361083396127999</v>
          </cell>
        </row>
        <row r="185">
          <cell r="C185" t="str">
            <v>SHT0012288</v>
          </cell>
          <cell r="D185" t="str">
            <v>重汽TX座垫泡沫总成</v>
          </cell>
          <cell r="E185" t="str">
            <v>模块内</v>
          </cell>
          <cell r="F185">
            <v>19.239999999999998</v>
          </cell>
          <cell r="G185" t="str">
            <v>材料成本/0.7</v>
          </cell>
          <cell r="I185">
            <v>0.8</v>
          </cell>
          <cell r="J185">
            <v>12.4627656657782</v>
          </cell>
          <cell r="K185">
            <v>13.66503</v>
          </cell>
        </row>
        <row r="186">
          <cell r="C186" t="str">
            <v>SHT0013962</v>
          </cell>
          <cell r="D186" t="str">
            <v>低配副座垫泡沫总成</v>
          </cell>
          <cell r="E186" t="str">
            <v>模块内</v>
          </cell>
          <cell r="F186">
            <v>19.239999999999998</v>
          </cell>
          <cell r="G186" t="str">
            <v>材料成本/0.7</v>
          </cell>
          <cell r="J186">
            <v>12.4627656657782</v>
          </cell>
        </row>
        <row r="187">
          <cell r="C187" t="str">
            <v>SHT0014630</v>
          </cell>
          <cell r="D187" t="str">
            <v>靠背泡棉总成</v>
          </cell>
          <cell r="E187" t="str">
            <v>内部</v>
          </cell>
          <cell r="F187">
            <v>32.06</v>
          </cell>
          <cell r="G187" t="str">
            <v>长春内部定价表</v>
          </cell>
          <cell r="I187">
            <v>1.7</v>
          </cell>
          <cell r="J187">
            <v>20.389123064408199</v>
          </cell>
          <cell r="K187">
            <v>12.8529</v>
          </cell>
        </row>
        <row r="188">
          <cell r="C188" t="str">
            <v>SHT0012340</v>
          </cell>
          <cell r="D188" t="str">
            <v>主驾驶座垫泡沫总成</v>
          </cell>
          <cell r="E188" t="str">
            <v>内部</v>
          </cell>
          <cell r="F188">
            <v>19.34</v>
          </cell>
          <cell r="G188" t="str">
            <v>长春内部定价表</v>
          </cell>
          <cell r="I188">
            <v>1</v>
          </cell>
          <cell r="J188">
            <v>12.5293366285284</v>
          </cell>
          <cell r="K188">
            <v>12.8529</v>
          </cell>
        </row>
        <row r="189">
          <cell r="C189" t="str">
            <v>SHT0013536</v>
          </cell>
          <cell r="D189" t="str">
            <v>靠背泡棉总成（通风）</v>
          </cell>
          <cell r="E189" t="str">
            <v>内部</v>
          </cell>
          <cell r="F189">
            <v>31.74</v>
          </cell>
          <cell r="G189" t="str">
            <v>长春内部定价表</v>
          </cell>
          <cell r="I189">
            <v>1.65</v>
          </cell>
          <cell r="J189">
            <v>20.389123064408199</v>
          </cell>
          <cell r="K189">
            <v>14.1432</v>
          </cell>
        </row>
        <row r="190">
          <cell r="C190" t="str">
            <v>SHT0012366</v>
          </cell>
          <cell r="D190" t="str">
            <v>主驾驶座垫泡沫总成（通风）</v>
          </cell>
          <cell r="E190" t="str">
            <v>内部</v>
          </cell>
          <cell r="F190">
            <v>19.34</v>
          </cell>
          <cell r="G190" t="str">
            <v>长春内部定价表</v>
          </cell>
          <cell r="I190">
            <v>1.7</v>
          </cell>
          <cell r="J190">
            <v>12.5293366285284</v>
          </cell>
          <cell r="K190">
            <v>12.8529</v>
          </cell>
        </row>
        <row r="191">
          <cell r="C191" t="str">
            <v>SHT0012345</v>
          </cell>
          <cell r="D191" t="str">
            <v>副驾驶座垫泡沫总成</v>
          </cell>
          <cell r="E191" t="str">
            <v>内部</v>
          </cell>
          <cell r="F191">
            <v>19.34</v>
          </cell>
          <cell r="G191" t="str">
            <v>长春内部定价表</v>
          </cell>
          <cell r="I191">
            <v>1</v>
          </cell>
          <cell r="J191">
            <v>12.5293366285284</v>
          </cell>
          <cell r="K191">
            <v>12.8529</v>
          </cell>
        </row>
        <row r="192">
          <cell r="C192" t="str">
            <v>SLT0001662</v>
          </cell>
          <cell r="D192" t="str">
            <v>M31RB主驾靠背泡沫总成</v>
          </cell>
          <cell r="E192" t="str">
            <v>模块内</v>
          </cell>
          <cell r="F192">
            <v>20.63</v>
          </cell>
          <cell r="G192" t="str">
            <v>材料成本/0.7</v>
          </cell>
          <cell r="I192">
            <v>1</v>
          </cell>
          <cell r="J192">
            <v>12.6568503592426</v>
          </cell>
          <cell r="K192">
            <v>13.619490000000001</v>
          </cell>
        </row>
        <row r="193">
          <cell r="C193" t="str">
            <v>SLT0001661</v>
          </cell>
          <cell r="D193" t="str">
            <v>M31RB主驾坐垫泡沫总成</v>
          </cell>
          <cell r="E193" t="str">
            <v>模块内</v>
          </cell>
          <cell r="F193">
            <v>24.28</v>
          </cell>
          <cell r="G193" t="str">
            <v>材料成本/0.7</v>
          </cell>
          <cell r="J193">
            <v>15.195826486647199</v>
          </cell>
        </row>
        <row r="194">
          <cell r="C194" t="str">
            <v>SLT0001663</v>
          </cell>
          <cell r="D194" t="str">
            <v>M31RB副驾靠背合棉总成</v>
          </cell>
          <cell r="E194" t="str">
            <v>模块内</v>
          </cell>
          <cell r="F194">
            <v>24.12</v>
          </cell>
          <cell r="G194" t="str">
            <v>材料成本/0.7</v>
          </cell>
          <cell r="I194">
            <v>1.1160000000000001</v>
          </cell>
          <cell r="J194">
            <v>15.196692593381499</v>
          </cell>
          <cell r="K194">
            <v>12.458709677419399</v>
          </cell>
        </row>
        <row r="195">
          <cell r="C195" t="str">
            <v>SLT0001664</v>
          </cell>
          <cell r="D195" t="str">
            <v>M31RB副驾驶座垫泡沫总成</v>
          </cell>
          <cell r="E195" t="str">
            <v>模块内</v>
          </cell>
          <cell r="F195">
            <v>20.61</v>
          </cell>
          <cell r="G195" t="str">
            <v>材料成本/0.7</v>
          </cell>
          <cell r="I195">
            <v>1</v>
          </cell>
          <cell r="J195">
            <v>12.6718372831004</v>
          </cell>
          <cell r="K195">
            <v>12.8529</v>
          </cell>
        </row>
        <row r="196">
          <cell r="C196" t="str">
            <v>SHT0015095</v>
          </cell>
          <cell r="D196" t="str">
            <v>靠背泡棉总成（通风）</v>
          </cell>
          <cell r="E196" t="str">
            <v>内部</v>
          </cell>
          <cell r="F196">
            <v>23.17</v>
          </cell>
          <cell r="G196" t="str">
            <v>长春内部定价表</v>
          </cell>
          <cell r="I196">
            <v>1.7</v>
          </cell>
          <cell r="J196">
            <v>14.1642193120574</v>
          </cell>
          <cell r="K196">
            <v>12.8529</v>
          </cell>
        </row>
        <row r="197">
          <cell r="C197" t="str">
            <v>SLT0010863</v>
          </cell>
          <cell r="D197" t="str">
            <v>驾驶员靠背泡沫总成（非通风）</v>
          </cell>
          <cell r="E197" t="str">
            <v>模块内</v>
          </cell>
          <cell r="F197">
            <v>23.65</v>
          </cell>
          <cell r="G197" t="str">
            <v>材料成本/0.7</v>
          </cell>
          <cell r="I197">
            <v>0.99990000000000001</v>
          </cell>
          <cell r="J197">
            <v>13.0984755906224</v>
          </cell>
          <cell r="K197">
            <v>12.720297029703</v>
          </cell>
        </row>
        <row r="198">
          <cell r="C198" t="str">
            <v>SLT0010864</v>
          </cell>
          <cell r="D198" t="str">
            <v>驾驶员通风靠背泡沫总成</v>
          </cell>
          <cell r="E198" t="str">
            <v>模块内</v>
          </cell>
          <cell r="F198">
            <v>23.65</v>
          </cell>
          <cell r="G198" t="str">
            <v>材料成本/0.7</v>
          </cell>
          <cell r="I198">
            <v>0.99990000000000001</v>
          </cell>
          <cell r="J198">
            <v>13.0984755906224</v>
          </cell>
          <cell r="K198">
            <v>12.720297029703</v>
          </cell>
        </row>
        <row r="199">
          <cell r="C199" t="str">
            <v>SLT0010933</v>
          </cell>
          <cell r="D199" t="str">
            <v>驾驶员座垫泡沫总成（非通风）</v>
          </cell>
          <cell r="E199" t="str">
            <v>模块内</v>
          </cell>
          <cell r="F199">
            <v>18.64</v>
          </cell>
          <cell r="G199" t="str">
            <v>材料成本/0.7</v>
          </cell>
          <cell r="I199">
            <v>0.94981000000000004</v>
          </cell>
          <cell r="J199">
            <v>11.880964754328399</v>
          </cell>
          <cell r="K199">
            <v>13.1395709141828</v>
          </cell>
        </row>
        <row r="200">
          <cell r="C200" t="str">
            <v>SLT0010999</v>
          </cell>
          <cell r="D200" t="str">
            <v>驾驶员通风座垫泡沫总成</v>
          </cell>
          <cell r="E200" t="str">
            <v>模块内</v>
          </cell>
          <cell r="F200">
            <v>18.64</v>
          </cell>
          <cell r="G200" t="str">
            <v>材料成本/0.7</v>
          </cell>
          <cell r="I200">
            <v>1.1000000000000001</v>
          </cell>
          <cell r="J200">
            <v>11.880964754328399</v>
          </cell>
          <cell r="K200">
            <v>14.22669</v>
          </cell>
        </row>
        <row r="201">
          <cell r="C201" t="str">
            <v>SLT0011285</v>
          </cell>
          <cell r="D201" t="str">
            <v>驾驶员座垫泡沫总成（非通风减震）</v>
          </cell>
          <cell r="E201" t="str">
            <v>模块内</v>
          </cell>
          <cell r="F201">
            <v>46.59</v>
          </cell>
          <cell r="G201" t="str">
            <v>材料成本/0.7</v>
          </cell>
          <cell r="I201">
            <v>1.0798920000000001</v>
          </cell>
          <cell r="J201">
            <v>11.880964754328399</v>
          </cell>
          <cell r="K201">
            <v>13.127161716171599</v>
          </cell>
        </row>
        <row r="202">
          <cell r="C202" t="str">
            <v>SLT0011061</v>
          </cell>
          <cell r="D202" t="str">
            <v>副驾靠背泡沫总成</v>
          </cell>
          <cell r="E202" t="str">
            <v>模块内</v>
          </cell>
          <cell r="F202">
            <v>23.65</v>
          </cell>
          <cell r="G202" t="str">
            <v>材料成本/0.7</v>
          </cell>
          <cell r="I202">
            <v>1.35</v>
          </cell>
          <cell r="J202">
            <v>13.0984755906224</v>
          </cell>
          <cell r="K202">
            <v>14.1432</v>
          </cell>
        </row>
        <row r="203">
          <cell r="C203" t="str">
            <v>SLT0011125</v>
          </cell>
          <cell r="D203" t="str">
            <v>副驾座垫泡沫总成2060</v>
          </cell>
          <cell r="E203" t="str">
            <v>模块内</v>
          </cell>
          <cell r="F203">
            <v>103.33</v>
          </cell>
          <cell r="G203" t="str">
            <v>材料成本/0.7</v>
          </cell>
          <cell r="I203">
            <v>3.2403200000000001</v>
          </cell>
          <cell r="J203">
            <v>39.588595050132596</v>
          </cell>
          <cell r="K203">
            <v>12.834865692277299</v>
          </cell>
        </row>
        <row r="204">
          <cell r="C204" t="str">
            <v>SLT0011158</v>
          </cell>
          <cell r="D204" t="str">
            <v>副驾小背泡沫总成1880</v>
          </cell>
          <cell r="E204" t="str">
            <v>模块内</v>
          </cell>
          <cell r="F204">
            <v>14.61</v>
          </cell>
          <cell r="G204" t="str">
            <v>材料成本/0.7</v>
          </cell>
          <cell r="I204">
            <v>0.729854</v>
          </cell>
          <cell r="J204">
            <v>9.1062970817405393</v>
          </cell>
          <cell r="K204">
            <v>12.767586517303499</v>
          </cell>
        </row>
        <row r="205">
          <cell r="C205" t="str">
            <v>SLT0011174</v>
          </cell>
          <cell r="D205" t="str">
            <v>副驾座垫泡沫总成1880</v>
          </cell>
          <cell r="E205" t="str">
            <v>模块内</v>
          </cell>
          <cell r="F205">
            <v>97.46</v>
          </cell>
          <cell r="G205" t="str">
            <v>材料成本/0.7</v>
          </cell>
          <cell r="I205">
            <v>2.9994000000000001</v>
          </cell>
          <cell r="J205">
            <v>37.703119045168599</v>
          </cell>
          <cell r="K205">
            <v>12.8594438887778</v>
          </cell>
        </row>
        <row r="206">
          <cell r="C206" t="str">
            <v>SLT0011075</v>
          </cell>
          <cell r="D206" t="str">
            <v>副驾小背泡沫总成2060</v>
          </cell>
          <cell r="E206" t="str">
            <v>模块内</v>
          </cell>
          <cell r="F206">
            <v>14.1</v>
          </cell>
          <cell r="G206" t="str">
            <v>材料成本/0.7</v>
          </cell>
          <cell r="I206">
            <v>0.69986000000000004</v>
          </cell>
          <cell r="J206">
            <v>8.7542940128612994</v>
          </cell>
          <cell r="K206">
            <v>12.9110662132426</v>
          </cell>
        </row>
        <row r="207">
          <cell r="C207" t="str">
            <v>SCS0012076</v>
          </cell>
          <cell r="D207" t="str">
            <v>前排左座L002063982</v>
          </cell>
          <cell r="E207" t="str">
            <v>外部</v>
          </cell>
          <cell r="F207">
            <v>0</v>
          </cell>
          <cell r="H207" t="str">
            <v>未量产</v>
          </cell>
          <cell r="I207">
            <v>1.1000000000000001</v>
          </cell>
          <cell r="J207" t="e">
            <v>#N/A</v>
          </cell>
          <cell r="K207">
            <v>12.991</v>
          </cell>
        </row>
        <row r="208">
          <cell r="C208" t="str">
            <v>SCS0012074</v>
          </cell>
          <cell r="D208" t="str">
            <v>前排左背L002063797</v>
          </cell>
          <cell r="E208" t="str">
            <v>外部</v>
          </cell>
          <cell r="F208">
            <v>0</v>
          </cell>
          <cell r="H208" t="str">
            <v>未量产</v>
          </cell>
          <cell r="I208">
            <v>1.3</v>
          </cell>
          <cell r="J208" t="e">
            <v>#N/A</v>
          </cell>
          <cell r="K208">
            <v>13.0923</v>
          </cell>
        </row>
        <row r="209">
          <cell r="C209" t="str">
            <v>SCS0012075</v>
          </cell>
          <cell r="D209" t="str">
            <v>前排右背L002063961</v>
          </cell>
          <cell r="E209" t="str">
            <v>外部</v>
          </cell>
          <cell r="F209">
            <v>0</v>
          </cell>
          <cell r="H209" t="str">
            <v>未量产</v>
          </cell>
          <cell r="I209">
            <v>1.3</v>
          </cell>
          <cell r="J209" t="e">
            <v>#N/A</v>
          </cell>
          <cell r="K209">
            <v>13.0923</v>
          </cell>
        </row>
        <row r="210">
          <cell r="C210" t="str">
            <v>SCS0012077</v>
          </cell>
          <cell r="D210" t="str">
            <v>前排右座L002063991</v>
          </cell>
          <cell r="E210" t="str">
            <v>外部</v>
          </cell>
          <cell r="F210">
            <v>0</v>
          </cell>
          <cell r="H210" t="str">
            <v>未量产</v>
          </cell>
          <cell r="I210">
            <v>1.1000000000000001</v>
          </cell>
          <cell r="J210" t="e">
            <v>#N/A</v>
          </cell>
          <cell r="K210">
            <v>13.0364</v>
          </cell>
        </row>
        <row r="211">
          <cell r="C211" t="str">
            <v>SCS0012078</v>
          </cell>
          <cell r="D211" t="str">
            <v>后排四分靠背发泡总成L002064876</v>
          </cell>
          <cell r="E211" t="str">
            <v>外部</v>
          </cell>
          <cell r="F211">
            <v>0</v>
          </cell>
          <cell r="I211">
            <v>1.35</v>
          </cell>
          <cell r="J211" t="e">
            <v>#N/A</v>
          </cell>
          <cell r="K211">
            <v>12.926</v>
          </cell>
        </row>
        <row r="212">
          <cell r="C212" t="str">
            <v>SCS0012079</v>
          </cell>
          <cell r="D212" t="str">
            <v>后排六分靠背发泡总成L002064868</v>
          </cell>
          <cell r="E212" t="str">
            <v>外部</v>
          </cell>
          <cell r="F212">
            <v>0</v>
          </cell>
          <cell r="I212">
            <v>1.95</v>
          </cell>
          <cell r="J212" t="e">
            <v>#N/A</v>
          </cell>
          <cell r="K212">
            <v>13.025639999999999</v>
          </cell>
        </row>
        <row r="213">
          <cell r="C213" t="str">
            <v>SCS0011969</v>
          </cell>
          <cell r="D213" t="str">
            <v>V71后排四分背泡沫总成带气囊</v>
          </cell>
          <cell r="E213" t="str">
            <v>外部</v>
          </cell>
          <cell r="F213">
            <v>0</v>
          </cell>
          <cell r="H213" t="str">
            <v>未量产</v>
          </cell>
          <cell r="I213">
            <v>1.08</v>
          </cell>
          <cell r="J213" t="e">
            <v>#N/A</v>
          </cell>
          <cell r="K213">
            <v>12.741</v>
          </cell>
        </row>
        <row r="214">
          <cell r="C214" t="str">
            <v>SCS0011971</v>
          </cell>
          <cell r="D214" t="str">
            <v>后排六分背泡沫总成                  L002152803</v>
          </cell>
          <cell r="E214" t="str">
            <v>外部</v>
          </cell>
          <cell r="F214">
            <v>0</v>
          </cell>
          <cell r="H214" t="str">
            <v>未量产</v>
          </cell>
          <cell r="I214">
            <v>1.55</v>
          </cell>
          <cell r="J214" t="e">
            <v>#N/A</v>
          </cell>
          <cell r="K214">
            <v>12.781000000000001</v>
          </cell>
        </row>
        <row r="215">
          <cell r="C215" t="str">
            <v>SCS0012080</v>
          </cell>
          <cell r="D215" t="str">
            <v>B01后排坐垫泡沫总成L002064772</v>
          </cell>
          <cell r="E215" t="str">
            <v>外部</v>
          </cell>
          <cell r="F215">
            <v>0</v>
          </cell>
          <cell r="H215" t="str">
            <v>未量产</v>
          </cell>
          <cell r="I215">
            <v>4.5</v>
          </cell>
          <cell r="J215" t="e">
            <v>#N/A</v>
          </cell>
          <cell r="K215">
            <v>13.02</v>
          </cell>
        </row>
        <row r="216">
          <cell r="C216" t="str">
            <v>SCS0011961</v>
          </cell>
          <cell r="D216" t="str">
            <v>前排右坐垫泡沫4向带通风         L002452619</v>
          </cell>
          <cell r="E216" t="str">
            <v>外部</v>
          </cell>
          <cell r="F216">
            <v>0</v>
          </cell>
          <cell r="H216" t="str">
            <v>未开发票未定价</v>
          </cell>
          <cell r="I216">
            <v>0.88</v>
          </cell>
          <cell r="J216">
            <v>12.5207652849118</v>
          </cell>
          <cell r="K216">
            <v>12.83</v>
          </cell>
        </row>
        <row r="217">
          <cell r="C217" t="str">
            <v>SCS0011967</v>
          </cell>
          <cell r="D217" t="str">
            <v>前排右坐垫泡沫6向带通风         L002452619</v>
          </cell>
          <cell r="E217" t="str">
            <v>外部</v>
          </cell>
          <cell r="F217">
            <v>0</v>
          </cell>
          <cell r="H217" t="str">
            <v>未开发票未定价</v>
          </cell>
          <cell r="J217">
            <v>12.5207652849118</v>
          </cell>
        </row>
        <row r="218">
          <cell r="C218" t="str">
            <v>SCS0011972</v>
          </cell>
          <cell r="D218" t="str">
            <v>后排坐垫泡沫总成                      L002187704</v>
          </cell>
          <cell r="E218" t="str">
            <v>外部</v>
          </cell>
          <cell r="F218">
            <v>0</v>
          </cell>
          <cell r="H218" t="str">
            <v>未开发票未定价</v>
          </cell>
          <cell r="I218">
            <v>4.08</v>
          </cell>
          <cell r="J218">
            <v>56.8247640380064</v>
          </cell>
          <cell r="K218">
            <v>12.819000000000001</v>
          </cell>
        </row>
        <row r="219">
          <cell r="C219" t="str">
            <v>SCS0011957</v>
          </cell>
          <cell r="D219" t="str">
            <v>前排左驾靠背泡沫总成              L002152793</v>
          </cell>
          <cell r="E219" t="str">
            <v>外部</v>
          </cell>
          <cell r="F219">
            <v>0</v>
          </cell>
          <cell r="H219" t="str">
            <v>未开发票未定价</v>
          </cell>
          <cell r="I219">
            <v>1.32</v>
          </cell>
          <cell r="J219">
            <v>15.703765302552201</v>
          </cell>
          <cell r="K219">
            <v>12.856</v>
          </cell>
        </row>
        <row r="220">
          <cell r="C220" t="str">
            <v>SCS0011958</v>
          </cell>
          <cell r="D220" t="str">
            <v>前排右驾靠背泡沫总成              L002152795</v>
          </cell>
          <cell r="E220" t="str">
            <v>外部</v>
          </cell>
          <cell r="F220">
            <v>0</v>
          </cell>
          <cell r="H220" t="str">
            <v>未开发票未定价</v>
          </cell>
          <cell r="I220">
            <v>1.3</v>
          </cell>
          <cell r="J220">
            <v>15.703765302552201</v>
          </cell>
          <cell r="K220">
            <v>12.8538</v>
          </cell>
        </row>
        <row r="221">
          <cell r="C221" t="str">
            <v>SCS0011959</v>
          </cell>
          <cell r="D221" t="str">
            <v>前排右驾靠背泡沫总成              L002152796</v>
          </cell>
          <cell r="E221" t="str">
            <v>外部</v>
          </cell>
          <cell r="H221" t="str">
            <v>未开发票未定价</v>
          </cell>
          <cell r="I221">
            <v>0.89</v>
          </cell>
          <cell r="K221">
            <v>12.8315</v>
          </cell>
        </row>
        <row r="222">
          <cell r="C222" t="str">
            <v>SCS0011960</v>
          </cell>
          <cell r="D222" t="str">
            <v>前排左坐垫泡沫总成8向            L002152797</v>
          </cell>
          <cell r="E222" t="str">
            <v>外部</v>
          </cell>
          <cell r="F222">
            <v>0</v>
          </cell>
          <cell r="H222" t="str">
            <v>未开发票未定价</v>
          </cell>
          <cell r="I222">
            <v>0.88</v>
          </cell>
          <cell r="J222">
            <v>12.5207652849118</v>
          </cell>
          <cell r="K222">
            <v>12.83</v>
          </cell>
        </row>
        <row r="223">
          <cell r="C223" t="str">
            <v>SCS0011970</v>
          </cell>
          <cell r="D223" t="str">
            <v>后排六分背泡沫总成                  L002152801</v>
          </cell>
          <cell r="E223" t="str">
            <v>外部</v>
          </cell>
          <cell r="F223">
            <v>0</v>
          </cell>
          <cell r="H223" t="str">
            <v>未开发票未定价</v>
          </cell>
          <cell r="J223">
            <v>19.4458735557686</v>
          </cell>
        </row>
        <row r="224">
          <cell r="C224" t="str">
            <v>SCS0011968</v>
          </cell>
          <cell r="D224" t="str">
            <v>后排四分背泡沫总成无气囊       L002152804</v>
          </cell>
          <cell r="E224" t="str">
            <v>外部</v>
          </cell>
          <cell r="F224">
            <v>0</v>
          </cell>
          <cell r="H224" t="str">
            <v>未开发票未定价</v>
          </cell>
          <cell r="J224">
            <v>14.029184523925601</v>
          </cell>
        </row>
        <row r="225">
          <cell r="C225" t="str">
            <v>SLT0002176</v>
          </cell>
          <cell r="D225" t="str">
            <v>驾驶员靠背泡沫总成</v>
          </cell>
          <cell r="I225">
            <v>1.25</v>
          </cell>
          <cell r="J225" t="e">
            <v>#N/A</v>
          </cell>
          <cell r="K225">
            <v>12.8555172413793</v>
          </cell>
        </row>
        <row r="226">
          <cell r="C226" t="str">
            <v>SLT0011601</v>
          </cell>
          <cell r="D226" t="str">
            <v>副驾靠背泡沫总成</v>
          </cell>
          <cell r="I226">
            <v>0.99990000000000001</v>
          </cell>
          <cell r="J226" t="e">
            <v>#N/A</v>
          </cell>
          <cell r="K226">
            <v>12.709669966996699</v>
          </cell>
        </row>
        <row r="227">
          <cell r="C227" t="str">
            <v>SHT0002482</v>
          </cell>
          <cell r="D227" t="str">
            <v>泡沫样块</v>
          </cell>
          <cell r="I227">
            <v>1.35</v>
          </cell>
          <cell r="J227" t="e">
            <v>#N/A</v>
          </cell>
          <cell r="K227">
            <v>14.188739999999999</v>
          </cell>
        </row>
        <row r="228">
          <cell r="C228" t="str">
            <v>SHT0012307</v>
          </cell>
          <cell r="D228" t="str">
            <v>驾驶员靠背泡沫总成</v>
          </cell>
          <cell r="I228">
            <v>1.2</v>
          </cell>
          <cell r="J228" t="e">
            <v>#N/A</v>
          </cell>
          <cell r="K228">
            <v>13.70298</v>
          </cell>
        </row>
        <row r="229">
          <cell r="C229" t="str">
            <v>SHT0013331</v>
          </cell>
          <cell r="D229" t="str">
            <v>坐垫泡沫总成</v>
          </cell>
          <cell r="I229">
            <v>0.95</v>
          </cell>
          <cell r="J229" t="e">
            <v>#N/A</v>
          </cell>
          <cell r="K229">
            <v>12.8529</v>
          </cell>
        </row>
        <row r="230">
          <cell r="C230" t="str">
            <v>SLT0002182</v>
          </cell>
          <cell r="D230" t="str">
            <v>驾驶员座垫泡沫总成</v>
          </cell>
          <cell r="I230">
            <v>0.55000000000000004</v>
          </cell>
          <cell r="J230" t="e">
            <v>#N/A</v>
          </cell>
          <cell r="K230">
            <v>12.8529</v>
          </cell>
        </row>
        <row r="231">
          <cell r="C231" t="str">
            <v>SLT0000110</v>
          </cell>
          <cell r="D231" t="str">
            <v>二排靠背泡沫总成</v>
          </cell>
          <cell r="I231">
            <v>2</v>
          </cell>
          <cell r="J231" t="e">
            <v>#N/A</v>
          </cell>
          <cell r="K231">
            <v>12.8529</v>
          </cell>
        </row>
        <row r="232">
          <cell r="C232" t="str">
            <v>SLT0000111</v>
          </cell>
          <cell r="D232" t="str">
            <v>二排座垫泡沫总成</v>
          </cell>
          <cell r="I232">
            <v>2.16</v>
          </cell>
          <cell r="J232" t="e">
            <v>#N/A</v>
          </cell>
          <cell r="K232">
            <v>14.181150000000001</v>
          </cell>
        </row>
        <row r="233">
          <cell r="C233" t="str">
            <v>SLT0011286</v>
          </cell>
          <cell r="D233" t="str">
            <v>驾驶员通风座垫泡沫总成</v>
          </cell>
          <cell r="I233">
            <v>1.1000000000000001</v>
          </cell>
          <cell r="J233" t="e">
            <v>#N/A</v>
          </cell>
          <cell r="K233">
            <v>14.22669</v>
          </cell>
        </row>
        <row r="234">
          <cell r="C234" t="str">
            <v>SHT0000593</v>
          </cell>
          <cell r="D234" t="str">
            <v>驾驶员座垫泡沫总成</v>
          </cell>
          <cell r="I234">
            <v>1.1000000000000001</v>
          </cell>
          <cell r="J234" t="e">
            <v>#N/A</v>
          </cell>
          <cell r="K234">
            <v>14.05212</v>
          </cell>
        </row>
        <row r="235">
          <cell r="C235" t="str">
            <v>SHT0011282</v>
          </cell>
          <cell r="D235" t="str">
            <v>驾驶员靠背泡沫总成</v>
          </cell>
          <cell r="I235">
            <v>1.65</v>
          </cell>
          <cell r="J235" t="e">
            <v>#N/A</v>
          </cell>
          <cell r="K235">
            <v>14.20392</v>
          </cell>
        </row>
        <row r="236">
          <cell r="C236" t="str">
            <v>SHT0000551</v>
          </cell>
          <cell r="D236" t="str">
            <v>下卧铺泡沫总成加宽右</v>
          </cell>
          <cell r="I236">
            <v>2.6</v>
          </cell>
          <cell r="J236" t="e">
            <v>#N/A</v>
          </cell>
          <cell r="K236">
            <v>12.8529</v>
          </cell>
        </row>
        <row r="237">
          <cell r="C237" t="str">
            <v>SHT0000628</v>
          </cell>
          <cell r="D237" t="str">
            <v>下卧铺泡沫总成右</v>
          </cell>
          <cell r="I237">
            <v>1.65</v>
          </cell>
          <cell r="J237" t="e">
            <v>#N/A</v>
          </cell>
          <cell r="K237">
            <v>12.8529</v>
          </cell>
        </row>
        <row r="238">
          <cell r="C238" t="str">
            <v>SHT0000629</v>
          </cell>
          <cell r="D238" t="str">
            <v>下卧铺翻转块泡沫</v>
          </cell>
          <cell r="I238">
            <v>3.1</v>
          </cell>
          <cell r="J238" t="e">
            <v>#N/A</v>
          </cell>
          <cell r="K238">
            <v>12.8529</v>
          </cell>
        </row>
        <row r="239">
          <cell r="C239" t="str">
            <v>SHT0000630</v>
          </cell>
          <cell r="D239" t="str">
            <v>下卧铺泡沫总成左</v>
          </cell>
          <cell r="I239">
            <v>5</v>
          </cell>
          <cell r="J239" t="e">
            <v>#N/A</v>
          </cell>
          <cell r="K239">
            <v>12.8529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PowerPoint_Presentation.ppt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Relationship Id="rId5" Type="http://schemas.openxmlformats.org/officeDocument/2006/relationships/package" Target="../embeddings/Microsoft_PowerPoint_Presentation1.pptx"/><Relationship Id="rId4" Type="http://schemas.openxmlformats.org/officeDocument/2006/relationships/image" Target="../media/image13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topLeftCell="A14" zoomScale="40" zoomScaleNormal="25" workbookViewId="0">
      <selection activeCell="H22" sqref="H22"/>
    </sheetView>
  </sheetViews>
  <sheetFormatPr defaultColWidth="9" defaultRowHeight="18" customHeight="1"/>
  <cols>
    <col min="1" max="1" width="26" style="74" customWidth="1"/>
    <col min="2" max="2" width="13.375" style="74" customWidth="1"/>
    <col min="3" max="3" width="21.875" style="104" customWidth="1"/>
    <col min="4" max="4" width="30.25" style="74" customWidth="1"/>
    <col min="5" max="5" width="41.5" style="76" customWidth="1"/>
    <col min="6" max="7" width="29.625" style="76" customWidth="1"/>
    <col min="8" max="8" width="18.875" style="76" customWidth="1"/>
    <col min="9" max="11" width="29.625" style="76" customWidth="1"/>
    <col min="12" max="13" width="29.625" style="77" customWidth="1"/>
    <col min="14" max="14" width="32.25" style="76" customWidth="1"/>
    <col min="15" max="15" width="32.25" style="105" customWidth="1"/>
    <col min="16" max="16" width="30.25" style="76" customWidth="1"/>
    <col min="17" max="16384" width="9" style="76"/>
  </cols>
  <sheetData>
    <row r="1" spans="1:15" s="73" customFormat="1" ht="75.7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  <c r="N1" s="114"/>
      <c r="O1" s="111"/>
    </row>
    <row r="2" spans="1:15" ht="99" customHeight="1">
      <c r="A2" s="106" t="s">
        <v>1</v>
      </c>
      <c r="B2" s="107" t="s">
        <v>2</v>
      </c>
      <c r="C2" s="107" t="s">
        <v>3</v>
      </c>
      <c r="D2" s="107" t="s">
        <v>4</v>
      </c>
      <c r="E2" s="108" t="s">
        <v>5</v>
      </c>
      <c r="F2" s="78" t="s">
        <v>6</v>
      </c>
      <c r="G2" s="78"/>
      <c r="H2" s="78"/>
      <c r="I2" s="78"/>
      <c r="J2" s="78"/>
      <c r="K2" s="129" t="s">
        <v>7</v>
      </c>
      <c r="L2" s="85" t="s">
        <v>8</v>
      </c>
      <c r="M2" s="85"/>
      <c r="N2" s="129" t="s">
        <v>9</v>
      </c>
      <c r="O2" s="137" t="s">
        <v>10</v>
      </c>
    </row>
    <row r="3" spans="1:15" ht="32.25">
      <c r="A3" s="109"/>
      <c r="B3" s="107"/>
      <c r="C3" s="107"/>
      <c r="D3" s="107"/>
      <c r="E3" s="108"/>
      <c r="F3" s="78" t="s">
        <v>11</v>
      </c>
      <c r="G3" s="78" t="s">
        <v>12</v>
      </c>
      <c r="H3" s="78" t="s">
        <v>13</v>
      </c>
      <c r="I3" s="78" t="s">
        <v>14</v>
      </c>
      <c r="J3" s="78" t="s">
        <v>15</v>
      </c>
      <c r="K3" s="130"/>
      <c r="L3" s="86"/>
      <c r="M3" s="86"/>
      <c r="N3" s="130"/>
      <c r="O3" s="138"/>
    </row>
    <row r="4" spans="1:15" ht="80.099999999999994" customHeight="1">
      <c r="A4" s="116" t="s">
        <v>16</v>
      </c>
      <c r="B4" s="119">
        <v>1</v>
      </c>
      <c r="C4" s="121" t="s">
        <v>17</v>
      </c>
      <c r="D4" s="125" t="s">
        <v>18</v>
      </c>
      <c r="E4" s="127"/>
      <c r="F4" s="80" t="s">
        <v>19</v>
      </c>
      <c r="G4" s="81" t="s">
        <v>20</v>
      </c>
      <c r="H4" s="82">
        <v>1</v>
      </c>
      <c r="I4" s="83" t="s">
        <v>21</v>
      </c>
      <c r="J4" s="82"/>
      <c r="K4" s="80" t="s">
        <v>22</v>
      </c>
      <c r="L4" s="87" t="s">
        <v>23</v>
      </c>
      <c r="M4" s="88">
        <f>1.004*21</f>
        <v>21.084</v>
      </c>
      <c r="N4" s="131">
        <f>26.97-17.69</f>
        <v>9.2799999999999976</v>
      </c>
      <c r="O4" s="139">
        <f>N4/0.7+M4</f>
        <v>34.341142857142856</v>
      </c>
    </row>
    <row r="5" spans="1:15" ht="80.099999999999994" customHeight="1">
      <c r="A5" s="117"/>
      <c r="B5" s="120"/>
      <c r="C5" s="122"/>
      <c r="D5" s="126"/>
      <c r="E5" s="128"/>
      <c r="F5" s="80" t="s">
        <v>24</v>
      </c>
      <c r="G5" s="81" t="s">
        <v>25</v>
      </c>
      <c r="H5" s="82">
        <v>1</v>
      </c>
      <c r="I5" s="83" t="s">
        <v>26</v>
      </c>
      <c r="J5" s="82"/>
      <c r="K5" s="81" t="s">
        <v>27</v>
      </c>
      <c r="L5" s="90" t="s">
        <v>28</v>
      </c>
      <c r="M5" s="91"/>
      <c r="N5" s="132"/>
      <c r="O5" s="140"/>
    </row>
    <row r="6" spans="1:15" ht="80.099999999999994" customHeight="1">
      <c r="A6" s="117"/>
      <c r="B6" s="120"/>
      <c r="C6" s="122"/>
      <c r="D6" s="126"/>
      <c r="E6" s="128"/>
      <c r="F6" s="81" t="s">
        <v>29</v>
      </c>
      <c r="G6" s="83" t="s">
        <v>30</v>
      </c>
      <c r="H6" s="82">
        <v>1</v>
      </c>
      <c r="I6" s="82" t="s">
        <v>31</v>
      </c>
      <c r="J6" s="82"/>
      <c r="K6" s="81" t="s">
        <v>27</v>
      </c>
      <c r="L6" s="90" t="s">
        <v>28</v>
      </c>
      <c r="M6" s="91"/>
      <c r="N6" s="132"/>
      <c r="O6" s="140"/>
    </row>
    <row r="7" spans="1:15" ht="80.099999999999994" customHeight="1">
      <c r="A7" s="117"/>
      <c r="B7" s="120"/>
      <c r="C7" s="122"/>
      <c r="D7" s="126"/>
      <c r="E7" s="128"/>
      <c r="F7" s="81" t="s">
        <v>29</v>
      </c>
      <c r="G7" s="83" t="s">
        <v>32</v>
      </c>
      <c r="H7" s="82">
        <v>1</v>
      </c>
      <c r="I7" s="82" t="s">
        <v>31</v>
      </c>
      <c r="J7" s="82"/>
      <c r="K7" s="81" t="s">
        <v>27</v>
      </c>
      <c r="L7" s="90" t="s">
        <v>28</v>
      </c>
      <c r="M7" s="91"/>
      <c r="N7" s="132"/>
      <c r="O7" s="140"/>
    </row>
    <row r="8" spans="1:15" ht="80.099999999999994" customHeight="1">
      <c r="A8" s="117"/>
      <c r="B8" s="120"/>
      <c r="C8" s="122"/>
      <c r="D8" s="126"/>
      <c r="E8" s="128"/>
      <c r="F8" s="83" t="s">
        <v>33</v>
      </c>
      <c r="G8" s="82" t="s">
        <v>34</v>
      </c>
      <c r="H8" s="82">
        <v>1</v>
      </c>
      <c r="I8" s="82" t="s">
        <v>31</v>
      </c>
      <c r="J8" s="82"/>
      <c r="K8" s="81" t="s">
        <v>27</v>
      </c>
      <c r="L8" s="90" t="s">
        <v>28</v>
      </c>
      <c r="M8" s="91"/>
      <c r="N8" s="132"/>
      <c r="O8" s="140"/>
    </row>
    <row r="9" spans="1:15" ht="80.099999999999994" customHeight="1">
      <c r="A9" s="117"/>
      <c r="B9" s="120"/>
      <c r="C9" s="122"/>
      <c r="D9" s="126"/>
      <c r="E9" s="128"/>
      <c r="F9" s="81" t="s">
        <v>35</v>
      </c>
      <c r="G9" s="81" t="s">
        <v>36</v>
      </c>
      <c r="H9" s="82">
        <v>2</v>
      </c>
      <c r="I9" s="82" t="s">
        <v>37</v>
      </c>
      <c r="J9" s="82"/>
      <c r="K9" s="80" t="s">
        <v>38</v>
      </c>
      <c r="L9" s="90" t="s">
        <v>28</v>
      </c>
      <c r="M9" s="91"/>
      <c r="N9" s="132"/>
      <c r="O9" s="140"/>
    </row>
    <row r="10" spans="1:15" ht="80.099999999999994" customHeight="1">
      <c r="A10" s="117"/>
      <c r="B10" s="120"/>
      <c r="C10" s="122"/>
      <c r="D10" s="126"/>
      <c r="E10" s="128"/>
      <c r="F10" s="83" t="s">
        <v>39</v>
      </c>
      <c r="G10" s="82" t="s">
        <v>40</v>
      </c>
      <c r="H10" s="82">
        <v>1</v>
      </c>
      <c r="I10" s="82" t="s">
        <v>41</v>
      </c>
      <c r="J10" s="82"/>
      <c r="K10" s="82" t="s">
        <v>42</v>
      </c>
      <c r="L10" s="90" t="s">
        <v>28</v>
      </c>
      <c r="M10" s="92"/>
      <c r="N10" s="133"/>
      <c r="O10" s="141"/>
    </row>
    <row r="11" spans="1:15" ht="80.099999999999994" customHeight="1">
      <c r="A11" s="117"/>
      <c r="B11" s="119">
        <v>2</v>
      </c>
      <c r="C11" s="123" t="s">
        <v>43</v>
      </c>
      <c r="D11" s="125" t="s">
        <v>44</v>
      </c>
      <c r="E11" s="127"/>
      <c r="F11" s="80" t="s">
        <v>19</v>
      </c>
      <c r="G11" s="81" t="s">
        <v>45</v>
      </c>
      <c r="H11" s="82">
        <v>1</v>
      </c>
      <c r="I11" s="83" t="s">
        <v>46</v>
      </c>
      <c r="J11" s="82"/>
      <c r="K11" s="80" t="s">
        <v>22</v>
      </c>
      <c r="L11" s="87" t="s">
        <v>23</v>
      </c>
      <c r="M11" s="88">
        <f>1.004*21</f>
        <v>21.084</v>
      </c>
      <c r="N11" s="131">
        <f>26.97-17.69</f>
        <v>9.2799999999999976</v>
      </c>
      <c r="O11" s="139">
        <f>N11/0.7+M11</f>
        <v>34.341142857142856</v>
      </c>
    </row>
    <row r="12" spans="1:15" ht="80.099999999999994" customHeight="1">
      <c r="A12" s="117"/>
      <c r="B12" s="120"/>
      <c r="C12" s="124"/>
      <c r="D12" s="126"/>
      <c r="E12" s="128"/>
      <c r="F12" s="80" t="s">
        <v>24</v>
      </c>
      <c r="G12" s="81" t="s">
        <v>47</v>
      </c>
      <c r="H12" s="82">
        <v>1</v>
      </c>
      <c r="I12" s="83" t="s">
        <v>26</v>
      </c>
      <c r="J12" s="82"/>
      <c r="K12" s="81" t="s">
        <v>27</v>
      </c>
      <c r="L12" s="90" t="s">
        <v>28</v>
      </c>
      <c r="M12" s="91"/>
      <c r="N12" s="132"/>
      <c r="O12" s="140"/>
    </row>
    <row r="13" spans="1:15" ht="80.099999999999994" customHeight="1">
      <c r="A13" s="117"/>
      <c r="B13" s="120"/>
      <c r="C13" s="124"/>
      <c r="D13" s="126"/>
      <c r="E13" s="128"/>
      <c r="F13" s="81" t="s">
        <v>29</v>
      </c>
      <c r="G13" s="83" t="s">
        <v>30</v>
      </c>
      <c r="H13" s="82">
        <v>1</v>
      </c>
      <c r="I13" s="82" t="s">
        <v>31</v>
      </c>
      <c r="J13" s="82"/>
      <c r="K13" s="81" t="s">
        <v>27</v>
      </c>
      <c r="L13" s="90" t="s">
        <v>28</v>
      </c>
      <c r="M13" s="91"/>
      <c r="N13" s="132"/>
      <c r="O13" s="140"/>
    </row>
    <row r="14" spans="1:15" ht="80.099999999999994" customHeight="1">
      <c r="A14" s="117"/>
      <c r="B14" s="120"/>
      <c r="C14" s="124"/>
      <c r="D14" s="126"/>
      <c r="E14" s="128"/>
      <c r="F14" s="81" t="s">
        <v>29</v>
      </c>
      <c r="G14" s="83" t="s">
        <v>32</v>
      </c>
      <c r="H14" s="82">
        <v>1</v>
      </c>
      <c r="I14" s="82" t="s">
        <v>31</v>
      </c>
      <c r="J14" s="82"/>
      <c r="K14" s="81" t="s">
        <v>27</v>
      </c>
      <c r="L14" s="90" t="s">
        <v>28</v>
      </c>
      <c r="M14" s="91"/>
      <c r="N14" s="132"/>
      <c r="O14" s="140"/>
    </row>
    <row r="15" spans="1:15" ht="80.099999999999994" customHeight="1">
      <c r="A15" s="117"/>
      <c r="B15" s="120"/>
      <c r="C15" s="124"/>
      <c r="D15" s="126"/>
      <c r="E15" s="128"/>
      <c r="F15" s="83" t="s">
        <v>33</v>
      </c>
      <c r="G15" s="82" t="s">
        <v>34</v>
      </c>
      <c r="H15" s="82">
        <v>1</v>
      </c>
      <c r="I15" s="82" t="s">
        <v>31</v>
      </c>
      <c r="J15" s="82"/>
      <c r="K15" s="81" t="s">
        <v>27</v>
      </c>
      <c r="L15" s="90" t="s">
        <v>28</v>
      </c>
      <c r="M15" s="91"/>
      <c r="N15" s="132"/>
      <c r="O15" s="140"/>
    </row>
    <row r="16" spans="1:15" ht="80.099999999999994" customHeight="1">
      <c r="A16" s="117"/>
      <c r="B16" s="120"/>
      <c r="C16" s="124"/>
      <c r="D16" s="126"/>
      <c r="E16" s="128"/>
      <c r="F16" s="81" t="s">
        <v>35</v>
      </c>
      <c r="G16" s="81" t="s">
        <v>36</v>
      </c>
      <c r="H16" s="82">
        <v>2</v>
      </c>
      <c r="I16" s="82" t="s">
        <v>37</v>
      </c>
      <c r="J16" s="82"/>
      <c r="K16" s="80" t="s">
        <v>38</v>
      </c>
      <c r="L16" s="90" t="s">
        <v>28</v>
      </c>
      <c r="M16" s="91"/>
      <c r="N16" s="132"/>
      <c r="O16" s="140"/>
    </row>
    <row r="17" spans="1:15" ht="80.099999999999994" customHeight="1">
      <c r="A17" s="117"/>
      <c r="B17" s="120"/>
      <c r="C17" s="124"/>
      <c r="D17" s="126"/>
      <c r="E17" s="128"/>
      <c r="F17" s="83" t="s">
        <v>39</v>
      </c>
      <c r="G17" s="82" t="s">
        <v>40</v>
      </c>
      <c r="H17" s="82">
        <v>1</v>
      </c>
      <c r="I17" s="82" t="s">
        <v>41</v>
      </c>
      <c r="J17" s="82"/>
      <c r="K17" s="82" t="s">
        <v>42</v>
      </c>
      <c r="L17" s="90" t="s">
        <v>28</v>
      </c>
      <c r="M17" s="92"/>
      <c r="N17" s="133"/>
      <c r="O17" s="141"/>
    </row>
    <row r="18" spans="1:15" ht="80.099999999999994" customHeight="1">
      <c r="A18" s="117" t="s">
        <v>48</v>
      </c>
      <c r="B18" s="119">
        <v>3</v>
      </c>
      <c r="C18" s="121" t="s">
        <v>49</v>
      </c>
      <c r="D18" s="125" t="s">
        <v>50</v>
      </c>
      <c r="E18" s="127"/>
      <c r="F18" s="80" t="s">
        <v>19</v>
      </c>
      <c r="G18" s="81" t="s">
        <v>51</v>
      </c>
      <c r="H18" s="82">
        <v>1</v>
      </c>
      <c r="I18" s="83" t="s">
        <v>52</v>
      </c>
      <c r="J18" s="82"/>
      <c r="K18" s="80" t="s">
        <v>22</v>
      </c>
      <c r="L18" s="87" t="s">
        <v>23</v>
      </c>
      <c r="M18" s="88">
        <f>0.815*21</f>
        <v>17.114999999999998</v>
      </c>
      <c r="N18" s="134">
        <f>16.79-14.36</f>
        <v>2.4299999999999997</v>
      </c>
      <c r="O18" s="142">
        <f>N18/0.7+M18</f>
        <v>20.58642857142857</v>
      </c>
    </row>
    <row r="19" spans="1:15" ht="80.099999999999994" customHeight="1">
      <c r="A19" s="117"/>
      <c r="B19" s="120"/>
      <c r="C19" s="122"/>
      <c r="D19" s="126"/>
      <c r="E19" s="128"/>
      <c r="F19" s="80" t="s">
        <v>24</v>
      </c>
      <c r="G19" s="81" t="s">
        <v>53</v>
      </c>
      <c r="H19" s="82">
        <v>1</v>
      </c>
      <c r="I19" s="83" t="s">
        <v>26</v>
      </c>
      <c r="J19" s="82"/>
      <c r="K19" s="81" t="s">
        <v>27</v>
      </c>
      <c r="L19" s="90" t="s">
        <v>28</v>
      </c>
      <c r="M19" s="91"/>
      <c r="N19" s="135"/>
      <c r="O19" s="143"/>
    </row>
    <row r="20" spans="1:15" ht="80.099999999999994" customHeight="1">
      <c r="A20" s="117"/>
      <c r="B20" s="120"/>
      <c r="C20" s="122"/>
      <c r="D20" s="126"/>
      <c r="E20" s="128"/>
      <c r="F20" s="81" t="s">
        <v>24</v>
      </c>
      <c r="G20" s="81" t="s">
        <v>54</v>
      </c>
      <c r="H20" s="82">
        <v>1</v>
      </c>
      <c r="I20" s="82"/>
      <c r="J20" s="82"/>
      <c r="K20" s="81" t="s">
        <v>27</v>
      </c>
      <c r="L20" s="90" t="s">
        <v>28</v>
      </c>
      <c r="M20" s="91"/>
      <c r="N20" s="135"/>
      <c r="O20" s="143"/>
    </row>
    <row r="21" spans="1:15" ht="80.099999999999994" customHeight="1">
      <c r="A21" s="117"/>
      <c r="B21" s="120"/>
      <c r="C21" s="122"/>
      <c r="D21" s="126"/>
      <c r="E21" s="128"/>
      <c r="F21" s="81" t="s">
        <v>55</v>
      </c>
      <c r="G21" s="83" t="s">
        <v>56</v>
      </c>
      <c r="H21" s="82">
        <v>1</v>
      </c>
      <c r="I21" s="82" t="s">
        <v>31</v>
      </c>
      <c r="J21" s="82"/>
      <c r="K21" s="81" t="s">
        <v>27</v>
      </c>
      <c r="L21" s="90" t="s">
        <v>28</v>
      </c>
      <c r="M21" s="91"/>
      <c r="N21" s="135"/>
      <c r="O21" s="143"/>
    </row>
    <row r="22" spans="1:15" ht="80.099999999999994" customHeight="1">
      <c r="A22" s="117"/>
      <c r="B22" s="120"/>
      <c r="C22" s="122"/>
      <c r="D22" s="126"/>
      <c r="E22" s="128"/>
      <c r="F22" s="81" t="s">
        <v>55</v>
      </c>
      <c r="G22" s="83" t="s">
        <v>57</v>
      </c>
      <c r="H22" s="82">
        <v>1</v>
      </c>
      <c r="I22" s="82" t="s">
        <v>31</v>
      </c>
      <c r="J22" s="82"/>
      <c r="K22" s="81" t="s">
        <v>27</v>
      </c>
      <c r="L22" s="90" t="s">
        <v>28</v>
      </c>
      <c r="M22" s="91"/>
      <c r="N22" s="135"/>
      <c r="O22" s="143"/>
    </row>
    <row r="23" spans="1:15" ht="80.099999999999994" customHeight="1">
      <c r="A23" s="117"/>
      <c r="B23" s="120"/>
      <c r="C23" s="122"/>
      <c r="D23" s="126"/>
      <c r="E23" s="128"/>
      <c r="F23" s="83" t="s">
        <v>58</v>
      </c>
      <c r="G23" s="82" t="s">
        <v>59</v>
      </c>
      <c r="H23" s="82">
        <v>2</v>
      </c>
      <c r="I23" s="82" t="s">
        <v>31</v>
      </c>
      <c r="J23" s="82"/>
      <c r="K23" s="81" t="s">
        <v>27</v>
      </c>
      <c r="L23" s="90" t="s">
        <v>28</v>
      </c>
      <c r="M23" s="92"/>
      <c r="N23" s="136"/>
      <c r="O23" s="144"/>
    </row>
    <row r="24" spans="1:15" ht="80.099999999999994" customHeight="1">
      <c r="A24" s="117"/>
      <c r="B24" s="119">
        <v>4</v>
      </c>
      <c r="C24" s="123" t="s">
        <v>60</v>
      </c>
      <c r="D24" s="125" t="s">
        <v>61</v>
      </c>
      <c r="E24" s="127"/>
      <c r="F24" s="80" t="s">
        <v>19</v>
      </c>
      <c r="G24" s="81" t="s">
        <v>62</v>
      </c>
      <c r="H24" s="82">
        <v>1</v>
      </c>
      <c r="I24" s="83" t="s">
        <v>52</v>
      </c>
      <c r="J24" s="82"/>
      <c r="K24" s="80" t="s">
        <v>22</v>
      </c>
      <c r="L24" s="87" t="s">
        <v>23</v>
      </c>
      <c r="M24" s="88">
        <f>0.815*21</f>
        <v>17.114999999999998</v>
      </c>
      <c r="N24" s="134">
        <f>16.79-14.36</f>
        <v>2.4299999999999997</v>
      </c>
      <c r="O24" s="142">
        <f>N24/0.7+M24</f>
        <v>20.58642857142857</v>
      </c>
    </row>
    <row r="25" spans="1:15" ht="80.099999999999994" customHeight="1">
      <c r="A25" s="117"/>
      <c r="B25" s="120"/>
      <c r="C25" s="124"/>
      <c r="D25" s="126"/>
      <c r="E25" s="128"/>
      <c r="F25" s="80" t="s">
        <v>24</v>
      </c>
      <c r="G25" s="81" t="s">
        <v>63</v>
      </c>
      <c r="H25" s="82">
        <v>1</v>
      </c>
      <c r="I25" s="83" t="s">
        <v>26</v>
      </c>
      <c r="J25" s="82"/>
      <c r="K25" s="81" t="s">
        <v>27</v>
      </c>
      <c r="L25" s="90" t="s">
        <v>28</v>
      </c>
      <c r="M25" s="91"/>
      <c r="N25" s="135"/>
      <c r="O25" s="143"/>
    </row>
    <row r="26" spans="1:15" ht="80.099999999999994" customHeight="1">
      <c r="A26" s="117"/>
      <c r="B26" s="120"/>
      <c r="C26" s="124"/>
      <c r="D26" s="126"/>
      <c r="E26" s="128"/>
      <c r="F26" s="81" t="s">
        <v>24</v>
      </c>
      <c r="G26" s="81" t="s">
        <v>54</v>
      </c>
      <c r="H26" s="82">
        <v>1</v>
      </c>
      <c r="I26" s="82"/>
      <c r="J26" s="82"/>
      <c r="K26" s="81" t="s">
        <v>27</v>
      </c>
      <c r="L26" s="90" t="s">
        <v>28</v>
      </c>
      <c r="M26" s="91"/>
      <c r="N26" s="135"/>
      <c r="O26" s="143"/>
    </row>
    <row r="27" spans="1:15" ht="80.099999999999994" customHeight="1">
      <c r="A27" s="117"/>
      <c r="B27" s="120"/>
      <c r="C27" s="124"/>
      <c r="D27" s="126"/>
      <c r="E27" s="128"/>
      <c r="F27" s="81" t="s">
        <v>55</v>
      </c>
      <c r="G27" s="83" t="s">
        <v>56</v>
      </c>
      <c r="H27" s="82">
        <v>1</v>
      </c>
      <c r="I27" s="82" t="s">
        <v>31</v>
      </c>
      <c r="J27" s="82"/>
      <c r="K27" s="81" t="s">
        <v>27</v>
      </c>
      <c r="L27" s="90" t="s">
        <v>28</v>
      </c>
      <c r="M27" s="91"/>
      <c r="N27" s="135"/>
      <c r="O27" s="143"/>
    </row>
    <row r="28" spans="1:15" ht="80.099999999999994" customHeight="1">
      <c r="A28" s="117"/>
      <c r="B28" s="120"/>
      <c r="C28" s="124"/>
      <c r="D28" s="126"/>
      <c r="E28" s="128"/>
      <c r="F28" s="81" t="s">
        <v>55</v>
      </c>
      <c r="G28" s="83" t="s">
        <v>57</v>
      </c>
      <c r="H28" s="82">
        <v>1</v>
      </c>
      <c r="I28" s="82" t="s">
        <v>31</v>
      </c>
      <c r="J28" s="82"/>
      <c r="K28" s="81" t="s">
        <v>27</v>
      </c>
      <c r="L28" s="90" t="s">
        <v>28</v>
      </c>
      <c r="M28" s="91"/>
      <c r="N28" s="135"/>
      <c r="O28" s="143"/>
    </row>
    <row r="29" spans="1:15" ht="80.099999999999994" customHeight="1">
      <c r="A29" s="117"/>
      <c r="B29" s="120"/>
      <c r="C29" s="124"/>
      <c r="D29" s="126"/>
      <c r="E29" s="128"/>
      <c r="F29" s="83" t="s">
        <v>58</v>
      </c>
      <c r="G29" s="82" t="s">
        <v>59</v>
      </c>
      <c r="H29" s="82">
        <v>2</v>
      </c>
      <c r="I29" s="82" t="s">
        <v>31</v>
      </c>
      <c r="J29" s="82"/>
      <c r="K29" s="81" t="s">
        <v>27</v>
      </c>
      <c r="L29" s="90" t="s">
        <v>28</v>
      </c>
      <c r="M29" s="92"/>
      <c r="N29" s="136"/>
      <c r="O29" s="144"/>
    </row>
    <row r="30" spans="1:15" ht="80.099999999999994" customHeight="1">
      <c r="A30" s="118" t="s">
        <v>64</v>
      </c>
      <c r="B30" s="119">
        <v>5</v>
      </c>
      <c r="C30" s="125" t="s">
        <v>65</v>
      </c>
      <c r="D30" s="125" t="s">
        <v>66</v>
      </c>
      <c r="E30" s="127"/>
      <c r="F30" s="80" t="s">
        <v>19</v>
      </c>
      <c r="G30" s="81" t="s">
        <v>67</v>
      </c>
      <c r="H30" s="82">
        <v>1</v>
      </c>
      <c r="I30" s="83" t="s">
        <v>52</v>
      </c>
      <c r="J30" s="82"/>
      <c r="K30" s="80" t="s">
        <v>22</v>
      </c>
      <c r="L30" s="87" t="s">
        <v>23</v>
      </c>
      <c r="M30" s="88">
        <f>1.24371*21</f>
        <v>26.117910000000002</v>
      </c>
      <c r="N30" s="134">
        <f>23.49-21.914</f>
        <v>1.575999999999997</v>
      </c>
      <c r="O30" s="142">
        <f>N30/0.7+M30</f>
        <v>28.369338571428571</v>
      </c>
    </row>
    <row r="31" spans="1:15" ht="80.099999999999994" customHeight="1">
      <c r="A31" s="118"/>
      <c r="B31" s="120"/>
      <c r="C31" s="126"/>
      <c r="D31" s="126"/>
      <c r="E31" s="128"/>
      <c r="F31" s="80" t="s">
        <v>24</v>
      </c>
      <c r="G31" s="81" t="s">
        <v>68</v>
      </c>
      <c r="H31" s="82">
        <v>1</v>
      </c>
      <c r="I31" s="83" t="s">
        <v>26</v>
      </c>
      <c r="J31" s="82"/>
      <c r="K31" s="81" t="s">
        <v>27</v>
      </c>
      <c r="L31" s="90" t="s">
        <v>28</v>
      </c>
      <c r="M31" s="91"/>
      <c r="N31" s="135"/>
      <c r="O31" s="143"/>
    </row>
    <row r="32" spans="1:15" ht="80.099999999999994" customHeight="1">
      <c r="A32" s="118"/>
      <c r="B32" s="120"/>
      <c r="C32" s="126"/>
      <c r="D32" s="126"/>
      <c r="E32" s="128"/>
      <c r="F32" s="80" t="s">
        <v>24</v>
      </c>
      <c r="G32" s="81" t="s">
        <v>69</v>
      </c>
      <c r="H32" s="82">
        <v>1</v>
      </c>
      <c r="I32" s="83" t="s">
        <v>26</v>
      </c>
      <c r="J32" s="82"/>
      <c r="K32" s="81" t="s">
        <v>27</v>
      </c>
      <c r="L32" s="90" t="s">
        <v>28</v>
      </c>
      <c r="M32" s="91"/>
      <c r="N32" s="135"/>
      <c r="O32" s="143"/>
    </row>
    <row r="33" spans="1:15" ht="80.099999999999994" customHeight="1">
      <c r="A33" s="118"/>
      <c r="B33" s="120"/>
      <c r="C33" s="126"/>
      <c r="D33" s="126"/>
      <c r="E33" s="128"/>
      <c r="F33" s="81" t="s">
        <v>24</v>
      </c>
      <c r="G33" s="81" t="s">
        <v>70</v>
      </c>
      <c r="H33" s="82">
        <v>1</v>
      </c>
      <c r="I33" s="83" t="s">
        <v>26</v>
      </c>
      <c r="J33" s="82"/>
      <c r="K33" s="81" t="s">
        <v>27</v>
      </c>
      <c r="L33" s="90" t="s">
        <v>28</v>
      </c>
      <c r="M33" s="91"/>
      <c r="N33" s="135"/>
      <c r="O33" s="143"/>
    </row>
    <row r="34" spans="1:15" ht="80.099999999999994" customHeight="1">
      <c r="A34" s="118"/>
      <c r="B34" s="120"/>
      <c r="C34" s="126"/>
      <c r="D34" s="126"/>
      <c r="E34" s="128"/>
      <c r="F34" s="83" t="s">
        <v>71</v>
      </c>
      <c r="G34" s="82" t="s">
        <v>72</v>
      </c>
      <c r="H34" s="82">
        <v>1</v>
      </c>
      <c r="I34" s="82" t="s">
        <v>31</v>
      </c>
      <c r="J34" s="82"/>
      <c r="K34" s="81" t="s">
        <v>27</v>
      </c>
      <c r="L34" s="90" t="s">
        <v>28</v>
      </c>
      <c r="M34" s="91"/>
      <c r="N34" s="135"/>
      <c r="O34" s="143"/>
    </row>
    <row r="35" spans="1:15" ht="80.099999999999994" customHeight="1">
      <c r="A35" s="118"/>
      <c r="B35" s="120"/>
      <c r="C35" s="126"/>
      <c r="D35" s="126"/>
      <c r="E35" s="128"/>
      <c r="F35" s="81" t="s">
        <v>73</v>
      </c>
      <c r="G35" s="83" t="s">
        <v>74</v>
      </c>
      <c r="H35" s="82">
        <v>2</v>
      </c>
      <c r="I35" s="82" t="s">
        <v>31</v>
      </c>
      <c r="J35" s="82"/>
      <c r="K35" s="81" t="s">
        <v>27</v>
      </c>
      <c r="L35" s="90" t="s">
        <v>28</v>
      </c>
      <c r="M35" s="91"/>
      <c r="N35" s="135"/>
      <c r="O35" s="143"/>
    </row>
    <row r="36" spans="1:15" ht="80.099999999999994" customHeight="1">
      <c r="A36" s="118"/>
      <c r="B36" s="120"/>
      <c r="C36" s="126"/>
      <c r="D36" s="126"/>
      <c r="E36" s="128"/>
      <c r="F36" s="81" t="s">
        <v>75</v>
      </c>
      <c r="G36" s="81" t="s">
        <v>76</v>
      </c>
      <c r="H36" s="82">
        <v>2</v>
      </c>
      <c r="I36" s="82" t="s">
        <v>77</v>
      </c>
      <c r="J36" s="82"/>
      <c r="K36" s="80" t="s">
        <v>38</v>
      </c>
      <c r="L36" s="90" t="s">
        <v>28</v>
      </c>
      <c r="M36" s="91"/>
      <c r="N36" s="135"/>
      <c r="O36" s="143"/>
    </row>
    <row r="37" spans="1:15" ht="80.099999999999994" customHeight="1">
      <c r="A37" s="118"/>
      <c r="B37" s="120"/>
      <c r="C37" s="126"/>
      <c r="D37" s="126"/>
      <c r="E37" s="128"/>
      <c r="F37" s="81" t="s">
        <v>78</v>
      </c>
      <c r="G37" s="81" t="s">
        <v>79</v>
      </c>
      <c r="H37" s="82">
        <v>2</v>
      </c>
      <c r="I37" s="82" t="s">
        <v>80</v>
      </c>
      <c r="J37" s="82"/>
      <c r="K37" s="80" t="s">
        <v>38</v>
      </c>
      <c r="L37" s="90" t="s">
        <v>28</v>
      </c>
      <c r="M37" s="92"/>
      <c r="N37" s="136"/>
      <c r="O37" s="144"/>
    </row>
    <row r="38" spans="1:15" ht="80.099999999999994" customHeight="1">
      <c r="A38" s="118"/>
      <c r="B38" s="119">
        <v>6</v>
      </c>
      <c r="C38" s="125" t="s">
        <v>81</v>
      </c>
      <c r="D38" s="125" t="s">
        <v>82</v>
      </c>
      <c r="E38" s="127"/>
      <c r="F38" s="80" t="s">
        <v>19</v>
      </c>
      <c r="G38" s="81" t="s">
        <v>83</v>
      </c>
      <c r="H38" s="82">
        <v>1</v>
      </c>
      <c r="I38" s="83" t="s">
        <v>52</v>
      </c>
      <c r="J38" s="82"/>
      <c r="K38" s="80" t="s">
        <v>22</v>
      </c>
      <c r="L38" s="87" t="s">
        <v>23</v>
      </c>
      <c r="M38" s="88">
        <f>1.46016*21</f>
        <v>30.663359999999997</v>
      </c>
      <c r="N38" s="134">
        <f>29.41-25.728</f>
        <v>3.6819999999999986</v>
      </c>
      <c r="O38" s="142">
        <f>N38/0.7+M38</f>
        <v>35.923359999999995</v>
      </c>
    </row>
    <row r="39" spans="1:15" ht="80.099999999999994" customHeight="1">
      <c r="A39" s="118"/>
      <c r="B39" s="120"/>
      <c r="C39" s="126"/>
      <c r="D39" s="126"/>
      <c r="E39" s="128"/>
      <c r="F39" s="80" t="s">
        <v>24</v>
      </c>
      <c r="G39" s="81" t="s">
        <v>84</v>
      </c>
      <c r="H39" s="82">
        <v>1</v>
      </c>
      <c r="I39" s="83" t="s">
        <v>26</v>
      </c>
      <c r="J39" s="82"/>
      <c r="K39" s="81" t="s">
        <v>27</v>
      </c>
      <c r="L39" s="90" t="s">
        <v>28</v>
      </c>
      <c r="M39" s="91"/>
      <c r="N39" s="135"/>
      <c r="O39" s="143"/>
    </row>
    <row r="40" spans="1:15" ht="80.099999999999994" customHeight="1">
      <c r="A40" s="118"/>
      <c r="B40" s="120"/>
      <c r="C40" s="126"/>
      <c r="D40" s="126"/>
      <c r="E40" s="128"/>
      <c r="F40" s="80" t="s">
        <v>24</v>
      </c>
      <c r="G40" s="81" t="s">
        <v>85</v>
      </c>
      <c r="H40" s="82">
        <v>1</v>
      </c>
      <c r="I40" s="83" t="s">
        <v>26</v>
      </c>
      <c r="J40" s="82"/>
      <c r="K40" s="81" t="s">
        <v>27</v>
      </c>
      <c r="L40" s="90" t="s">
        <v>28</v>
      </c>
      <c r="M40" s="91"/>
      <c r="N40" s="135"/>
      <c r="O40" s="143"/>
    </row>
    <row r="41" spans="1:15" ht="80.099999999999994" customHeight="1">
      <c r="A41" s="118"/>
      <c r="B41" s="120"/>
      <c r="C41" s="126"/>
      <c r="D41" s="126"/>
      <c r="E41" s="128"/>
      <c r="F41" s="81" t="s">
        <v>24</v>
      </c>
      <c r="G41" s="81" t="s">
        <v>86</v>
      </c>
      <c r="H41" s="82">
        <v>1</v>
      </c>
      <c r="I41" s="83" t="s">
        <v>26</v>
      </c>
      <c r="J41" s="82"/>
      <c r="K41" s="81" t="s">
        <v>27</v>
      </c>
      <c r="L41" s="90" t="s">
        <v>28</v>
      </c>
      <c r="M41" s="91"/>
      <c r="N41" s="135"/>
      <c r="O41" s="143"/>
    </row>
    <row r="42" spans="1:15" ht="80.099999999999994" customHeight="1">
      <c r="A42" s="118"/>
      <c r="B42" s="120"/>
      <c r="C42" s="126"/>
      <c r="D42" s="126"/>
      <c r="E42" s="128"/>
      <c r="F42" s="81" t="s">
        <v>87</v>
      </c>
      <c r="G42" s="81" t="s">
        <v>88</v>
      </c>
      <c r="H42" s="82">
        <v>1</v>
      </c>
      <c r="I42" s="82" t="s">
        <v>89</v>
      </c>
      <c r="J42" s="82"/>
      <c r="K42" s="81" t="s">
        <v>27</v>
      </c>
      <c r="L42" s="90" t="s">
        <v>28</v>
      </c>
      <c r="M42" s="91"/>
      <c r="N42" s="135"/>
      <c r="O42" s="143"/>
    </row>
    <row r="43" spans="1:15" ht="80.099999999999994" customHeight="1">
      <c r="A43" s="118"/>
      <c r="B43" s="120"/>
      <c r="C43" s="126"/>
      <c r="D43" s="126"/>
      <c r="E43" s="128"/>
      <c r="F43" s="83" t="s">
        <v>71</v>
      </c>
      <c r="G43" s="82" t="s">
        <v>90</v>
      </c>
      <c r="H43" s="82">
        <v>1</v>
      </c>
      <c r="I43" s="82" t="s">
        <v>31</v>
      </c>
      <c r="J43" s="82"/>
      <c r="K43" s="81" t="s">
        <v>27</v>
      </c>
      <c r="L43" s="90" t="s">
        <v>28</v>
      </c>
      <c r="M43" s="91"/>
      <c r="N43" s="135"/>
      <c r="O43" s="143"/>
    </row>
    <row r="44" spans="1:15" ht="80.099999999999994" customHeight="1">
      <c r="A44" s="118"/>
      <c r="B44" s="120"/>
      <c r="C44" s="126"/>
      <c r="D44" s="126"/>
      <c r="E44" s="128"/>
      <c r="F44" s="81" t="s">
        <v>73</v>
      </c>
      <c r="G44" s="83" t="s">
        <v>74</v>
      </c>
      <c r="H44" s="82">
        <v>2</v>
      </c>
      <c r="I44" s="82" t="s">
        <v>31</v>
      </c>
      <c r="J44" s="82"/>
      <c r="K44" s="81" t="s">
        <v>27</v>
      </c>
      <c r="L44" s="90" t="s">
        <v>28</v>
      </c>
      <c r="M44" s="91"/>
      <c r="N44" s="135"/>
      <c r="O44" s="143"/>
    </row>
    <row r="45" spans="1:15" ht="80.099999999999994" customHeight="1">
      <c r="A45" s="118"/>
      <c r="B45" s="120"/>
      <c r="C45" s="126"/>
      <c r="D45" s="126"/>
      <c r="E45" s="128"/>
      <c r="F45" s="81" t="s">
        <v>75</v>
      </c>
      <c r="G45" s="81" t="s">
        <v>76</v>
      </c>
      <c r="H45" s="82">
        <v>2</v>
      </c>
      <c r="I45" s="82" t="s">
        <v>77</v>
      </c>
      <c r="J45" s="82"/>
      <c r="K45" s="80" t="s">
        <v>38</v>
      </c>
      <c r="L45" s="90" t="s">
        <v>28</v>
      </c>
      <c r="M45" s="91"/>
      <c r="N45" s="135"/>
      <c r="O45" s="143"/>
    </row>
    <row r="46" spans="1:15" ht="80.099999999999994" customHeight="1">
      <c r="A46" s="118"/>
      <c r="B46" s="120"/>
      <c r="C46" s="126"/>
      <c r="D46" s="126"/>
      <c r="E46" s="128"/>
      <c r="F46" s="81" t="s">
        <v>78</v>
      </c>
      <c r="G46" s="81" t="s">
        <v>79</v>
      </c>
      <c r="H46" s="82">
        <v>2</v>
      </c>
      <c r="I46" s="82" t="s">
        <v>80</v>
      </c>
      <c r="J46" s="82"/>
      <c r="K46" s="80" t="s">
        <v>38</v>
      </c>
      <c r="L46" s="90" t="s">
        <v>28</v>
      </c>
      <c r="M46" s="92"/>
      <c r="N46" s="136"/>
      <c r="O46" s="144"/>
    </row>
    <row r="47" spans="1:15" ht="80.099999999999994" customHeight="1">
      <c r="A47" s="116" t="s">
        <v>91</v>
      </c>
      <c r="B47" s="119">
        <v>7</v>
      </c>
      <c r="C47" s="125" t="s">
        <v>92</v>
      </c>
      <c r="D47" s="125" t="s">
        <v>93</v>
      </c>
      <c r="E47" s="127"/>
      <c r="F47" s="80" t="s">
        <v>19</v>
      </c>
      <c r="G47" s="81" t="s">
        <v>94</v>
      </c>
      <c r="H47" s="82">
        <v>1</v>
      </c>
      <c r="I47" s="83" t="s">
        <v>52</v>
      </c>
      <c r="J47" s="82"/>
      <c r="K47" s="80" t="s">
        <v>22</v>
      </c>
      <c r="L47" s="87" t="s">
        <v>23</v>
      </c>
      <c r="M47" s="88">
        <f>21*3.96981</f>
        <v>83.366010000000003</v>
      </c>
      <c r="N47" s="134">
        <f>115.48-69.948</f>
        <v>45.532000000000011</v>
      </c>
      <c r="O47" s="142">
        <f>N47/0.7+M47</f>
        <v>148.41172428571431</v>
      </c>
    </row>
    <row r="48" spans="1:15" ht="80.099999999999994" customHeight="1">
      <c r="A48" s="117"/>
      <c r="B48" s="120"/>
      <c r="C48" s="126"/>
      <c r="D48" s="126"/>
      <c r="E48" s="128"/>
      <c r="F48" s="83" t="s">
        <v>95</v>
      </c>
      <c r="G48" s="82" t="s">
        <v>96</v>
      </c>
      <c r="H48" s="82">
        <v>1</v>
      </c>
      <c r="I48" s="82" t="s">
        <v>31</v>
      </c>
      <c r="J48" s="82"/>
      <c r="K48" s="81" t="s">
        <v>27</v>
      </c>
      <c r="L48" s="90" t="s">
        <v>28</v>
      </c>
      <c r="M48" s="91"/>
      <c r="N48" s="135"/>
      <c r="O48" s="143"/>
    </row>
    <row r="49" spans="1:15" ht="80.099999999999994" customHeight="1">
      <c r="A49" s="117"/>
      <c r="B49" s="120"/>
      <c r="C49" s="126"/>
      <c r="D49" s="126"/>
      <c r="E49" s="128"/>
      <c r="F49" s="83" t="s">
        <v>58</v>
      </c>
      <c r="G49" s="82" t="s">
        <v>59</v>
      </c>
      <c r="H49" s="82">
        <v>5</v>
      </c>
      <c r="I49" s="82" t="s">
        <v>31</v>
      </c>
      <c r="J49" s="82"/>
      <c r="K49" s="81" t="s">
        <v>27</v>
      </c>
      <c r="L49" s="90" t="s">
        <v>28</v>
      </c>
      <c r="M49" s="91"/>
      <c r="N49" s="135"/>
      <c r="O49" s="143"/>
    </row>
    <row r="50" spans="1:15" ht="80.099999999999994" customHeight="1">
      <c r="A50" s="117"/>
      <c r="B50" s="120"/>
      <c r="C50" s="126"/>
      <c r="D50" s="126"/>
      <c r="E50" s="128"/>
      <c r="F50" s="83" t="s">
        <v>97</v>
      </c>
      <c r="G50" s="82" t="s">
        <v>98</v>
      </c>
      <c r="H50" s="82">
        <v>1</v>
      </c>
      <c r="I50" s="82" t="s">
        <v>31</v>
      </c>
      <c r="J50" s="82"/>
      <c r="K50" s="81" t="s">
        <v>27</v>
      </c>
      <c r="L50" s="90" t="s">
        <v>28</v>
      </c>
      <c r="M50" s="91"/>
      <c r="N50" s="135"/>
      <c r="O50" s="143"/>
    </row>
    <row r="51" spans="1:15" ht="80.099999999999994" customHeight="1">
      <c r="A51" s="117"/>
      <c r="B51" s="120"/>
      <c r="C51" s="126"/>
      <c r="D51" s="126"/>
      <c r="E51" s="128"/>
      <c r="F51" s="83" t="s">
        <v>99</v>
      </c>
      <c r="G51" s="82" t="s">
        <v>100</v>
      </c>
      <c r="H51" s="82">
        <v>2</v>
      </c>
      <c r="I51" s="82" t="s">
        <v>31</v>
      </c>
      <c r="J51" s="82"/>
      <c r="K51" s="81" t="s">
        <v>27</v>
      </c>
      <c r="L51" s="90" t="s">
        <v>28</v>
      </c>
      <c r="M51" s="91"/>
      <c r="N51" s="135"/>
      <c r="O51" s="143"/>
    </row>
    <row r="52" spans="1:15" ht="80.099999999999994" customHeight="1">
      <c r="A52" s="117"/>
      <c r="B52" s="120"/>
      <c r="C52" s="126"/>
      <c r="D52" s="126"/>
      <c r="E52" s="128"/>
      <c r="F52" s="83" t="s">
        <v>99</v>
      </c>
      <c r="G52" s="82" t="s">
        <v>101</v>
      </c>
      <c r="H52" s="82">
        <v>2</v>
      </c>
      <c r="I52" s="82" t="s">
        <v>31</v>
      </c>
      <c r="J52" s="82"/>
      <c r="K52" s="81" t="s">
        <v>27</v>
      </c>
      <c r="L52" s="90" t="s">
        <v>28</v>
      </c>
      <c r="M52" s="91"/>
      <c r="N52" s="135"/>
      <c r="O52" s="143"/>
    </row>
    <row r="53" spans="1:15" ht="80.099999999999994" customHeight="1">
      <c r="A53" s="117"/>
      <c r="B53" s="120"/>
      <c r="C53" s="126"/>
      <c r="D53" s="126"/>
      <c r="E53" s="128"/>
      <c r="F53" s="83" t="s">
        <v>102</v>
      </c>
      <c r="G53" s="82" t="s">
        <v>103</v>
      </c>
      <c r="H53" s="82">
        <v>1</v>
      </c>
      <c r="I53" s="82" t="s">
        <v>31</v>
      </c>
      <c r="J53" s="82"/>
      <c r="K53" s="81" t="s">
        <v>27</v>
      </c>
      <c r="L53" s="90" t="s">
        <v>28</v>
      </c>
      <c r="M53" s="91"/>
      <c r="N53" s="135"/>
      <c r="O53" s="143"/>
    </row>
    <row r="54" spans="1:15" ht="80.099999999999994" customHeight="1">
      <c r="A54" s="117"/>
      <c r="B54" s="120"/>
      <c r="C54" s="126"/>
      <c r="D54" s="126"/>
      <c r="E54" s="128"/>
      <c r="F54" s="83" t="s">
        <v>104</v>
      </c>
      <c r="G54" s="82" t="s">
        <v>105</v>
      </c>
      <c r="H54" s="82">
        <v>1</v>
      </c>
      <c r="I54" s="82" t="s">
        <v>31</v>
      </c>
      <c r="J54" s="82"/>
      <c r="K54" s="81" t="s">
        <v>27</v>
      </c>
      <c r="L54" s="90" t="s">
        <v>28</v>
      </c>
      <c r="M54" s="91"/>
      <c r="N54" s="135"/>
      <c r="O54" s="143"/>
    </row>
    <row r="55" spans="1:15" ht="80.099999999999994" customHeight="1">
      <c r="A55" s="117"/>
      <c r="B55" s="120"/>
      <c r="C55" s="126"/>
      <c r="D55" s="126"/>
      <c r="E55" s="128"/>
      <c r="F55" s="81" t="s">
        <v>106</v>
      </c>
      <c r="G55" s="81" t="s">
        <v>107</v>
      </c>
      <c r="H55" s="82">
        <v>1</v>
      </c>
      <c r="I55" s="82" t="s">
        <v>108</v>
      </c>
      <c r="J55" s="82"/>
      <c r="K55" s="80" t="s">
        <v>38</v>
      </c>
      <c r="L55" s="90" t="s">
        <v>28</v>
      </c>
      <c r="M55" s="91"/>
      <c r="N55" s="135"/>
      <c r="O55" s="143"/>
    </row>
    <row r="56" spans="1:15" ht="80.099999999999994" customHeight="1">
      <c r="A56" s="117"/>
      <c r="B56" s="120"/>
      <c r="C56" s="126"/>
      <c r="D56" s="126"/>
      <c r="E56" s="128"/>
      <c r="F56" s="81" t="s">
        <v>106</v>
      </c>
      <c r="G56" s="81" t="s">
        <v>109</v>
      </c>
      <c r="H56" s="82">
        <v>1</v>
      </c>
      <c r="I56" s="82" t="s">
        <v>108</v>
      </c>
      <c r="J56" s="82"/>
      <c r="K56" s="80" t="s">
        <v>38</v>
      </c>
      <c r="L56" s="90" t="s">
        <v>28</v>
      </c>
      <c r="M56" s="91"/>
      <c r="N56" s="135"/>
      <c r="O56" s="143"/>
    </row>
    <row r="57" spans="1:15" ht="80.099999999999994" customHeight="1">
      <c r="A57" s="117"/>
      <c r="B57" s="120"/>
      <c r="C57" s="126"/>
      <c r="D57" s="126"/>
      <c r="E57" s="128"/>
      <c r="F57" s="80" t="s">
        <v>110</v>
      </c>
      <c r="G57" s="81" t="s">
        <v>111</v>
      </c>
      <c r="H57" s="82">
        <v>1</v>
      </c>
      <c r="I57" s="82" t="s">
        <v>112</v>
      </c>
      <c r="J57" s="82"/>
      <c r="K57" s="80" t="s">
        <v>113</v>
      </c>
      <c r="L57" s="90" t="s">
        <v>28</v>
      </c>
      <c r="M57" s="91"/>
      <c r="N57" s="135"/>
      <c r="O57" s="143"/>
    </row>
    <row r="58" spans="1:15" ht="80.099999999999994" customHeight="1">
      <c r="A58" s="117"/>
      <c r="B58" s="120"/>
      <c r="C58" s="126"/>
      <c r="D58" s="126"/>
      <c r="E58" s="128"/>
      <c r="F58" s="80" t="s">
        <v>110</v>
      </c>
      <c r="G58" s="81" t="s">
        <v>114</v>
      </c>
      <c r="H58" s="82">
        <v>1</v>
      </c>
      <c r="I58" s="82" t="s">
        <v>112</v>
      </c>
      <c r="J58" s="82"/>
      <c r="K58" s="80" t="s">
        <v>113</v>
      </c>
      <c r="L58" s="90" t="s">
        <v>28</v>
      </c>
      <c r="M58" s="91"/>
      <c r="N58" s="135"/>
      <c r="O58" s="143"/>
    </row>
    <row r="59" spans="1:15" ht="80.099999999999994" customHeight="1">
      <c r="A59" s="117"/>
      <c r="B59" s="120"/>
      <c r="C59" s="126"/>
      <c r="D59" s="126"/>
      <c r="E59" s="128"/>
      <c r="F59" s="81" t="s">
        <v>115</v>
      </c>
      <c r="G59" s="81" t="s">
        <v>116</v>
      </c>
      <c r="H59" s="82">
        <v>1</v>
      </c>
      <c r="I59" s="82" t="s">
        <v>117</v>
      </c>
      <c r="J59" s="82"/>
      <c r="K59" s="80" t="s">
        <v>118</v>
      </c>
      <c r="L59" s="90" t="s">
        <v>28</v>
      </c>
      <c r="M59" s="92"/>
      <c r="N59" s="136"/>
      <c r="O59" s="144"/>
    </row>
    <row r="60" spans="1:15" s="103" customFormat="1" ht="53.1" customHeight="1">
      <c r="C60" s="110"/>
      <c r="L60" s="112"/>
      <c r="M60" s="112"/>
      <c r="N60" s="113">
        <f>SUM(N4:N59)</f>
        <v>74.210000000000008</v>
      </c>
      <c r="O60" s="113">
        <f>SUM(O4:O59)</f>
        <v>322.55956571428578</v>
      </c>
    </row>
  </sheetData>
  <autoFilter ref="C1:C422"/>
  <mergeCells count="50">
    <mergeCell ref="O30:O37"/>
    <mergeCell ref="O38:O46"/>
    <mergeCell ref="O47:O59"/>
    <mergeCell ref="O2:O3"/>
    <mergeCell ref="O4:O10"/>
    <mergeCell ref="O11:O17"/>
    <mergeCell ref="O18:O23"/>
    <mergeCell ref="O24:O29"/>
    <mergeCell ref="E38:E46"/>
    <mergeCell ref="E47:E59"/>
    <mergeCell ref="K2:K3"/>
    <mergeCell ref="N2:N3"/>
    <mergeCell ref="N4:N10"/>
    <mergeCell ref="N11:N17"/>
    <mergeCell ref="N18:N23"/>
    <mergeCell ref="N24:N29"/>
    <mergeCell ref="N30:N37"/>
    <mergeCell ref="N38:N46"/>
    <mergeCell ref="N47:N59"/>
    <mergeCell ref="E4:E10"/>
    <mergeCell ref="E11:E17"/>
    <mergeCell ref="E18:E23"/>
    <mergeCell ref="E24:E29"/>
    <mergeCell ref="E30:E37"/>
    <mergeCell ref="C30:C37"/>
    <mergeCell ref="C38:C46"/>
    <mergeCell ref="C47:C59"/>
    <mergeCell ref="D4:D10"/>
    <mergeCell ref="D11:D17"/>
    <mergeCell ref="D18:D23"/>
    <mergeCell ref="D24:D29"/>
    <mergeCell ref="D30:D37"/>
    <mergeCell ref="D38:D46"/>
    <mergeCell ref="D47:D59"/>
    <mergeCell ref="A1:N1"/>
    <mergeCell ref="A4:A17"/>
    <mergeCell ref="A18:A29"/>
    <mergeCell ref="A30:A46"/>
    <mergeCell ref="A47:A59"/>
    <mergeCell ref="B4:B10"/>
    <mergeCell ref="B11:B17"/>
    <mergeCell ref="B18:B23"/>
    <mergeCell ref="B24:B29"/>
    <mergeCell ref="B30:B37"/>
    <mergeCell ref="B38:B46"/>
    <mergeCell ref="B47:B59"/>
    <mergeCell ref="C4:C10"/>
    <mergeCell ref="C11:C17"/>
    <mergeCell ref="C18:C23"/>
    <mergeCell ref="C24:C29"/>
  </mergeCells>
  <phoneticPr fontId="43" type="noConversion"/>
  <conditionalFormatting sqref="C4">
    <cfRule type="duplicateValues" dxfId="74" priority="82"/>
  </conditionalFormatting>
  <conditionalFormatting sqref="C5">
    <cfRule type="duplicateValues" dxfId="73" priority="19"/>
  </conditionalFormatting>
  <conditionalFormatting sqref="C9">
    <cfRule type="duplicateValues" dxfId="72" priority="12"/>
  </conditionalFormatting>
  <conditionalFormatting sqref="C11">
    <cfRule type="duplicateValues" dxfId="71" priority="151"/>
  </conditionalFormatting>
  <conditionalFormatting sqref="C12">
    <cfRule type="duplicateValues" dxfId="70" priority="18"/>
  </conditionalFormatting>
  <conditionalFormatting sqref="C16">
    <cfRule type="duplicateValues" dxfId="69" priority="11"/>
  </conditionalFormatting>
  <conditionalFormatting sqref="C18">
    <cfRule type="duplicateValues" dxfId="68" priority="157"/>
  </conditionalFormatting>
  <conditionalFormatting sqref="C19">
    <cfRule type="duplicateValues" dxfId="67" priority="17"/>
  </conditionalFormatting>
  <conditionalFormatting sqref="C20">
    <cfRule type="duplicateValues" dxfId="66" priority="6"/>
  </conditionalFormatting>
  <conditionalFormatting sqref="C24">
    <cfRule type="duplicateValues" dxfId="65" priority="158"/>
  </conditionalFormatting>
  <conditionalFormatting sqref="C25">
    <cfRule type="duplicateValues" dxfId="64" priority="16"/>
  </conditionalFormatting>
  <conditionalFormatting sqref="C26">
    <cfRule type="duplicateValues" dxfId="63" priority="5"/>
  </conditionalFormatting>
  <conditionalFormatting sqref="C30">
    <cfRule type="duplicateValues" dxfId="62" priority="160"/>
  </conditionalFormatting>
  <conditionalFormatting sqref="C31">
    <cfRule type="duplicateValues" dxfId="61" priority="3"/>
  </conditionalFormatting>
  <conditionalFormatting sqref="C38">
    <cfRule type="duplicateValues" dxfId="60" priority="161"/>
  </conditionalFormatting>
  <conditionalFormatting sqref="C39">
    <cfRule type="duplicateValues" dxfId="59" priority="1"/>
  </conditionalFormatting>
  <conditionalFormatting sqref="C42">
    <cfRule type="duplicateValues" dxfId="58" priority="10"/>
  </conditionalFormatting>
  <conditionalFormatting sqref="C57">
    <cfRule type="duplicateValues" dxfId="57" priority="13"/>
  </conditionalFormatting>
  <conditionalFormatting sqref="C32:C33">
    <cfRule type="duplicateValues" dxfId="56" priority="4"/>
  </conditionalFormatting>
  <conditionalFormatting sqref="C36:C37">
    <cfRule type="duplicateValues" dxfId="55" priority="8"/>
  </conditionalFormatting>
  <conditionalFormatting sqref="C40:C41">
    <cfRule type="duplicateValues" dxfId="54" priority="2"/>
  </conditionalFormatting>
  <conditionalFormatting sqref="C45:C46">
    <cfRule type="duplicateValues" dxfId="53" priority="9"/>
  </conditionalFormatting>
  <conditionalFormatting sqref="C55:C56">
    <cfRule type="duplicateValues" dxfId="52" priority="7"/>
  </conditionalFormatting>
  <conditionalFormatting sqref="C58:C59 C47">
    <cfRule type="duplicateValues" dxfId="51" priority="156"/>
  </conditionalFormatting>
  <pageMargins left="0.70866141732283505" right="0.70866141732283505" top="0.74803149606299202" bottom="0.74803149606299202" header="0.31496062992126" footer="0.31496062992126"/>
  <pageSetup paperSize="9" scale="3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opLeftCell="D19" workbookViewId="0">
      <selection activeCell="P22" sqref="P22"/>
    </sheetView>
  </sheetViews>
  <sheetFormatPr defaultColWidth="9" defaultRowHeight="13.5"/>
  <cols>
    <col min="1" max="1" width="5.5" customWidth="1"/>
    <col min="2" max="2" width="9.25" customWidth="1"/>
    <col min="3" max="3" width="13.375" customWidth="1"/>
    <col min="4" max="4" width="40.375" customWidth="1"/>
    <col min="5" max="5" width="9.25" customWidth="1"/>
    <col min="6" max="6" width="11.25" style="31" customWidth="1"/>
    <col min="7" max="8" width="9.25" customWidth="1"/>
    <col min="9" max="9" width="11.25" customWidth="1"/>
    <col min="10" max="13" width="9.25" customWidth="1"/>
    <col min="14" max="15" width="13.25" customWidth="1"/>
    <col min="16" max="16" width="15.375" customWidth="1"/>
    <col min="17" max="17" width="7.25" customWidth="1"/>
    <col min="18" max="18" width="11.25" customWidth="1"/>
  </cols>
  <sheetData>
    <row r="1" spans="1:18" s="29" customFormat="1" ht="15" hidden="1">
      <c r="A1" s="32" t="s">
        <v>358</v>
      </c>
      <c r="B1" s="32" t="s">
        <v>359</v>
      </c>
      <c r="C1" s="33" t="s">
        <v>360</v>
      </c>
      <c r="D1" s="33" t="s">
        <v>361</v>
      </c>
      <c r="E1" s="33" t="s">
        <v>362</v>
      </c>
      <c r="F1" s="34" t="s">
        <v>363</v>
      </c>
      <c r="G1" s="33" t="s">
        <v>364</v>
      </c>
      <c r="H1" s="35" t="s">
        <v>120</v>
      </c>
      <c r="I1" s="35" t="s">
        <v>365</v>
      </c>
      <c r="J1" s="35" t="s">
        <v>366</v>
      </c>
      <c r="K1" s="35" t="s">
        <v>367</v>
      </c>
      <c r="L1" s="35" t="s">
        <v>368</v>
      </c>
      <c r="M1" s="35" t="s">
        <v>369</v>
      </c>
      <c r="N1" s="35" t="s">
        <v>370</v>
      </c>
      <c r="O1" s="43" t="s">
        <v>371</v>
      </c>
      <c r="P1" s="44" t="s">
        <v>372</v>
      </c>
      <c r="Q1" s="44" t="s">
        <v>347</v>
      </c>
      <c r="R1" s="44" t="s">
        <v>373</v>
      </c>
    </row>
    <row r="2" spans="1:18" s="30" customFormat="1" ht="16.5" hidden="1" customHeight="1">
      <c r="A2" s="36">
        <v>1</v>
      </c>
      <c r="B2" s="37" t="s">
        <v>374</v>
      </c>
      <c r="C2" s="37" t="s">
        <v>393</v>
      </c>
      <c r="D2" s="37" t="s">
        <v>376</v>
      </c>
      <c r="E2" s="37" t="s">
        <v>377</v>
      </c>
      <c r="F2" s="38"/>
      <c r="G2" s="39"/>
      <c r="H2" s="40"/>
      <c r="I2" s="45">
        <v>1.25</v>
      </c>
      <c r="J2" s="46"/>
      <c r="K2" s="46">
        <f>(10.63*2+17.7876*1)/3</f>
        <v>13.015866666666668</v>
      </c>
      <c r="L2" s="46">
        <f t="shared" ref="L2:L17" si="0">I2*K2</f>
        <v>16.269833333333334</v>
      </c>
      <c r="M2" s="45">
        <v>20.92</v>
      </c>
      <c r="N2" s="46"/>
      <c r="O2" s="45">
        <f>L2+M2</f>
        <v>37.18983333333334</v>
      </c>
      <c r="P2" s="45">
        <f>(22.84*0.98-0.7)/14.57*L2+M2*1.02</f>
        <v>45.551306666666669</v>
      </c>
      <c r="Q2" s="45">
        <v>10.43</v>
      </c>
      <c r="R2" s="50">
        <f>P2+Q2</f>
        <v>55.981306666666669</v>
      </c>
    </row>
    <row r="3" spans="1:18" s="30" customFormat="1" ht="16.5" hidden="1" customHeight="1">
      <c r="A3" s="41">
        <v>2</v>
      </c>
      <c r="B3" s="37" t="s">
        <v>374</v>
      </c>
      <c r="C3" s="37" t="s">
        <v>394</v>
      </c>
      <c r="D3" s="37" t="s">
        <v>379</v>
      </c>
      <c r="E3" s="37" t="s">
        <v>377</v>
      </c>
      <c r="F3" s="38"/>
      <c r="G3" s="37"/>
      <c r="H3" s="37"/>
      <c r="I3" s="45">
        <v>1.25</v>
      </c>
      <c r="J3" s="45"/>
      <c r="K3" s="45">
        <v>13.02</v>
      </c>
      <c r="L3" s="45">
        <f t="shared" si="0"/>
        <v>16.274999999999999</v>
      </c>
      <c r="M3" s="45">
        <v>20.92</v>
      </c>
      <c r="N3" s="47"/>
      <c r="O3" s="45">
        <f t="shared" ref="O3:O17" si="1">L3+M3</f>
        <v>37.195</v>
      </c>
      <c r="P3" s="45">
        <f t="shared" ref="P3:P17" si="2">(22.84*0.98-0.7)/14.57*L3+M3*1.02</f>
        <v>45.55899574468085</v>
      </c>
      <c r="Q3" s="45">
        <v>10.43</v>
      </c>
      <c r="R3" s="50">
        <f t="shared" ref="R3:R17" si="3">P3+Q3</f>
        <v>55.988995744680849</v>
      </c>
    </row>
    <row r="4" spans="1:18" s="30" customFormat="1" ht="16.5" hidden="1" customHeight="1">
      <c r="A4" s="41">
        <v>3</v>
      </c>
      <c r="B4" s="37" t="s">
        <v>374</v>
      </c>
      <c r="C4" s="37" t="s">
        <v>395</v>
      </c>
      <c r="D4" s="37" t="s">
        <v>396</v>
      </c>
      <c r="E4" s="37" t="s">
        <v>377</v>
      </c>
      <c r="F4" s="38"/>
      <c r="G4" s="37"/>
      <c r="H4" s="37"/>
      <c r="I4" s="45">
        <v>0.77910000000000001</v>
      </c>
      <c r="J4" s="45"/>
      <c r="K4" s="45">
        <v>13.02</v>
      </c>
      <c r="L4" s="45">
        <f t="shared" si="0"/>
        <v>10.143882</v>
      </c>
      <c r="M4" s="45">
        <v>33</v>
      </c>
      <c r="N4" s="47"/>
      <c r="O4" s="45">
        <f t="shared" si="1"/>
        <v>43.143881999999998</v>
      </c>
      <c r="P4" s="45">
        <f t="shared" si="2"/>
        <v>48.756212915744683</v>
      </c>
      <c r="Q4" s="45">
        <v>8.11</v>
      </c>
      <c r="R4" s="50">
        <f t="shared" si="3"/>
        <v>56.866212915744683</v>
      </c>
    </row>
    <row r="5" spans="1:18" s="30" customFormat="1" ht="16.5" hidden="1" customHeight="1">
      <c r="A5" s="41">
        <v>4</v>
      </c>
      <c r="B5" s="37" t="s">
        <v>374</v>
      </c>
      <c r="C5" s="37" t="s">
        <v>397</v>
      </c>
      <c r="D5" s="37" t="s">
        <v>398</v>
      </c>
      <c r="E5" s="37" t="s">
        <v>377</v>
      </c>
      <c r="F5" s="38"/>
      <c r="G5" s="37"/>
      <c r="H5" s="37"/>
      <c r="I5" s="45">
        <v>1</v>
      </c>
      <c r="J5" s="45"/>
      <c r="K5" s="45">
        <v>13.02</v>
      </c>
      <c r="L5" s="45">
        <f t="shared" si="0"/>
        <v>13.02</v>
      </c>
      <c r="M5" s="45">
        <v>26.56</v>
      </c>
      <c r="N5" s="47"/>
      <c r="O5" s="45">
        <f t="shared" si="1"/>
        <v>39.58</v>
      </c>
      <c r="P5" s="45">
        <f t="shared" si="2"/>
        <v>46.467676595744678</v>
      </c>
      <c r="Q5" s="45">
        <v>8.11</v>
      </c>
      <c r="R5" s="50">
        <f t="shared" si="3"/>
        <v>54.577676595744677</v>
      </c>
    </row>
    <row r="6" spans="1:18" s="30" customFormat="1" ht="16.5" hidden="1" customHeight="1">
      <c r="A6" s="41">
        <v>5</v>
      </c>
      <c r="B6" s="37" t="s">
        <v>374</v>
      </c>
      <c r="C6" s="37" t="s">
        <v>399</v>
      </c>
      <c r="D6" s="37" t="s">
        <v>400</v>
      </c>
      <c r="E6" s="37" t="s">
        <v>377</v>
      </c>
      <c r="F6" s="38"/>
      <c r="G6" s="37"/>
      <c r="H6" s="37"/>
      <c r="I6" s="45">
        <v>1</v>
      </c>
      <c r="J6" s="45"/>
      <c r="K6" s="45">
        <v>13.02</v>
      </c>
      <c r="L6" s="45">
        <f t="shared" si="0"/>
        <v>13.02</v>
      </c>
      <c r="M6" s="45">
        <v>27.1</v>
      </c>
      <c r="N6" s="47"/>
      <c r="O6" s="45">
        <f t="shared" si="1"/>
        <v>40.120000000000005</v>
      </c>
      <c r="P6" s="45">
        <f t="shared" si="2"/>
        <v>47.018476595744687</v>
      </c>
      <c r="Q6" s="45">
        <v>8.11</v>
      </c>
      <c r="R6" s="50">
        <f t="shared" si="3"/>
        <v>55.128476595744687</v>
      </c>
    </row>
    <row r="7" spans="1:18" s="30" customFormat="1" ht="16.5" hidden="1" customHeight="1">
      <c r="A7" s="41">
        <v>6</v>
      </c>
      <c r="B7" s="37" t="s">
        <v>374</v>
      </c>
      <c r="C7" s="37" t="s">
        <v>401</v>
      </c>
      <c r="D7" s="37" t="s">
        <v>402</v>
      </c>
      <c r="E7" s="37" t="s">
        <v>377</v>
      </c>
      <c r="F7" s="38"/>
      <c r="G7" s="37"/>
      <c r="H7" s="37"/>
      <c r="I7" s="45">
        <v>0.94</v>
      </c>
      <c r="J7" s="45"/>
      <c r="K7" s="45">
        <v>13.02</v>
      </c>
      <c r="L7" s="45">
        <f t="shared" si="0"/>
        <v>12.238799999999999</v>
      </c>
      <c r="M7" s="45">
        <v>28.88</v>
      </c>
      <c r="N7" s="47"/>
      <c r="O7" s="45">
        <f t="shared" si="1"/>
        <v>41.1188</v>
      </c>
      <c r="P7" s="45">
        <f t="shared" si="2"/>
        <v>47.671487999999997</v>
      </c>
      <c r="Q7" s="45">
        <v>8.11</v>
      </c>
      <c r="R7" s="50">
        <f t="shared" si="3"/>
        <v>55.781487999999996</v>
      </c>
    </row>
    <row r="8" spans="1:18" s="30" customFormat="1" ht="16.5" hidden="1" customHeight="1">
      <c r="A8" s="41">
        <v>7</v>
      </c>
      <c r="B8" s="37" t="s">
        <v>374</v>
      </c>
      <c r="C8" s="37" t="s">
        <v>403</v>
      </c>
      <c r="D8" s="37" t="s">
        <v>398</v>
      </c>
      <c r="E8" s="37" t="s">
        <v>377</v>
      </c>
      <c r="F8" s="38"/>
      <c r="G8" s="37"/>
      <c r="H8" s="37"/>
      <c r="I8" s="45">
        <v>0.67100000000000004</v>
      </c>
      <c r="J8" s="45"/>
      <c r="K8" s="45">
        <v>13.02</v>
      </c>
      <c r="L8" s="45">
        <f t="shared" si="0"/>
        <v>8.7364200000000007</v>
      </c>
      <c r="M8" s="45">
        <v>24.78</v>
      </c>
      <c r="N8" s="47"/>
      <c r="O8" s="45">
        <f t="shared" si="1"/>
        <v>33.516420000000004</v>
      </c>
      <c r="P8" s="45">
        <f t="shared" si="2"/>
        <v>38.277215795744681</v>
      </c>
      <c r="Q8" s="45">
        <v>8.11</v>
      </c>
      <c r="R8" s="50">
        <f t="shared" si="3"/>
        <v>46.38721579574468</v>
      </c>
    </row>
    <row r="9" spans="1:18" s="30" customFormat="1" ht="16.5" hidden="1" customHeight="1">
      <c r="A9" s="41">
        <v>8</v>
      </c>
      <c r="B9" s="37" t="s">
        <v>374</v>
      </c>
      <c r="C9" s="37" t="s">
        <v>404</v>
      </c>
      <c r="D9" s="37" t="s">
        <v>405</v>
      </c>
      <c r="E9" s="37" t="s">
        <v>377</v>
      </c>
      <c r="F9" s="38"/>
      <c r="G9" s="37"/>
      <c r="H9" s="37"/>
      <c r="I9" s="45">
        <v>0.52800000000000002</v>
      </c>
      <c r="J9" s="45"/>
      <c r="K9" s="45">
        <v>13.02</v>
      </c>
      <c r="L9" s="45">
        <f t="shared" si="0"/>
        <v>6.8745599999999998</v>
      </c>
      <c r="M9" s="45">
        <v>19.035</v>
      </c>
      <c r="N9" s="47"/>
      <c r="O9" s="45">
        <f t="shared" si="1"/>
        <v>25.909559999999999</v>
      </c>
      <c r="P9" s="45">
        <f t="shared" si="2"/>
        <v>29.646479642553192</v>
      </c>
      <c r="Q9" s="45">
        <v>8.11</v>
      </c>
      <c r="R9" s="50">
        <f t="shared" si="3"/>
        <v>37.756479642553188</v>
      </c>
    </row>
    <row r="10" spans="1:18" s="30" customFormat="1" ht="16.5" hidden="1" customHeight="1">
      <c r="A10" s="41">
        <v>9</v>
      </c>
      <c r="B10" s="37" t="s">
        <v>374</v>
      </c>
      <c r="C10" s="37" t="s">
        <v>406</v>
      </c>
      <c r="D10" s="37" t="s">
        <v>407</v>
      </c>
      <c r="E10" s="37" t="s">
        <v>377</v>
      </c>
      <c r="F10" s="38"/>
      <c r="G10" s="37"/>
      <c r="H10" s="37"/>
      <c r="I10" s="45">
        <v>0.52500000000000002</v>
      </c>
      <c r="J10" s="45"/>
      <c r="K10" s="45">
        <v>13.02</v>
      </c>
      <c r="L10" s="45">
        <f t="shared" si="0"/>
        <v>6.8354999999999997</v>
      </c>
      <c r="M10" s="45">
        <v>16.984999999999999</v>
      </c>
      <c r="N10" s="47"/>
      <c r="O10" s="45">
        <f t="shared" si="1"/>
        <v>23.820499999999999</v>
      </c>
      <c r="P10" s="45">
        <f t="shared" si="2"/>
        <v>27.497350212765959</v>
      </c>
      <c r="Q10" s="45">
        <v>8.11</v>
      </c>
      <c r="R10" s="50">
        <f t="shared" si="3"/>
        <v>35.607350212765958</v>
      </c>
    </row>
    <row r="11" spans="1:18" s="30" customFormat="1" ht="16.5" hidden="1" customHeight="1">
      <c r="A11" s="41">
        <v>10</v>
      </c>
      <c r="B11" s="37" t="s">
        <v>374</v>
      </c>
      <c r="C11" s="37" t="s">
        <v>408</v>
      </c>
      <c r="D11" s="37" t="s">
        <v>409</v>
      </c>
      <c r="E11" s="37" t="s">
        <v>377</v>
      </c>
      <c r="F11" s="38"/>
      <c r="G11" s="37"/>
      <c r="H11" s="37"/>
      <c r="I11" s="45">
        <v>0.77900000000000003</v>
      </c>
      <c r="J11" s="45"/>
      <c r="K11" s="45">
        <v>13.02</v>
      </c>
      <c r="L11" s="45">
        <f t="shared" si="0"/>
        <v>10.142580000000001</v>
      </c>
      <c r="M11" s="45">
        <v>16.984999999999999</v>
      </c>
      <c r="N11" s="47"/>
      <c r="O11" s="45">
        <f t="shared" si="1"/>
        <v>27.127580000000002</v>
      </c>
      <c r="P11" s="45">
        <f t="shared" si="2"/>
        <v>32.418975268085106</v>
      </c>
      <c r="Q11" s="45">
        <v>8.11</v>
      </c>
      <c r="R11" s="50">
        <f t="shared" si="3"/>
        <v>40.528975268085105</v>
      </c>
    </row>
    <row r="12" spans="1:18" s="30" customFormat="1" ht="16.5" hidden="1" customHeight="1">
      <c r="A12" s="41">
        <v>11</v>
      </c>
      <c r="B12" s="37" t="s">
        <v>374</v>
      </c>
      <c r="C12" s="37" t="s">
        <v>410</v>
      </c>
      <c r="D12" s="37" t="s">
        <v>411</v>
      </c>
      <c r="E12" s="37" t="s">
        <v>377</v>
      </c>
      <c r="F12" s="38"/>
      <c r="G12" s="37"/>
      <c r="H12" s="37"/>
      <c r="I12" s="45">
        <v>1</v>
      </c>
      <c r="J12" s="45"/>
      <c r="K12" s="45">
        <v>13.02</v>
      </c>
      <c r="L12" s="45">
        <f t="shared" si="0"/>
        <v>13.02</v>
      </c>
      <c r="M12" s="45">
        <v>27.26</v>
      </c>
      <c r="N12" s="47"/>
      <c r="O12" s="45">
        <f t="shared" si="1"/>
        <v>40.28</v>
      </c>
      <c r="P12" s="45">
        <f t="shared" si="2"/>
        <v>47.181676595744683</v>
      </c>
      <c r="Q12" s="45">
        <v>8.11</v>
      </c>
      <c r="R12" s="50">
        <f t="shared" si="3"/>
        <v>55.291676595744683</v>
      </c>
    </row>
    <row r="13" spans="1:18" s="30" customFormat="1" ht="16.5" hidden="1" customHeight="1">
      <c r="A13" s="41">
        <v>12</v>
      </c>
      <c r="B13" s="37" t="s">
        <v>374</v>
      </c>
      <c r="C13" s="37" t="s">
        <v>412</v>
      </c>
      <c r="D13" s="37" t="s">
        <v>413</v>
      </c>
      <c r="E13" s="37" t="s">
        <v>377</v>
      </c>
      <c r="F13" s="38"/>
      <c r="G13" s="37"/>
      <c r="H13" s="37"/>
      <c r="I13" s="45">
        <v>1.1000000000000001</v>
      </c>
      <c r="J13" s="45"/>
      <c r="K13" s="45">
        <v>13.02</v>
      </c>
      <c r="L13" s="45">
        <f t="shared" si="0"/>
        <v>14.322000000000001</v>
      </c>
      <c r="M13" s="45">
        <v>24.92</v>
      </c>
      <c r="N13" s="47"/>
      <c r="O13" s="45">
        <f t="shared" si="1"/>
        <v>39.242000000000004</v>
      </c>
      <c r="P13" s="45">
        <f t="shared" si="2"/>
        <v>46.732524255319149</v>
      </c>
      <c r="Q13" s="45">
        <v>8.11</v>
      </c>
      <c r="R13" s="50">
        <f t="shared" si="3"/>
        <v>54.842524255319148</v>
      </c>
    </row>
    <row r="14" spans="1:18" s="30" customFormat="1" ht="16.5" hidden="1" customHeight="1">
      <c r="A14" s="41">
        <v>13</v>
      </c>
      <c r="B14" s="37" t="s">
        <v>374</v>
      </c>
      <c r="C14" s="37" t="s">
        <v>414</v>
      </c>
      <c r="D14" s="37" t="s">
        <v>415</v>
      </c>
      <c r="E14" s="37" t="s">
        <v>377</v>
      </c>
      <c r="F14" s="38"/>
      <c r="G14" s="37"/>
      <c r="H14" s="37"/>
      <c r="I14" s="45">
        <v>0.73699999999999999</v>
      </c>
      <c r="J14" s="45"/>
      <c r="K14" s="45">
        <v>13.02</v>
      </c>
      <c r="L14" s="45">
        <f t="shared" si="0"/>
        <v>9.5957399999999993</v>
      </c>
      <c r="M14" s="45">
        <v>25.27</v>
      </c>
      <c r="N14" s="47"/>
      <c r="O14" s="45">
        <f t="shared" si="1"/>
        <v>34.865740000000002</v>
      </c>
      <c r="P14" s="45">
        <f t="shared" si="2"/>
        <v>40.055863251063826</v>
      </c>
      <c r="Q14" s="45">
        <v>8.11</v>
      </c>
      <c r="R14" s="50">
        <f t="shared" si="3"/>
        <v>48.165863251063826</v>
      </c>
    </row>
    <row r="15" spans="1:18" s="30" customFormat="1" ht="16.5" hidden="1" customHeight="1">
      <c r="A15" s="41">
        <v>14</v>
      </c>
      <c r="B15" s="37" t="s">
        <v>374</v>
      </c>
      <c r="C15" s="37" t="s">
        <v>416</v>
      </c>
      <c r="D15" s="37" t="s">
        <v>417</v>
      </c>
      <c r="E15" s="37" t="s">
        <v>377</v>
      </c>
      <c r="F15" s="38"/>
      <c r="G15" s="37"/>
      <c r="H15" s="37"/>
      <c r="I15" s="45">
        <v>1.55</v>
      </c>
      <c r="J15" s="45"/>
      <c r="K15" s="45">
        <v>13.02</v>
      </c>
      <c r="L15" s="45">
        <f t="shared" si="0"/>
        <v>20.181000000000001</v>
      </c>
      <c r="M15" s="45">
        <v>26.02</v>
      </c>
      <c r="N15" s="47"/>
      <c r="O15" s="45">
        <f t="shared" si="1"/>
        <v>46.201000000000001</v>
      </c>
      <c r="P15" s="45">
        <f t="shared" si="2"/>
        <v>56.573938723404254</v>
      </c>
      <c r="Q15" s="45">
        <v>9.1300000000000008</v>
      </c>
      <c r="R15" s="50">
        <f t="shared" si="3"/>
        <v>65.703938723404249</v>
      </c>
    </row>
    <row r="16" spans="1:18" s="30" customFormat="1" ht="16.5" hidden="1" customHeight="1">
      <c r="A16" s="41">
        <v>15</v>
      </c>
      <c r="B16" s="37" t="s">
        <v>374</v>
      </c>
      <c r="C16" s="37" t="s">
        <v>418</v>
      </c>
      <c r="D16" s="37" t="s">
        <v>419</v>
      </c>
      <c r="E16" s="37" t="s">
        <v>377</v>
      </c>
      <c r="F16" s="38"/>
      <c r="G16" s="37"/>
      <c r="H16" s="37"/>
      <c r="I16" s="45">
        <v>0.97199999999999998</v>
      </c>
      <c r="J16" s="45"/>
      <c r="K16" s="45">
        <v>13.02</v>
      </c>
      <c r="L16" s="45">
        <f t="shared" si="0"/>
        <v>12.655439999999999</v>
      </c>
      <c r="M16" s="45">
        <v>26.37</v>
      </c>
      <c r="N16" s="47"/>
      <c r="O16" s="45">
        <f t="shared" si="1"/>
        <v>39.025440000000003</v>
      </c>
      <c r="P16" s="45">
        <f t="shared" si="2"/>
        <v>45.731335251063825</v>
      </c>
      <c r="Q16" s="45">
        <v>9.1300000000000008</v>
      </c>
      <c r="R16" s="50">
        <f t="shared" si="3"/>
        <v>54.861335251063828</v>
      </c>
    </row>
    <row r="17" spans="1:18" s="30" customFormat="1" ht="16.5" hidden="1" customHeight="1">
      <c r="A17" s="41">
        <v>15</v>
      </c>
      <c r="B17" s="37" t="s">
        <v>374</v>
      </c>
      <c r="C17" s="37" t="s">
        <v>420</v>
      </c>
      <c r="D17" s="37" t="s">
        <v>419</v>
      </c>
      <c r="E17" s="37" t="s">
        <v>377</v>
      </c>
      <c r="F17" s="38"/>
      <c r="G17" s="37"/>
      <c r="H17" s="37"/>
      <c r="I17" s="45">
        <v>4.5</v>
      </c>
      <c r="J17" s="45"/>
      <c r="K17" s="45">
        <v>13.02</v>
      </c>
      <c r="L17" s="45">
        <f t="shared" si="0"/>
        <v>58.589999999999996</v>
      </c>
      <c r="M17" s="45">
        <v>118.735</v>
      </c>
      <c r="N17" s="47"/>
      <c r="O17" s="45">
        <f t="shared" si="1"/>
        <v>177.32499999999999</v>
      </c>
      <c r="P17" s="45">
        <f t="shared" si="2"/>
        <v>208.30384468085106</v>
      </c>
      <c r="Q17" s="45">
        <v>17.420000000000002</v>
      </c>
      <c r="R17" s="50">
        <f t="shared" si="3"/>
        <v>225.72384468085107</v>
      </c>
    </row>
    <row r="18" spans="1:18" hidden="1"/>
    <row r="19" spans="1:18" ht="15">
      <c r="A19" s="32" t="s">
        <v>358</v>
      </c>
      <c r="B19" s="32" t="s">
        <v>359</v>
      </c>
      <c r="C19" s="33" t="s">
        <v>360</v>
      </c>
      <c r="D19" s="33" t="s">
        <v>361</v>
      </c>
      <c r="E19" s="33" t="s">
        <v>362</v>
      </c>
      <c r="F19" s="34" t="s">
        <v>390</v>
      </c>
      <c r="G19" s="42" t="s">
        <v>391</v>
      </c>
      <c r="H19" s="43" t="s">
        <v>392</v>
      </c>
      <c r="I19" s="35" t="s">
        <v>365</v>
      </c>
      <c r="J19" s="43" t="s">
        <v>366</v>
      </c>
      <c r="K19" s="43" t="s">
        <v>367</v>
      </c>
      <c r="L19" s="35" t="s">
        <v>368</v>
      </c>
      <c r="M19" s="35" t="s">
        <v>369</v>
      </c>
      <c r="N19" s="35" t="s">
        <v>370</v>
      </c>
      <c r="O19" s="43" t="s">
        <v>371</v>
      </c>
      <c r="P19" s="44" t="s">
        <v>372</v>
      </c>
      <c r="Q19" s="44" t="s">
        <v>347</v>
      </c>
      <c r="R19" s="44" t="s">
        <v>373</v>
      </c>
    </row>
    <row r="20" spans="1:18" ht="16.5">
      <c r="A20" s="36">
        <v>1</v>
      </c>
      <c r="B20" s="37" t="s">
        <v>374</v>
      </c>
      <c r="C20" s="37" t="s">
        <v>393</v>
      </c>
      <c r="D20" s="37" t="s">
        <v>376</v>
      </c>
      <c r="E20" s="37" t="s">
        <v>377</v>
      </c>
      <c r="F20" s="38">
        <f>14.21/60</f>
        <v>0.23683333333333334</v>
      </c>
      <c r="G20" s="37">
        <v>23</v>
      </c>
      <c r="H20" s="37">
        <f>F20*G20</f>
        <v>5.4471666666666669</v>
      </c>
      <c r="I20" s="45">
        <v>1.32</v>
      </c>
      <c r="J20" s="45"/>
      <c r="K20" s="45">
        <f>VLOOKUP(C20,'[1]目标价格核算明细表 (更新)'!$C:$K,9,0)</f>
        <v>12.856</v>
      </c>
      <c r="L20" s="46">
        <f t="shared" ref="L20:L35" si="4">I20*K20</f>
        <v>16.969920000000002</v>
      </c>
      <c r="M20" s="45">
        <v>20.92</v>
      </c>
      <c r="N20" s="46"/>
      <c r="O20" s="45">
        <f t="shared" ref="O20:O35" si="5">L20+M20</f>
        <v>37.889920000000004</v>
      </c>
      <c r="P20" s="45">
        <f>(22.84*0.98-0.7)/14.57*L20+M20*1.02</f>
        <v>46.593181698284155</v>
      </c>
      <c r="Q20" s="45">
        <v>10.43</v>
      </c>
      <c r="R20" s="50">
        <f t="shared" ref="R20:R35" si="6">P20+Q20</f>
        <v>57.023181698284155</v>
      </c>
    </row>
    <row r="21" spans="1:18" ht="16.5">
      <c r="A21" s="41">
        <v>2</v>
      </c>
      <c r="B21" s="37" t="s">
        <v>374</v>
      </c>
      <c r="C21" s="37" t="s">
        <v>394</v>
      </c>
      <c r="D21" s="37" t="s">
        <v>379</v>
      </c>
      <c r="E21" s="37" t="s">
        <v>377</v>
      </c>
      <c r="F21" s="38">
        <f>14.21/60</f>
        <v>0.23683333333333334</v>
      </c>
      <c r="G21" s="37">
        <v>23</v>
      </c>
      <c r="H21" s="37">
        <f t="shared" ref="H21:H35" si="7">F21*G21</f>
        <v>5.4471666666666669</v>
      </c>
      <c r="I21" s="45">
        <v>1.3</v>
      </c>
      <c r="J21" s="45"/>
      <c r="K21" s="45">
        <f>VLOOKUP(C21,'[1]目标价格核算明细表 (更新)'!$C:$K,9,0)</f>
        <v>12.8538</v>
      </c>
      <c r="L21" s="48">
        <f t="shared" si="4"/>
        <v>16.70994</v>
      </c>
      <c r="M21" s="45">
        <v>20.92</v>
      </c>
      <c r="N21" s="45"/>
      <c r="O21" s="45">
        <f t="shared" si="5"/>
        <v>37.629940000000005</v>
      </c>
      <c r="P21" s="45">
        <f>(22.84*0.98-0.7)/14.57*L21+M21*1.02</f>
        <v>46.206277214001375</v>
      </c>
      <c r="Q21" s="45">
        <v>10.43</v>
      </c>
      <c r="R21" s="50">
        <f t="shared" si="6"/>
        <v>56.636277214001375</v>
      </c>
    </row>
    <row r="22" spans="1:18" ht="16.5">
      <c r="A22" s="41">
        <v>3</v>
      </c>
      <c r="B22" s="37" t="s">
        <v>374</v>
      </c>
      <c r="C22" s="37" t="s">
        <v>395</v>
      </c>
      <c r="D22" s="37" t="s">
        <v>396</v>
      </c>
      <c r="E22" s="37" t="s">
        <v>377</v>
      </c>
      <c r="F22" s="38">
        <f>13.55/60</f>
        <v>0.22583333333333336</v>
      </c>
      <c r="G22" s="37">
        <v>23</v>
      </c>
      <c r="H22" s="37">
        <f t="shared" si="7"/>
        <v>5.1941666666666668</v>
      </c>
      <c r="I22" s="45">
        <v>0.89</v>
      </c>
      <c r="J22" s="45"/>
      <c r="K22" s="45">
        <f>VLOOKUP(C22,'[1]目标价格核算明细表 (更新)'!$C:$K,9,0)</f>
        <v>12.8315</v>
      </c>
      <c r="L22" s="48">
        <f t="shared" si="4"/>
        <v>11.420035</v>
      </c>
      <c r="M22" s="45">
        <v>33</v>
      </c>
      <c r="N22" s="45"/>
      <c r="O22" s="45">
        <f t="shared" si="5"/>
        <v>44.420034999999999</v>
      </c>
      <c r="P22" s="45">
        <f t="shared" ref="P22:P35" si="8">(22.84*0.98-0.7)/14.57*L22+M22*1.02</f>
        <v>50.65539484639671</v>
      </c>
      <c r="Q22" s="45">
        <v>8.11</v>
      </c>
      <c r="R22" s="50">
        <f t="shared" si="6"/>
        <v>58.76539484639671</v>
      </c>
    </row>
    <row r="23" spans="1:18" ht="16.5">
      <c r="A23" s="41">
        <v>4</v>
      </c>
      <c r="B23" s="37" t="s">
        <v>374</v>
      </c>
      <c r="C23" s="37" t="s">
        <v>397</v>
      </c>
      <c r="D23" s="37" t="s">
        <v>398</v>
      </c>
      <c r="E23" s="37" t="s">
        <v>377</v>
      </c>
      <c r="F23" s="38">
        <f t="shared" ref="F23:F30" si="9">13.55/60</f>
        <v>0.22583333333333336</v>
      </c>
      <c r="G23" s="37">
        <v>23</v>
      </c>
      <c r="H23" s="37">
        <f t="shared" si="7"/>
        <v>5.1941666666666668</v>
      </c>
      <c r="I23" s="45">
        <v>0.88</v>
      </c>
      <c r="J23" s="45"/>
      <c r="K23" s="45">
        <f>VLOOKUP(C23,'[1]目标价格核算明细表 (更新)'!$C:$K,9,0)</f>
        <v>12.83</v>
      </c>
      <c r="L23" s="48">
        <f t="shared" si="4"/>
        <v>11.2904</v>
      </c>
      <c r="M23" s="45">
        <v>26.56</v>
      </c>
      <c r="N23" s="45"/>
      <c r="O23" s="45">
        <f t="shared" si="5"/>
        <v>37.8504</v>
      </c>
      <c r="P23" s="45">
        <f t="shared" si="8"/>
        <v>43.893670918325327</v>
      </c>
      <c r="Q23" s="45">
        <v>8.11</v>
      </c>
      <c r="R23" s="50">
        <f t="shared" si="6"/>
        <v>52.003670918325327</v>
      </c>
    </row>
    <row r="24" spans="1:18" ht="16.5">
      <c r="A24" s="41">
        <v>5</v>
      </c>
      <c r="B24" s="37" t="s">
        <v>374</v>
      </c>
      <c r="C24" s="37" t="s">
        <v>399</v>
      </c>
      <c r="D24" s="37" t="s">
        <v>400</v>
      </c>
      <c r="E24" s="37" t="s">
        <v>377</v>
      </c>
      <c r="F24" s="38">
        <f t="shared" si="9"/>
        <v>0.22583333333333336</v>
      </c>
      <c r="G24" s="37">
        <v>23</v>
      </c>
      <c r="H24" s="37">
        <f t="shared" si="7"/>
        <v>5.1941666666666668</v>
      </c>
      <c r="I24" s="45">
        <v>0.88</v>
      </c>
      <c r="J24" s="45"/>
      <c r="K24" s="45">
        <f>VLOOKUP(C24,'[1]目标价格核算明细表 (更新)'!$C:$K,9,0)</f>
        <v>12.83</v>
      </c>
      <c r="L24" s="48">
        <f t="shared" si="4"/>
        <v>11.2904</v>
      </c>
      <c r="M24" s="45">
        <v>27.1</v>
      </c>
      <c r="N24" s="45"/>
      <c r="O24" s="45">
        <f t="shared" si="5"/>
        <v>38.3904</v>
      </c>
      <c r="P24" s="45">
        <f t="shared" si="8"/>
        <v>44.444470918325329</v>
      </c>
      <c r="Q24" s="45">
        <v>8.11</v>
      </c>
      <c r="R24" s="50">
        <f t="shared" si="6"/>
        <v>52.554470918325329</v>
      </c>
    </row>
    <row r="25" spans="1:18" ht="16.5">
      <c r="A25" s="41">
        <v>6</v>
      </c>
      <c r="B25" s="37" t="s">
        <v>374</v>
      </c>
      <c r="C25" s="37" t="s">
        <v>401</v>
      </c>
      <c r="D25" s="37" t="s">
        <v>402</v>
      </c>
      <c r="E25" s="37" t="s">
        <v>377</v>
      </c>
      <c r="F25" s="38"/>
      <c r="G25" s="37">
        <v>23</v>
      </c>
      <c r="H25" s="37">
        <f t="shared" si="7"/>
        <v>0</v>
      </c>
      <c r="I25" s="49">
        <v>0.94</v>
      </c>
      <c r="J25" s="45"/>
      <c r="K25" s="49">
        <v>13.02</v>
      </c>
      <c r="L25" s="49">
        <f t="shared" si="4"/>
        <v>12.238799999999999</v>
      </c>
      <c r="M25" s="49">
        <v>28.88</v>
      </c>
      <c r="N25" s="45"/>
      <c r="O25" s="49">
        <f t="shared" si="5"/>
        <v>41.1188</v>
      </c>
      <c r="P25" s="49">
        <f t="shared" si="8"/>
        <v>47.671487999999997</v>
      </c>
      <c r="Q25" s="49">
        <v>8.11</v>
      </c>
      <c r="R25" s="51">
        <f t="shared" si="6"/>
        <v>55.781487999999996</v>
      </c>
    </row>
    <row r="26" spans="1:18" ht="16.5">
      <c r="A26" s="41">
        <v>7</v>
      </c>
      <c r="B26" s="37" t="s">
        <v>374</v>
      </c>
      <c r="C26" s="37" t="s">
        <v>403</v>
      </c>
      <c r="D26" s="37" t="s">
        <v>398</v>
      </c>
      <c r="E26" s="37" t="s">
        <v>377</v>
      </c>
      <c r="F26" s="38"/>
      <c r="G26" s="37">
        <v>23</v>
      </c>
      <c r="H26" s="37">
        <f t="shared" si="7"/>
        <v>0</v>
      </c>
      <c r="I26" s="49">
        <v>0.67100000000000004</v>
      </c>
      <c r="J26" s="45"/>
      <c r="K26" s="49">
        <v>13.02</v>
      </c>
      <c r="L26" s="49">
        <f t="shared" si="4"/>
        <v>8.7364200000000007</v>
      </c>
      <c r="M26" s="49">
        <v>24.78</v>
      </c>
      <c r="N26" s="45"/>
      <c r="O26" s="49">
        <f t="shared" si="5"/>
        <v>33.516420000000004</v>
      </c>
      <c r="P26" s="49">
        <f t="shared" si="8"/>
        <v>38.277215795744681</v>
      </c>
      <c r="Q26" s="49">
        <v>8.11</v>
      </c>
      <c r="R26" s="51">
        <f t="shared" si="6"/>
        <v>46.38721579574468</v>
      </c>
    </row>
    <row r="27" spans="1:18" ht="16.5">
      <c r="A27" s="41">
        <v>8</v>
      </c>
      <c r="B27" s="37" t="s">
        <v>374</v>
      </c>
      <c r="C27" s="37" t="s">
        <v>404</v>
      </c>
      <c r="D27" s="37" t="s">
        <v>405</v>
      </c>
      <c r="E27" s="37" t="s">
        <v>377</v>
      </c>
      <c r="F27" s="38"/>
      <c r="G27" s="37">
        <v>23</v>
      </c>
      <c r="H27" s="37">
        <f t="shared" si="7"/>
        <v>0</v>
      </c>
      <c r="I27" s="49">
        <v>0.52800000000000002</v>
      </c>
      <c r="J27" s="45"/>
      <c r="K27" s="49">
        <v>13.02</v>
      </c>
      <c r="L27" s="49">
        <f t="shared" si="4"/>
        <v>6.8745599999999998</v>
      </c>
      <c r="M27" s="49">
        <v>19.035</v>
      </c>
      <c r="N27" s="45"/>
      <c r="O27" s="49">
        <f t="shared" si="5"/>
        <v>25.909559999999999</v>
      </c>
      <c r="P27" s="49">
        <f t="shared" si="8"/>
        <v>29.646479642553192</v>
      </c>
      <c r="Q27" s="49">
        <v>8.11</v>
      </c>
      <c r="R27" s="51">
        <f t="shared" si="6"/>
        <v>37.756479642553188</v>
      </c>
    </row>
    <row r="28" spans="1:18" ht="16.5">
      <c r="A28" s="41">
        <v>9</v>
      </c>
      <c r="B28" s="37" t="s">
        <v>374</v>
      </c>
      <c r="C28" s="37" t="s">
        <v>406</v>
      </c>
      <c r="D28" s="37" t="s">
        <v>407</v>
      </c>
      <c r="E28" s="37" t="s">
        <v>377</v>
      </c>
      <c r="F28" s="38"/>
      <c r="G28" s="37">
        <v>23</v>
      </c>
      <c r="H28" s="37">
        <f t="shared" si="7"/>
        <v>0</v>
      </c>
      <c r="I28" s="49">
        <v>0.52500000000000002</v>
      </c>
      <c r="J28" s="45"/>
      <c r="K28" s="49">
        <v>13.02</v>
      </c>
      <c r="L28" s="49">
        <f t="shared" si="4"/>
        <v>6.8354999999999997</v>
      </c>
      <c r="M28" s="49">
        <v>16.984999999999999</v>
      </c>
      <c r="N28" s="45"/>
      <c r="O28" s="49">
        <f t="shared" si="5"/>
        <v>23.820499999999999</v>
      </c>
      <c r="P28" s="49">
        <f t="shared" si="8"/>
        <v>27.497350212765959</v>
      </c>
      <c r="Q28" s="49">
        <v>8.11</v>
      </c>
      <c r="R28" s="51">
        <f t="shared" si="6"/>
        <v>35.607350212765958</v>
      </c>
    </row>
    <row r="29" spans="1:18" ht="16.5">
      <c r="A29" s="41">
        <v>10</v>
      </c>
      <c r="B29" s="37" t="s">
        <v>374</v>
      </c>
      <c r="C29" s="37" t="s">
        <v>408</v>
      </c>
      <c r="D29" s="37" t="s">
        <v>409</v>
      </c>
      <c r="E29" s="37" t="s">
        <v>377</v>
      </c>
      <c r="F29" s="38"/>
      <c r="G29" s="37">
        <v>23</v>
      </c>
      <c r="H29" s="37">
        <f t="shared" si="7"/>
        <v>0</v>
      </c>
      <c r="I29" s="49">
        <v>0.77900000000000003</v>
      </c>
      <c r="J29" s="45"/>
      <c r="K29" s="49">
        <v>13.02</v>
      </c>
      <c r="L29" s="49">
        <f t="shared" si="4"/>
        <v>10.142580000000001</v>
      </c>
      <c r="M29" s="49">
        <v>16.984999999999999</v>
      </c>
      <c r="N29" s="45"/>
      <c r="O29" s="49">
        <f t="shared" si="5"/>
        <v>27.127580000000002</v>
      </c>
      <c r="P29" s="49">
        <f t="shared" si="8"/>
        <v>32.418975268085106</v>
      </c>
      <c r="Q29" s="49">
        <v>8.11</v>
      </c>
      <c r="R29" s="51">
        <f t="shared" si="6"/>
        <v>40.528975268085105</v>
      </c>
    </row>
    <row r="30" spans="1:18" ht="16.5">
      <c r="A30" s="41">
        <v>11</v>
      </c>
      <c r="B30" s="37" t="s">
        <v>374</v>
      </c>
      <c r="C30" s="37" t="s">
        <v>410</v>
      </c>
      <c r="D30" s="37" t="s">
        <v>411</v>
      </c>
      <c r="E30" s="37" t="s">
        <v>377</v>
      </c>
      <c r="F30" s="38">
        <f t="shared" si="9"/>
        <v>0.22583333333333336</v>
      </c>
      <c r="G30" s="37">
        <v>23</v>
      </c>
      <c r="H30" s="37">
        <f t="shared" si="7"/>
        <v>5.1941666666666668</v>
      </c>
      <c r="I30" s="45">
        <v>1</v>
      </c>
      <c r="J30" s="45"/>
      <c r="K30" s="49">
        <v>13.02</v>
      </c>
      <c r="L30" s="49">
        <f t="shared" si="4"/>
        <v>13.02</v>
      </c>
      <c r="M30" s="45">
        <v>27.26</v>
      </c>
      <c r="N30" s="45"/>
      <c r="O30" s="45">
        <f t="shared" si="5"/>
        <v>40.28</v>
      </c>
      <c r="P30" s="45">
        <f t="shared" si="8"/>
        <v>47.181676595744683</v>
      </c>
      <c r="Q30" s="45">
        <v>8.11</v>
      </c>
      <c r="R30" s="50">
        <f t="shared" si="6"/>
        <v>55.291676595744683</v>
      </c>
    </row>
    <row r="31" spans="1:18" ht="16.5">
      <c r="A31" s="41">
        <v>12</v>
      </c>
      <c r="B31" s="37" t="s">
        <v>374</v>
      </c>
      <c r="C31" s="37" t="s">
        <v>412</v>
      </c>
      <c r="D31" s="37" t="s">
        <v>413</v>
      </c>
      <c r="E31" s="37" t="s">
        <v>377</v>
      </c>
      <c r="F31" s="38">
        <f>15.11/60</f>
        <v>0.2518333333333333</v>
      </c>
      <c r="G31" s="37">
        <v>23</v>
      </c>
      <c r="H31" s="37">
        <f t="shared" si="7"/>
        <v>5.7921666666666658</v>
      </c>
      <c r="I31" s="45">
        <v>1.1000000000000001</v>
      </c>
      <c r="J31" s="45"/>
      <c r="K31" s="49">
        <v>13.02</v>
      </c>
      <c r="L31" s="49">
        <f t="shared" si="4"/>
        <v>14.322000000000001</v>
      </c>
      <c r="M31" s="45">
        <v>24.92</v>
      </c>
      <c r="N31" s="45"/>
      <c r="O31" s="45">
        <f t="shared" si="5"/>
        <v>39.242000000000004</v>
      </c>
      <c r="P31" s="45">
        <f t="shared" si="8"/>
        <v>46.732524255319149</v>
      </c>
      <c r="Q31" s="45">
        <v>8.11</v>
      </c>
      <c r="R31" s="50">
        <f t="shared" si="6"/>
        <v>54.842524255319148</v>
      </c>
    </row>
    <row r="32" spans="1:18" ht="16.5">
      <c r="A32" s="41">
        <v>13</v>
      </c>
      <c r="B32" s="37" t="s">
        <v>374</v>
      </c>
      <c r="C32" s="37" t="s">
        <v>414</v>
      </c>
      <c r="D32" s="37" t="s">
        <v>415</v>
      </c>
      <c r="E32" s="37" t="s">
        <v>377</v>
      </c>
      <c r="F32" s="38">
        <f>15.11/60</f>
        <v>0.2518333333333333</v>
      </c>
      <c r="G32" s="37">
        <v>23</v>
      </c>
      <c r="H32" s="37">
        <f t="shared" si="7"/>
        <v>5.7921666666666658</v>
      </c>
      <c r="I32" s="45">
        <v>1.08</v>
      </c>
      <c r="J32" s="45"/>
      <c r="K32" s="45">
        <f>VLOOKUP(C32,'[1]目标价格核算明细表 (更新)'!$C:$K,9,0)</f>
        <v>12.741</v>
      </c>
      <c r="L32" s="48">
        <f t="shared" si="4"/>
        <v>13.76028</v>
      </c>
      <c r="M32" s="45">
        <v>25.27</v>
      </c>
      <c r="N32" s="45"/>
      <c r="O32" s="45">
        <f t="shared" si="5"/>
        <v>39.030279999999998</v>
      </c>
      <c r="P32" s="45">
        <f t="shared" si="8"/>
        <v>46.253567693617022</v>
      </c>
      <c r="Q32" s="45">
        <v>8.11</v>
      </c>
      <c r="R32" s="50">
        <f t="shared" si="6"/>
        <v>54.363567693617021</v>
      </c>
    </row>
    <row r="33" spans="1:18" ht="16.5">
      <c r="A33" s="41">
        <v>14</v>
      </c>
      <c r="B33" s="37" t="s">
        <v>374</v>
      </c>
      <c r="C33" s="37" t="s">
        <v>416</v>
      </c>
      <c r="D33" s="37" t="s">
        <v>417</v>
      </c>
      <c r="E33" s="37" t="s">
        <v>377</v>
      </c>
      <c r="F33" s="38">
        <f t="shared" ref="F33:F35" si="10">15.34/60</f>
        <v>0.25566666666666665</v>
      </c>
      <c r="G33" s="37">
        <v>23</v>
      </c>
      <c r="H33" s="37">
        <f t="shared" si="7"/>
        <v>5.8803333333333327</v>
      </c>
      <c r="I33" s="45">
        <v>1.55</v>
      </c>
      <c r="J33" s="45"/>
      <c r="K33" s="49">
        <v>13.02</v>
      </c>
      <c r="L33" s="49">
        <f t="shared" si="4"/>
        <v>20.181000000000001</v>
      </c>
      <c r="M33" s="45">
        <v>26.02</v>
      </c>
      <c r="N33" s="45"/>
      <c r="O33" s="45">
        <f t="shared" si="5"/>
        <v>46.201000000000001</v>
      </c>
      <c r="P33" s="45">
        <f t="shared" si="8"/>
        <v>56.573938723404254</v>
      </c>
      <c r="Q33" s="45">
        <v>9.1300000000000008</v>
      </c>
      <c r="R33" s="50">
        <f t="shared" si="6"/>
        <v>65.703938723404249</v>
      </c>
    </row>
    <row r="34" spans="1:18" ht="16.5">
      <c r="A34" s="41">
        <v>15</v>
      </c>
      <c r="B34" s="37" t="s">
        <v>374</v>
      </c>
      <c r="C34" s="37" t="s">
        <v>418</v>
      </c>
      <c r="D34" s="37" t="s">
        <v>419</v>
      </c>
      <c r="E34" s="37" t="s">
        <v>377</v>
      </c>
      <c r="F34" s="38">
        <f t="shared" si="10"/>
        <v>0.25566666666666665</v>
      </c>
      <c r="G34" s="37">
        <v>23</v>
      </c>
      <c r="H34" s="37">
        <f t="shared" si="7"/>
        <v>5.8803333333333327</v>
      </c>
      <c r="I34" s="45">
        <v>1.55</v>
      </c>
      <c r="J34" s="45"/>
      <c r="K34" s="45">
        <f>VLOOKUP(C34,'[1]目标价格核算明细表 (更新)'!$C:$K,9,0)</f>
        <v>12.781000000000001</v>
      </c>
      <c r="L34" s="48">
        <f t="shared" si="4"/>
        <v>19.810550000000003</v>
      </c>
      <c r="M34" s="45">
        <v>26.37</v>
      </c>
      <c r="N34" s="45"/>
      <c r="O34" s="45">
        <f t="shared" si="5"/>
        <v>46.180550000000004</v>
      </c>
      <c r="P34" s="45">
        <f t="shared" si="8"/>
        <v>56.379631829787236</v>
      </c>
      <c r="Q34" s="45">
        <v>9.1300000000000008</v>
      </c>
      <c r="R34" s="50">
        <f t="shared" si="6"/>
        <v>65.509631829787239</v>
      </c>
    </row>
    <row r="35" spans="1:18" ht="16.5">
      <c r="A35" s="41">
        <v>15</v>
      </c>
      <c r="B35" s="37" t="s">
        <v>374</v>
      </c>
      <c r="C35" s="37" t="s">
        <v>420</v>
      </c>
      <c r="D35" s="37" t="s">
        <v>419</v>
      </c>
      <c r="E35" s="37" t="s">
        <v>377</v>
      </c>
      <c r="F35" s="38">
        <f t="shared" si="10"/>
        <v>0.25566666666666665</v>
      </c>
      <c r="G35" s="37">
        <v>23</v>
      </c>
      <c r="H35" s="37">
        <f t="shared" si="7"/>
        <v>5.8803333333333327</v>
      </c>
      <c r="I35" s="45">
        <v>4.08</v>
      </c>
      <c r="J35" s="45"/>
      <c r="K35" s="45">
        <f>VLOOKUP(C35,'[1]目标价格核算明细表 (更新)'!$C:$K,9,0)</f>
        <v>12.819000000000001</v>
      </c>
      <c r="L35" s="48">
        <f t="shared" si="4"/>
        <v>52.301520000000004</v>
      </c>
      <c r="M35" s="45">
        <v>118.735</v>
      </c>
      <c r="N35" s="45"/>
      <c r="O35" s="45">
        <f t="shared" si="5"/>
        <v>171.03652</v>
      </c>
      <c r="P35" s="45">
        <f t="shared" si="8"/>
        <v>198.94527436266301</v>
      </c>
      <c r="Q35" s="45">
        <v>17.420000000000002</v>
      </c>
      <c r="R35" s="50">
        <f t="shared" si="6"/>
        <v>216.365274362663</v>
      </c>
    </row>
  </sheetData>
  <phoneticPr fontId="43" type="noConversion"/>
  <conditionalFormatting sqref="F1">
    <cfRule type="cellIs" dxfId="1" priority="3" operator="equal">
      <formula>0</formula>
    </cfRule>
  </conditionalFormatting>
  <conditionalFormatting sqref="F19">
    <cfRule type="cellIs" dxfId="0" priority="1" operator="equal">
      <formula>0</formula>
    </cfRule>
  </conditionalFormatting>
  <dataValidations count="2">
    <dataValidation allowBlank="1" showInputMessage="1" showErrorMessage="1" sqref="E1 E19:F19 F1:F3 F20:F21"/>
    <dataValidation type="list" allowBlank="1" showInputMessage="1" showErrorMessage="1" sqref="E2:E17 E20:E35">
      <formula1>"外部,内部,地点间,模块内"</formula1>
    </dataValidation>
  </dataValidations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K3" sqref="K3"/>
    </sheetView>
  </sheetViews>
  <sheetFormatPr defaultColWidth="9" defaultRowHeight="13.5"/>
  <cols>
    <col min="2" max="2" width="11.5" customWidth="1"/>
    <col min="3" max="3" width="35.125" customWidth="1"/>
    <col min="4" max="4" width="13" customWidth="1"/>
    <col min="5" max="10" width="10.375" customWidth="1"/>
    <col min="11" max="11" width="12.625"/>
  </cols>
  <sheetData>
    <row r="1" spans="2:11" ht="39" customHeight="1">
      <c r="B1" s="191" t="s">
        <v>308</v>
      </c>
      <c r="C1" s="191"/>
      <c r="D1" s="191"/>
      <c r="E1" s="191"/>
      <c r="F1" s="191"/>
      <c r="G1" s="191"/>
      <c r="H1" s="191"/>
      <c r="I1" s="191"/>
      <c r="J1" s="191"/>
    </row>
    <row r="2" spans="2:11" ht="33.950000000000003" customHeight="1">
      <c r="B2" s="15" t="s">
        <v>12</v>
      </c>
      <c r="C2" s="15" t="s">
        <v>11</v>
      </c>
      <c r="D2" s="16" t="s">
        <v>338</v>
      </c>
      <c r="E2" s="15" t="s">
        <v>357</v>
      </c>
      <c r="F2" s="17" t="s">
        <v>309</v>
      </c>
      <c r="G2" s="17" t="s">
        <v>310</v>
      </c>
      <c r="H2" s="18" t="s">
        <v>421</v>
      </c>
      <c r="I2" s="23" t="s">
        <v>422</v>
      </c>
      <c r="J2" s="24" t="s">
        <v>423</v>
      </c>
      <c r="K2" s="25" t="s">
        <v>424</v>
      </c>
    </row>
    <row r="3" spans="2:11" ht="27" customHeight="1">
      <c r="B3" s="15" t="s">
        <v>17</v>
      </c>
      <c r="C3" s="15" t="s">
        <v>311</v>
      </c>
      <c r="D3" s="19">
        <v>23.291</v>
      </c>
      <c r="E3" s="19">
        <v>36.6</v>
      </c>
      <c r="F3" s="20">
        <f t="shared" ref="F3:F10" si="0">E3-D3</f>
        <v>13.309000000000001</v>
      </c>
      <c r="G3" s="21">
        <f>F3/E3</f>
        <v>0.36363387978142075</v>
      </c>
      <c r="H3" s="28">
        <f>'B01'!R10</f>
        <v>42.251596305284835</v>
      </c>
      <c r="I3" s="26">
        <f>H3-D3</f>
        <v>18.960596305284835</v>
      </c>
      <c r="J3" s="27">
        <f>I3/H3</f>
        <v>0.44875455517199575</v>
      </c>
      <c r="K3" s="25">
        <f>'B01'!H10</f>
        <v>4.3239999999999998</v>
      </c>
    </row>
    <row r="4" spans="2:11" ht="27" customHeight="1">
      <c r="B4" s="15" t="s">
        <v>43</v>
      </c>
      <c r="C4" s="15" t="s">
        <v>313</v>
      </c>
      <c r="D4" s="19">
        <v>23.291</v>
      </c>
      <c r="E4" s="19">
        <v>36.549999999999997</v>
      </c>
      <c r="F4" s="20">
        <f t="shared" si="0"/>
        <v>13.258999999999997</v>
      </c>
      <c r="G4" s="21">
        <f t="shared" ref="G4:G10" si="1">F4/E4</f>
        <v>0.36276333789329679</v>
      </c>
      <c r="H4" s="28">
        <f>'B01'!R11</f>
        <v>42.251596305284835</v>
      </c>
      <c r="I4" s="26">
        <f t="shared" ref="I4:I10" si="2">H4-D4</f>
        <v>18.960596305284835</v>
      </c>
      <c r="J4" s="27">
        <f t="shared" ref="J4:J10" si="3">I4/H4</f>
        <v>0.44875455517199575</v>
      </c>
      <c r="K4" s="25">
        <f>'B01'!H11</f>
        <v>4.3239999999999998</v>
      </c>
    </row>
    <row r="5" spans="2:11" ht="27" customHeight="1">
      <c r="B5" s="15" t="s">
        <v>49</v>
      </c>
      <c r="C5" s="15" t="s">
        <v>314</v>
      </c>
      <c r="D5" s="19">
        <v>16.652000000000001</v>
      </c>
      <c r="E5" s="19">
        <v>25.43</v>
      </c>
      <c r="F5" s="20">
        <f t="shared" si="0"/>
        <v>8.7779999999999987</v>
      </c>
      <c r="G5" s="21">
        <f t="shared" si="1"/>
        <v>0.34518285489579231</v>
      </c>
      <c r="H5" s="28">
        <f>'B01'!R12</f>
        <v>31.753250399450927</v>
      </c>
      <c r="I5" s="26">
        <f t="shared" si="2"/>
        <v>15.101250399450926</v>
      </c>
      <c r="J5" s="27">
        <f t="shared" si="3"/>
        <v>0.47558124631272569</v>
      </c>
      <c r="K5" s="25">
        <f>'B01'!H12</f>
        <v>4.2626666666666662</v>
      </c>
    </row>
    <row r="6" spans="2:11" ht="27" customHeight="1">
      <c r="B6" s="15" t="s">
        <v>60</v>
      </c>
      <c r="C6" s="15" t="s">
        <v>315</v>
      </c>
      <c r="D6" s="19">
        <v>16.652000000000001</v>
      </c>
      <c r="E6" s="19">
        <v>25.43</v>
      </c>
      <c r="F6" s="20">
        <f t="shared" si="0"/>
        <v>8.7779999999999987</v>
      </c>
      <c r="G6" s="21">
        <f t="shared" si="1"/>
        <v>0.34518285489579231</v>
      </c>
      <c r="H6" s="28">
        <f>'B01'!R13</f>
        <v>31.827571539327387</v>
      </c>
      <c r="I6" s="26">
        <f t="shared" si="2"/>
        <v>15.175571539327386</v>
      </c>
      <c r="J6" s="27">
        <f t="shared" si="3"/>
        <v>0.47680582606108851</v>
      </c>
      <c r="K6" s="25">
        <f>'B01'!H13</f>
        <v>4.2626666666666662</v>
      </c>
    </row>
    <row r="7" spans="2:11" ht="27" customHeight="1">
      <c r="B7" s="15" t="s">
        <v>65</v>
      </c>
      <c r="C7" s="15" t="s">
        <v>316</v>
      </c>
      <c r="D7" s="19">
        <v>20.277000000000001</v>
      </c>
      <c r="E7" s="19">
        <v>34.54</v>
      </c>
      <c r="F7" s="20">
        <f t="shared" si="0"/>
        <v>14.262999999999998</v>
      </c>
      <c r="G7" s="21">
        <f t="shared" si="1"/>
        <v>0.41294151708164445</v>
      </c>
      <c r="H7" s="28">
        <f>'B01'!R14</f>
        <v>36.833389726835968</v>
      </c>
      <c r="I7" s="26">
        <f t="shared" si="2"/>
        <v>16.556389726835967</v>
      </c>
      <c r="J7" s="27">
        <f t="shared" si="3"/>
        <v>0.44949405551923338</v>
      </c>
      <c r="K7" s="25">
        <f>'B01'!H14</f>
        <v>4.2971666666666675</v>
      </c>
    </row>
    <row r="8" spans="2:11" ht="27" customHeight="1">
      <c r="B8" s="15" t="s">
        <v>81</v>
      </c>
      <c r="C8" s="15" t="s">
        <v>317</v>
      </c>
      <c r="D8" s="19">
        <v>30.074000000000002</v>
      </c>
      <c r="E8" s="19">
        <v>43.67</v>
      </c>
      <c r="F8" s="20">
        <f t="shared" si="0"/>
        <v>13.596</v>
      </c>
      <c r="G8" s="21">
        <f t="shared" si="1"/>
        <v>0.31133501259445845</v>
      </c>
      <c r="H8" s="28">
        <f>'B01'!R15</f>
        <v>51.7091966804118</v>
      </c>
      <c r="I8" s="26">
        <f t="shared" si="2"/>
        <v>21.635196680411799</v>
      </c>
      <c r="J8" s="27">
        <f t="shared" si="3"/>
        <v>0.41840133031127763</v>
      </c>
      <c r="K8" s="25">
        <f>'B01'!H15</f>
        <v>4.3201666666666663</v>
      </c>
    </row>
    <row r="9" spans="2:11" ht="27" customHeight="1">
      <c r="B9" s="15" t="s">
        <v>92</v>
      </c>
      <c r="C9" s="15" t="s">
        <v>318</v>
      </c>
      <c r="D9" s="19">
        <v>105.16</v>
      </c>
      <c r="E9" s="19">
        <v>150.81</v>
      </c>
      <c r="F9" s="20">
        <f t="shared" si="0"/>
        <v>45.650000000000006</v>
      </c>
      <c r="G9" s="21">
        <f t="shared" si="1"/>
        <v>0.30269876002917584</v>
      </c>
      <c r="H9" s="28">
        <f>'B01'!R16</f>
        <v>152.11554468085109</v>
      </c>
      <c r="I9" s="26">
        <f t="shared" si="2"/>
        <v>46.955544680851091</v>
      </c>
      <c r="J9" s="27">
        <f t="shared" si="3"/>
        <v>0.30868340759892138</v>
      </c>
      <c r="K9" s="25">
        <f>'B01'!H16</f>
        <v>4.2818333333333332</v>
      </c>
    </row>
    <row r="10" spans="2:11" ht="27" customHeight="1">
      <c r="B10" s="192" t="s">
        <v>319</v>
      </c>
      <c r="C10" s="192"/>
      <c r="D10" s="19">
        <f>SUM(D3:D9)</f>
        <v>235.39699999999999</v>
      </c>
      <c r="E10" s="19">
        <f>SUM(E3:E9)</f>
        <v>353.03000000000003</v>
      </c>
      <c r="F10" s="20">
        <f t="shared" si="0"/>
        <v>117.63300000000004</v>
      </c>
      <c r="G10" s="21">
        <f t="shared" si="1"/>
        <v>0.33320964224003635</v>
      </c>
      <c r="H10" s="28">
        <f>SUM(H3:H9)</f>
        <v>388.74214563744681</v>
      </c>
      <c r="I10" s="26">
        <f t="shared" si="2"/>
        <v>153.34514563744682</v>
      </c>
      <c r="J10" s="27">
        <f t="shared" si="3"/>
        <v>0.39446493609792788</v>
      </c>
      <c r="K10" s="25">
        <f>SUM(K3:K9)</f>
        <v>30.072499999999998</v>
      </c>
    </row>
  </sheetData>
  <mergeCells count="2">
    <mergeCell ref="B1:J1"/>
    <mergeCell ref="B10:C10"/>
  </mergeCells>
  <phoneticPr fontId="4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E8" sqref="E8"/>
    </sheetView>
  </sheetViews>
  <sheetFormatPr defaultColWidth="9" defaultRowHeight="13.5"/>
  <cols>
    <col min="2" max="2" width="11.5" customWidth="1"/>
    <col min="3" max="3" width="38.125" customWidth="1"/>
    <col min="4" max="4" width="13.125" customWidth="1"/>
    <col min="5" max="7" width="11.875" customWidth="1"/>
    <col min="8" max="8" width="10.5" style="13" customWidth="1"/>
    <col min="9" max="9" width="9.875" style="13" customWidth="1"/>
    <col min="10" max="10" width="9.875" style="14" customWidth="1"/>
    <col min="11" max="11" width="12.625"/>
    <col min="12" max="12" width="9.375"/>
  </cols>
  <sheetData>
    <row r="1" spans="2:11" ht="27" customHeight="1">
      <c r="B1" s="191" t="s">
        <v>320</v>
      </c>
      <c r="C1" s="191"/>
      <c r="D1" s="191"/>
      <c r="E1" s="191"/>
      <c r="F1" s="191"/>
      <c r="G1" s="191"/>
      <c r="H1" s="191"/>
      <c r="I1" s="191"/>
      <c r="J1" s="191"/>
    </row>
    <row r="2" spans="2:11" ht="33.950000000000003" customHeight="1">
      <c r="B2" s="15" t="s">
        <v>12</v>
      </c>
      <c r="C2" s="15" t="s">
        <v>11</v>
      </c>
      <c r="D2" s="16" t="s">
        <v>338</v>
      </c>
      <c r="E2" s="15" t="s">
        <v>357</v>
      </c>
      <c r="F2" s="17" t="s">
        <v>309</v>
      </c>
      <c r="G2" s="17" t="s">
        <v>310</v>
      </c>
      <c r="H2" s="18" t="s">
        <v>421</v>
      </c>
      <c r="I2" s="23" t="s">
        <v>422</v>
      </c>
      <c r="J2" s="24" t="s">
        <v>423</v>
      </c>
      <c r="K2" s="25" t="s">
        <v>424</v>
      </c>
    </row>
    <row r="3" spans="2:11" ht="20.100000000000001" customHeight="1">
      <c r="B3" s="17" t="s">
        <v>121</v>
      </c>
      <c r="C3" s="15" t="s">
        <v>321</v>
      </c>
      <c r="D3" s="19">
        <v>38.106400000000001</v>
      </c>
      <c r="E3" s="19">
        <v>53.22</v>
      </c>
      <c r="F3" s="20">
        <f t="shared" ref="F3:F18" si="0">E3-D3</f>
        <v>15.113599999999998</v>
      </c>
      <c r="G3" s="21">
        <f t="shared" ref="G3:G20" si="1">F3/E3</f>
        <v>0.28398346486283349</v>
      </c>
      <c r="H3" s="19">
        <f>'V71'!R20</f>
        <v>57.023181698284155</v>
      </c>
      <c r="I3" s="26">
        <f>H3-D3</f>
        <v>18.916781698284154</v>
      </c>
      <c r="J3" s="27">
        <f>I3/H3</f>
        <v>0.33173844627567256</v>
      </c>
      <c r="K3" s="25">
        <f>'V71'!H20</f>
        <v>5.4471666666666669</v>
      </c>
    </row>
    <row r="4" spans="2:11" ht="20.100000000000001" customHeight="1">
      <c r="B4" s="17" t="s">
        <v>149</v>
      </c>
      <c r="C4" s="15" t="s">
        <v>322</v>
      </c>
      <c r="D4" s="19">
        <v>37.845999999999997</v>
      </c>
      <c r="E4" s="19">
        <v>53.22</v>
      </c>
      <c r="F4" s="20">
        <f t="shared" si="0"/>
        <v>15.374000000000002</v>
      </c>
      <c r="G4" s="21">
        <f t="shared" si="1"/>
        <v>0.28887636226982344</v>
      </c>
      <c r="H4" s="19">
        <f>'V71'!R21</f>
        <v>56.636277214001375</v>
      </c>
      <c r="I4" s="26">
        <f t="shared" ref="I4:I18" si="2">H4-D4</f>
        <v>18.790277214001378</v>
      </c>
      <c r="J4" s="27">
        <f t="shared" ref="J4:J18" si="3">I4/H4</f>
        <v>0.33177105096441839</v>
      </c>
      <c r="K4" s="25">
        <f>'V71'!H21</f>
        <v>5.4471666666666669</v>
      </c>
    </row>
    <row r="5" spans="2:11" ht="20.100000000000001" customHeight="1">
      <c r="B5" s="17" t="s">
        <v>154</v>
      </c>
      <c r="C5" s="15" t="s">
        <v>323</v>
      </c>
      <c r="D5" s="19">
        <v>39.847799999999999</v>
      </c>
      <c r="E5" s="19">
        <v>46.97</v>
      </c>
      <c r="F5" s="20">
        <f t="shared" si="0"/>
        <v>7.1221999999999994</v>
      </c>
      <c r="G5" s="21">
        <f t="shared" si="1"/>
        <v>0.1516329572067277</v>
      </c>
      <c r="H5" s="19">
        <f>'V71'!R22</f>
        <v>58.76539484639671</v>
      </c>
      <c r="I5" s="26">
        <f t="shared" si="2"/>
        <v>18.91759484639671</v>
      </c>
      <c r="J5" s="27">
        <f t="shared" si="3"/>
        <v>0.32191725922788844</v>
      </c>
      <c r="K5" s="25">
        <f>'V71'!H22</f>
        <v>5.1941666666666668</v>
      </c>
    </row>
    <row r="6" spans="2:11" ht="20.100000000000001" customHeight="1">
      <c r="B6" s="15" t="s">
        <v>175</v>
      </c>
      <c r="C6" s="15" t="s">
        <v>324</v>
      </c>
      <c r="D6" s="19">
        <v>38.017600000000002</v>
      </c>
      <c r="E6" s="19">
        <v>39.51</v>
      </c>
      <c r="F6" s="20">
        <f t="shared" si="0"/>
        <v>1.4923999999999964</v>
      </c>
      <c r="G6" s="21">
        <f t="shared" si="1"/>
        <v>3.7772715768159867E-2</v>
      </c>
      <c r="H6" s="19">
        <f>'V71'!R23</f>
        <v>52.003670918325327</v>
      </c>
      <c r="I6" s="26">
        <f t="shared" si="2"/>
        <v>13.986070918325325</v>
      </c>
      <c r="J6" s="27">
        <f t="shared" si="3"/>
        <v>0.2689439162918178</v>
      </c>
      <c r="K6" s="25">
        <f>'V71'!H23</f>
        <v>5.1941666666666668</v>
      </c>
    </row>
    <row r="7" spans="2:11" ht="20.100000000000001" customHeight="1">
      <c r="B7" s="15" t="s">
        <v>182</v>
      </c>
      <c r="C7" s="15" t="s">
        <v>325</v>
      </c>
      <c r="D7" s="19">
        <v>38.557600000000001</v>
      </c>
      <c r="E7" s="19">
        <v>46.21</v>
      </c>
      <c r="F7" s="20">
        <f t="shared" si="0"/>
        <v>7.6524000000000001</v>
      </c>
      <c r="G7" s="21">
        <f t="shared" si="1"/>
        <v>0.16560051936810213</v>
      </c>
      <c r="H7" s="19">
        <f>'V71'!R24</f>
        <v>52.554470918325329</v>
      </c>
      <c r="I7" s="26">
        <f t="shared" si="2"/>
        <v>13.996870918325328</v>
      </c>
      <c r="J7" s="27">
        <f t="shared" si="3"/>
        <v>0.26633073597254558</v>
      </c>
      <c r="K7" s="25">
        <f>'V71'!H24</f>
        <v>5.1941666666666668</v>
      </c>
    </row>
    <row r="8" spans="2:11" ht="20.100000000000001" customHeight="1">
      <c r="B8" s="17" t="s">
        <v>190</v>
      </c>
      <c r="C8" s="15" t="s">
        <v>326</v>
      </c>
      <c r="D8" s="19">
        <v>42.097904</v>
      </c>
      <c r="E8" s="19">
        <v>48.58</v>
      </c>
      <c r="F8" s="20">
        <f t="shared" si="0"/>
        <v>6.4820959999999985</v>
      </c>
      <c r="G8" s="21">
        <f t="shared" si="1"/>
        <v>0.13343137093454094</v>
      </c>
      <c r="H8" s="19">
        <f>'V71'!R25</f>
        <v>55.781487999999996</v>
      </c>
      <c r="I8" s="26">
        <f t="shared" si="2"/>
        <v>13.683583999999996</v>
      </c>
      <c r="J8" s="27">
        <f t="shared" si="3"/>
        <v>0.24530690181660261</v>
      </c>
      <c r="K8" s="25">
        <f>'V71'!H25</f>
        <v>0</v>
      </c>
    </row>
    <row r="9" spans="2:11" ht="20.100000000000001" customHeight="1">
      <c r="B9" s="15" t="s">
        <v>194</v>
      </c>
      <c r="C9" s="15" t="s">
        <v>327</v>
      </c>
      <c r="D9" s="19">
        <v>34.215333600000001</v>
      </c>
      <c r="E9" s="19">
        <v>44.83</v>
      </c>
      <c r="F9" s="20">
        <f t="shared" si="0"/>
        <v>10.614666399999997</v>
      </c>
      <c r="G9" s="21">
        <f t="shared" si="1"/>
        <v>0.23677596252509475</v>
      </c>
      <c r="H9" s="19">
        <f>'V71'!R26</f>
        <v>46.38721579574468</v>
      </c>
      <c r="I9" s="26">
        <f t="shared" si="2"/>
        <v>12.171882195744679</v>
      </c>
      <c r="J9" s="27">
        <f t="shared" si="3"/>
        <v>0.26239734346938892</v>
      </c>
      <c r="K9" s="25">
        <f>'V71'!H26</f>
        <v>0</v>
      </c>
    </row>
    <row r="10" spans="2:11" ht="20.100000000000001" customHeight="1">
      <c r="B10" s="15" t="s">
        <v>200</v>
      </c>
      <c r="C10" s="15" t="s">
        <v>328</v>
      </c>
      <c r="D10" s="19">
        <v>26.459524800000001</v>
      </c>
      <c r="E10" s="19">
        <v>32.49</v>
      </c>
      <c r="F10" s="20">
        <f t="shared" si="0"/>
        <v>6.0304752000000015</v>
      </c>
      <c r="G10" s="21">
        <f t="shared" si="1"/>
        <v>0.18561019390581721</v>
      </c>
      <c r="H10" s="19">
        <f>'V71'!R27</f>
        <v>37.756479642553188</v>
      </c>
      <c r="I10" s="26">
        <f t="shared" si="2"/>
        <v>11.296954842553188</v>
      </c>
      <c r="J10" s="27">
        <f t="shared" si="3"/>
        <v>0.29920572440818954</v>
      </c>
      <c r="K10" s="25">
        <f>'V71'!H27</f>
        <v>0</v>
      </c>
    </row>
    <row r="11" spans="2:11" ht="20.100000000000001" customHeight="1">
      <c r="B11" s="15" t="s">
        <v>213</v>
      </c>
      <c r="C11" s="15" t="s">
        <v>329</v>
      </c>
      <c r="D11" s="19">
        <v>24.367339999999999</v>
      </c>
      <c r="E11" s="19">
        <v>32.409999999999997</v>
      </c>
      <c r="F11" s="20">
        <f t="shared" si="0"/>
        <v>8.0426599999999979</v>
      </c>
      <c r="G11" s="21">
        <f t="shared" si="1"/>
        <v>0.24815365627892622</v>
      </c>
      <c r="H11" s="19">
        <f>'V71'!R28</f>
        <v>35.607350212765958</v>
      </c>
      <c r="I11" s="26">
        <f t="shared" si="2"/>
        <v>11.240010212765959</v>
      </c>
      <c r="J11" s="27">
        <f t="shared" si="3"/>
        <v>0.3156654495659772</v>
      </c>
      <c r="K11" s="25">
        <f>'V71'!H28</f>
        <v>0</v>
      </c>
    </row>
    <row r="12" spans="2:11" ht="20.100000000000001" customHeight="1">
      <c r="B12" s="15" t="s">
        <v>216</v>
      </c>
      <c r="C12" s="15" t="s">
        <v>330</v>
      </c>
      <c r="D12" s="19">
        <v>27.938986400000001</v>
      </c>
      <c r="E12" s="19">
        <v>32.409999999999997</v>
      </c>
      <c r="F12" s="20">
        <f t="shared" si="0"/>
        <v>4.4710135999999956</v>
      </c>
      <c r="G12" s="21">
        <f t="shared" si="1"/>
        <v>0.13795166923788943</v>
      </c>
      <c r="H12" s="19">
        <f>'V71'!R29</f>
        <v>40.528975268085105</v>
      </c>
      <c r="I12" s="26">
        <f t="shared" si="2"/>
        <v>12.589988868085104</v>
      </c>
      <c r="J12" s="27">
        <f t="shared" si="3"/>
        <v>0.31064167758515226</v>
      </c>
      <c r="K12" s="25">
        <f>'V71'!H29</f>
        <v>0</v>
      </c>
    </row>
    <row r="13" spans="2:11" ht="20.100000000000001" customHeight="1">
      <c r="B13" s="15" t="s">
        <v>220</v>
      </c>
      <c r="C13" s="15" t="s">
        <v>221</v>
      </c>
      <c r="D13" s="19">
        <v>41.321599999999997</v>
      </c>
      <c r="E13" s="19">
        <v>43.83</v>
      </c>
      <c r="F13" s="20">
        <f t="shared" si="0"/>
        <v>2.5084000000000017</v>
      </c>
      <c r="G13" s="21">
        <f t="shared" si="1"/>
        <v>5.72302076203514E-2</v>
      </c>
      <c r="H13" s="19">
        <f>'V71'!R30</f>
        <v>55.291676595744683</v>
      </c>
      <c r="I13" s="26">
        <f t="shared" si="2"/>
        <v>13.970076595744686</v>
      </c>
      <c r="J13" s="27">
        <f t="shared" si="3"/>
        <v>0.25266147557587071</v>
      </c>
      <c r="K13" s="25">
        <f>'V71'!H30</f>
        <v>5.1941666666666668</v>
      </c>
    </row>
    <row r="14" spans="2:11" ht="20.100000000000001" customHeight="1">
      <c r="B14" s="17" t="s">
        <v>224</v>
      </c>
      <c r="C14" s="15" t="s">
        <v>331</v>
      </c>
      <c r="D14" s="19">
        <v>35.888047999999998</v>
      </c>
      <c r="E14" s="19">
        <v>49.49</v>
      </c>
      <c r="F14" s="20">
        <f t="shared" si="0"/>
        <v>13.601952000000004</v>
      </c>
      <c r="G14" s="21">
        <f t="shared" si="1"/>
        <v>0.2748424328147101</v>
      </c>
      <c r="H14" s="19">
        <f>'V71'!R31</f>
        <v>54.842524255319148</v>
      </c>
      <c r="I14" s="26">
        <f t="shared" si="2"/>
        <v>18.95447625531915</v>
      </c>
      <c r="J14" s="27">
        <f t="shared" si="3"/>
        <v>0.34561640830164314</v>
      </c>
      <c r="K14" s="25">
        <f>'V71'!H31</f>
        <v>5.7921666666666658</v>
      </c>
    </row>
    <row r="15" spans="2:11" ht="20.100000000000001" customHeight="1">
      <c r="B15" s="15" t="s">
        <v>243</v>
      </c>
      <c r="C15" s="15" t="s">
        <v>332</v>
      </c>
      <c r="D15" s="19">
        <v>39.331600000000002</v>
      </c>
      <c r="E15" s="19">
        <v>45.64</v>
      </c>
      <c r="F15" s="20">
        <f t="shared" si="0"/>
        <v>6.3083999999999989</v>
      </c>
      <c r="G15" s="21">
        <f t="shared" si="1"/>
        <v>0.13822085889570548</v>
      </c>
      <c r="H15" s="19">
        <f>'V71'!R32</f>
        <v>54.363567693617021</v>
      </c>
      <c r="I15" s="26">
        <f t="shared" si="2"/>
        <v>15.03196769361702</v>
      </c>
      <c r="J15" s="27">
        <f t="shared" si="3"/>
        <v>0.27650811621368193</v>
      </c>
      <c r="K15" s="25">
        <f>'V71'!H32</f>
        <v>5.7921666666666658</v>
      </c>
    </row>
    <row r="16" spans="2:11" ht="20.100000000000001" customHeight="1">
      <c r="B16" s="17" t="s">
        <v>247</v>
      </c>
      <c r="C16" s="15" t="s">
        <v>333</v>
      </c>
      <c r="D16" s="19">
        <v>40.320647200000003</v>
      </c>
      <c r="E16" s="19">
        <v>59.32</v>
      </c>
      <c r="F16" s="20">
        <f t="shared" si="0"/>
        <v>18.999352799999997</v>
      </c>
      <c r="G16" s="21">
        <f t="shared" si="1"/>
        <v>0.32028578556979093</v>
      </c>
      <c r="H16" s="19">
        <f>'V71'!R33</f>
        <v>65.703938723404249</v>
      </c>
      <c r="I16" s="26">
        <f t="shared" si="2"/>
        <v>25.383291523404246</v>
      </c>
      <c r="J16" s="27">
        <f t="shared" si="3"/>
        <v>0.38632830872226726</v>
      </c>
      <c r="K16" s="25">
        <f>'V71'!H33</f>
        <v>5.8803333333333327</v>
      </c>
    </row>
    <row r="17" spans="2:11" ht="20.100000000000001" customHeight="1">
      <c r="B17" s="15" t="s">
        <v>254</v>
      </c>
      <c r="C17" s="15" t="s">
        <v>334</v>
      </c>
      <c r="D17" s="19">
        <v>46.551000000000002</v>
      </c>
      <c r="E17" s="19">
        <v>53.48</v>
      </c>
      <c r="F17" s="20">
        <f t="shared" si="0"/>
        <v>6.9289999999999949</v>
      </c>
      <c r="G17" s="21">
        <f t="shared" si="1"/>
        <v>0.12956245325355265</v>
      </c>
      <c r="H17" s="19">
        <f>'V71'!R34</f>
        <v>65.509631829787239</v>
      </c>
      <c r="I17" s="26">
        <f t="shared" si="2"/>
        <v>18.958631829787237</v>
      </c>
      <c r="J17" s="27">
        <f t="shared" si="3"/>
        <v>0.28940220392395405</v>
      </c>
      <c r="K17" s="25">
        <f>'V71'!H34</f>
        <v>5.8803333333333327</v>
      </c>
    </row>
    <row r="18" spans="2:11" ht="20.100000000000001" customHeight="1">
      <c r="B18" s="17" t="s">
        <v>258</v>
      </c>
      <c r="C18" s="15" t="s">
        <v>318</v>
      </c>
      <c r="D18" s="19">
        <v>178.07495</v>
      </c>
      <c r="E18" s="19">
        <v>224.19</v>
      </c>
      <c r="F18" s="20">
        <f t="shared" si="0"/>
        <v>46.115049999999997</v>
      </c>
      <c r="G18" s="21">
        <f t="shared" si="1"/>
        <v>0.2056962844016236</v>
      </c>
      <c r="H18" s="19">
        <f>'V71'!R35</f>
        <v>216.365274362663</v>
      </c>
      <c r="I18" s="26">
        <f t="shared" si="2"/>
        <v>38.290324362663</v>
      </c>
      <c r="J18" s="27">
        <f t="shared" si="3"/>
        <v>0.17697074761859546</v>
      </c>
      <c r="K18" s="25">
        <f>'V71'!H35</f>
        <v>5.8803333333333327</v>
      </c>
    </row>
    <row r="19" spans="2:11" ht="20.100000000000001" customHeight="1">
      <c r="B19" s="192" t="s">
        <v>319</v>
      </c>
      <c r="C19" s="192"/>
      <c r="D19" s="19">
        <f>SUM(D3:D18)</f>
        <v>728.94233399999985</v>
      </c>
      <c r="E19" s="19">
        <f>SUM(E3:E18)</f>
        <v>905.8</v>
      </c>
      <c r="F19" s="20">
        <f>SUM(F3:F18)</f>
        <v>176.85766599999999</v>
      </c>
      <c r="G19" s="21">
        <f t="shared" si="1"/>
        <v>0.19525023846323691</v>
      </c>
      <c r="H19" s="19"/>
      <c r="I19" s="26"/>
      <c r="J19" s="27"/>
      <c r="K19" s="25"/>
    </row>
    <row r="20" spans="2:11" ht="20.100000000000001" customHeight="1">
      <c r="B20" s="22" t="s">
        <v>296</v>
      </c>
      <c r="C20" s="22" t="s">
        <v>297</v>
      </c>
      <c r="D20" s="19">
        <f t="shared" ref="D20:E20" si="4">D3+D4+D5+D8+D14+D16+D18</f>
        <v>412.18174920000001</v>
      </c>
      <c r="E20" s="19">
        <f t="shared" si="4"/>
        <v>534.99</v>
      </c>
      <c r="F20" s="20">
        <f>E20-D20</f>
        <v>122.8082508</v>
      </c>
      <c r="G20" s="21">
        <f t="shared" si="1"/>
        <v>0.22955242303594459</v>
      </c>
      <c r="H20" s="19">
        <f>H3+H4+H5+H8+H14+H16+H18</f>
        <v>565.1180791000686</v>
      </c>
      <c r="I20" s="26">
        <f>H20-D20</f>
        <v>152.93632990006859</v>
      </c>
      <c r="J20" s="27">
        <f>I20/H20</f>
        <v>0.27062721147342256</v>
      </c>
      <c r="K20" s="25">
        <f>K3+K4+K5+K8+K14+K16+K18</f>
        <v>33.641333333333336</v>
      </c>
    </row>
  </sheetData>
  <mergeCells count="2">
    <mergeCell ref="B1:J1"/>
    <mergeCell ref="B19:C19"/>
  </mergeCells>
  <phoneticPr fontId="4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abSelected="1" zoomScale="80" zoomScaleNormal="80" workbookViewId="0">
      <selection activeCell="J2" sqref="J2"/>
    </sheetView>
  </sheetViews>
  <sheetFormatPr defaultColWidth="9" defaultRowHeight="13.5"/>
  <cols>
    <col min="1" max="1" width="10.875" customWidth="1"/>
    <col min="2" max="3" width="15.75" customWidth="1"/>
    <col min="4" max="4" width="13.125" customWidth="1"/>
    <col min="5" max="5" width="15.75" customWidth="1"/>
    <col min="6" max="6" width="14.5" customWidth="1"/>
    <col min="7" max="7" width="13.375" customWidth="1"/>
    <col min="8" max="8" width="11.5" customWidth="1"/>
    <col min="9" max="9" width="12" customWidth="1"/>
    <col min="10" max="10" width="18.125" customWidth="1"/>
    <col min="11" max="11" width="14.125" customWidth="1"/>
    <col min="12" max="12" width="14.625" customWidth="1"/>
  </cols>
  <sheetData>
    <row r="1" spans="1:13" ht="24" customHeight="1" thickBot="1">
      <c r="A1" s="201" t="s">
        <v>425</v>
      </c>
      <c r="B1" s="197"/>
      <c r="C1" s="197"/>
      <c r="D1" s="197"/>
      <c r="E1" s="197"/>
      <c r="F1" s="1"/>
      <c r="G1" s="1"/>
      <c r="H1" s="2"/>
      <c r="I1" s="2"/>
      <c r="M1" s="208" t="s">
        <v>431</v>
      </c>
    </row>
    <row r="2" spans="1:13" ht="24" customHeight="1" thickBot="1">
      <c r="A2" s="3" t="s">
        <v>299</v>
      </c>
      <c r="B2" s="3" t="s">
        <v>345</v>
      </c>
      <c r="C2" s="4" t="s">
        <v>357</v>
      </c>
      <c r="D2" s="4" t="s">
        <v>309</v>
      </c>
      <c r="E2" s="4" t="s">
        <v>301</v>
      </c>
      <c r="F2" s="5"/>
      <c r="G2" s="5"/>
      <c r="H2" s="2"/>
      <c r="I2" s="2"/>
      <c r="K2" s="206" t="s">
        <v>432</v>
      </c>
      <c r="L2" s="209" t="s">
        <v>433</v>
      </c>
      <c r="M2" s="206">
        <v>53.22</v>
      </c>
    </row>
    <row r="3" spans="1:13" ht="24" customHeight="1" thickBot="1">
      <c r="A3" s="3" t="s">
        <v>305</v>
      </c>
      <c r="B3" s="6">
        <f>'李尔附加值B01(2)'!D10</f>
        <v>235.39699999999999</v>
      </c>
      <c r="C3" s="205">
        <v>368.01</v>
      </c>
      <c r="D3" s="6">
        <f>C3-B3</f>
        <v>132.613</v>
      </c>
      <c r="E3" s="7">
        <f>D3/C3</f>
        <v>0.36035162087986738</v>
      </c>
      <c r="F3" s="8"/>
      <c r="G3" s="8"/>
      <c r="H3" s="2"/>
      <c r="I3" s="2"/>
      <c r="K3" s="207" t="s">
        <v>434</v>
      </c>
      <c r="L3" s="210" t="s">
        <v>435</v>
      </c>
      <c r="M3" s="207">
        <v>53.22</v>
      </c>
    </row>
    <row r="4" spans="1:13" ht="24" customHeight="1" thickBot="1">
      <c r="A4" s="3" t="s">
        <v>306</v>
      </c>
      <c r="B4" s="6">
        <f>'李尔附加值V71 (2)'!D20</f>
        <v>412.18174920000001</v>
      </c>
      <c r="C4" s="6">
        <v>534.99</v>
      </c>
      <c r="D4" s="6">
        <f>C4-B4</f>
        <v>122.8082508</v>
      </c>
      <c r="E4" s="7">
        <f>D4/C4</f>
        <v>0.22955242303594459</v>
      </c>
      <c r="F4" s="8"/>
      <c r="G4" s="8"/>
      <c r="H4" s="2"/>
      <c r="I4" s="2"/>
      <c r="K4" s="207" t="s">
        <v>436</v>
      </c>
      <c r="L4" s="210" t="s">
        <v>437</v>
      </c>
      <c r="M4" s="207">
        <v>46.97</v>
      </c>
    </row>
    <row r="5" spans="1:13" ht="15" customHeight="1" thickBot="1">
      <c r="A5" s="2"/>
      <c r="B5" s="2"/>
      <c r="C5" s="2"/>
      <c r="D5" s="2"/>
      <c r="E5" s="2"/>
      <c r="F5" s="2"/>
      <c r="G5" s="2"/>
      <c r="H5" s="2"/>
      <c r="I5" s="2"/>
      <c r="K5" s="207" t="s">
        <v>438</v>
      </c>
      <c r="L5" s="210" t="s">
        <v>439</v>
      </c>
      <c r="M5" s="207">
        <v>39.51</v>
      </c>
    </row>
    <row r="6" spans="1:13" ht="24" customHeight="1" thickBot="1">
      <c r="A6" s="202" t="s">
        <v>426</v>
      </c>
      <c r="B6" s="198"/>
      <c r="C6" s="198"/>
      <c r="D6" s="198"/>
      <c r="E6" s="198"/>
      <c r="F6" s="198"/>
      <c r="G6" s="198"/>
      <c r="H6" s="198"/>
      <c r="I6" s="198"/>
      <c r="K6" s="207" t="s">
        <v>440</v>
      </c>
      <c r="L6" s="210" t="s">
        <v>441</v>
      </c>
      <c r="M6" s="207">
        <v>44.83</v>
      </c>
    </row>
    <row r="7" spans="1:13" ht="35.1" customHeight="1" thickBot="1">
      <c r="A7" s="3" t="s">
        <v>299</v>
      </c>
      <c r="B7" s="3" t="s">
        <v>345</v>
      </c>
      <c r="C7" s="4" t="s">
        <v>357</v>
      </c>
      <c r="D7" s="4" t="s">
        <v>347</v>
      </c>
      <c r="E7" s="4" t="s">
        <v>427</v>
      </c>
      <c r="F7" s="4" t="s">
        <v>349</v>
      </c>
      <c r="G7" s="4" t="s">
        <v>350</v>
      </c>
      <c r="H7" s="3" t="s">
        <v>351</v>
      </c>
      <c r="I7" s="3" t="s">
        <v>352</v>
      </c>
      <c r="J7" s="3" t="s">
        <v>120</v>
      </c>
      <c r="K7" s="207" t="s">
        <v>442</v>
      </c>
      <c r="L7" s="210" t="s">
        <v>443</v>
      </c>
      <c r="M7" s="207">
        <v>32.49</v>
      </c>
    </row>
    <row r="8" spans="1:13" ht="24" customHeight="1" thickBot="1">
      <c r="A8" s="3" t="s">
        <v>305</v>
      </c>
      <c r="B8" s="6">
        <f>B3</f>
        <v>235.39699999999999</v>
      </c>
      <c r="C8" s="205">
        <f>C3</f>
        <v>368.01</v>
      </c>
      <c r="D8" s="6">
        <v>71.739999999999995</v>
      </c>
      <c r="E8" s="6">
        <f>'李尔附加值B01(2)'!K10</f>
        <v>30.072499999999998</v>
      </c>
      <c r="F8" s="6">
        <v>6.3545400000000001</v>
      </c>
      <c r="G8" s="6">
        <v>3.68</v>
      </c>
      <c r="H8" s="6">
        <f>C8-B8-D8-E8-F8-G8</f>
        <v>20.765960000000007</v>
      </c>
      <c r="I8" s="7">
        <f>H8/C8</f>
        <v>5.6427705768864994E-2</v>
      </c>
      <c r="J8" s="203"/>
      <c r="K8" s="207" t="s">
        <v>444</v>
      </c>
      <c r="L8" s="210" t="s">
        <v>445</v>
      </c>
      <c r="M8" s="207">
        <v>46.21</v>
      </c>
    </row>
    <row r="9" spans="1:13" ht="24" customHeight="1" thickBot="1">
      <c r="A9" s="3" t="s">
        <v>306</v>
      </c>
      <c r="B9" s="6">
        <f>B4</f>
        <v>412.18174920000001</v>
      </c>
      <c r="C9" s="6">
        <f>C4</f>
        <v>534.99</v>
      </c>
      <c r="D9" s="6">
        <v>71.739999999999995</v>
      </c>
      <c r="E9" s="6">
        <f>'李尔附加值V71 (2)'!K20</f>
        <v>33.641333333333336</v>
      </c>
      <c r="F9" s="6">
        <v>9.6298200000000005</v>
      </c>
      <c r="G9" s="6">
        <v>3.68</v>
      </c>
      <c r="H9" s="6">
        <f>C9-B9-D9-E9-F9-G9</f>
        <v>4.1170974666666655</v>
      </c>
      <c r="I9" s="7">
        <f>H9/C9</f>
        <v>7.6956531274727851E-3</v>
      </c>
      <c r="J9" s="204"/>
      <c r="K9" s="207" t="s">
        <v>446</v>
      </c>
      <c r="L9" s="210" t="s">
        <v>447</v>
      </c>
      <c r="M9" s="207">
        <v>48.58</v>
      </c>
    </row>
    <row r="10" spans="1:13" ht="15" customHeight="1" thickBot="1">
      <c r="A10" s="2"/>
      <c r="B10" s="2"/>
      <c r="C10" s="2"/>
      <c r="D10" s="2"/>
      <c r="E10" s="2"/>
      <c r="F10" s="2"/>
      <c r="G10" s="2"/>
      <c r="H10" s="2"/>
      <c r="I10" s="2"/>
      <c r="K10" s="207" t="s">
        <v>448</v>
      </c>
      <c r="L10" s="210" t="s">
        <v>449</v>
      </c>
      <c r="M10" s="207">
        <v>32.409999999999997</v>
      </c>
    </row>
    <row r="11" spans="1:13" ht="33" thickBot="1">
      <c r="A11" s="9"/>
      <c r="B11" s="9"/>
      <c r="C11" s="9"/>
      <c r="D11" s="9"/>
      <c r="E11" s="9"/>
      <c r="F11" s="9"/>
      <c r="G11" s="9"/>
      <c r="H11" s="9"/>
      <c r="I11" s="9"/>
      <c r="J11" s="9"/>
      <c r="K11" s="207" t="s">
        <v>450</v>
      </c>
      <c r="L11" s="210" t="s">
        <v>451</v>
      </c>
      <c r="M11" s="207">
        <v>32.409999999999997</v>
      </c>
    </row>
    <row r="12" spans="1:13" ht="33" thickBot="1">
      <c r="A12" s="9"/>
      <c r="B12" s="9"/>
      <c r="C12" s="9"/>
      <c r="D12" s="9"/>
      <c r="E12" s="9"/>
      <c r="F12" s="9"/>
      <c r="G12" s="9"/>
      <c r="H12" s="9"/>
      <c r="I12" s="9"/>
      <c r="J12" s="9"/>
      <c r="K12" s="207" t="s">
        <v>452</v>
      </c>
      <c r="L12" s="210" t="s">
        <v>453</v>
      </c>
      <c r="M12" s="207">
        <v>43.83</v>
      </c>
    </row>
    <row r="13" spans="1:13" ht="26.25" thickBot="1">
      <c r="A13" s="9"/>
      <c r="B13" s="9"/>
      <c r="C13" s="9"/>
      <c r="D13" s="9"/>
      <c r="E13" s="9"/>
      <c r="F13" s="9"/>
      <c r="G13" s="9"/>
      <c r="H13" s="9"/>
      <c r="I13" s="9"/>
      <c r="J13" s="9"/>
      <c r="K13" s="207" t="s">
        <v>454</v>
      </c>
      <c r="L13" s="210" t="s">
        <v>455</v>
      </c>
      <c r="M13" s="207">
        <v>9.5399999999999991</v>
      </c>
    </row>
    <row r="14" spans="1:13" ht="33.75" thickBot="1">
      <c r="K14" s="207" t="s">
        <v>456</v>
      </c>
      <c r="L14" s="211" t="s">
        <v>457</v>
      </c>
      <c r="M14" s="207">
        <v>59.32</v>
      </c>
    </row>
    <row r="15" spans="1:13" ht="24" customHeight="1" thickBot="1">
      <c r="A15" s="201" t="s">
        <v>428</v>
      </c>
      <c r="B15" s="197"/>
      <c r="C15" s="197"/>
      <c r="D15" s="197"/>
      <c r="E15" s="197"/>
      <c r="F15" s="1"/>
      <c r="G15" s="1"/>
      <c r="H15" s="2"/>
      <c r="I15" s="2"/>
      <c r="K15" s="207" t="s">
        <v>458</v>
      </c>
      <c r="L15" s="211" t="s">
        <v>459</v>
      </c>
      <c r="M15" s="207">
        <v>53.48</v>
      </c>
    </row>
    <row r="16" spans="1:13" ht="24" customHeight="1" thickBot="1">
      <c r="A16" s="3" t="s">
        <v>299</v>
      </c>
      <c r="B16" s="3" t="s">
        <v>345</v>
      </c>
      <c r="C16" s="10" t="s">
        <v>429</v>
      </c>
      <c r="D16" s="10" t="s">
        <v>357</v>
      </c>
      <c r="E16" s="4" t="s">
        <v>309</v>
      </c>
      <c r="F16" s="4" t="s">
        <v>301</v>
      </c>
      <c r="G16" s="5"/>
      <c r="H16" s="5"/>
      <c r="I16" s="2"/>
      <c r="J16" s="2"/>
      <c r="K16" s="207" t="s">
        <v>460</v>
      </c>
      <c r="L16" s="211" t="s">
        <v>461</v>
      </c>
      <c r="M16" s="207">
        <v>49.49</v>
      </c>
    </row>
    <row r="17" spans="1:13" ht="24" customHeight="1" thickBot="1">
      <c r="A17" s="3" t="s">
        <v>305</v>
      </c>
      <c r="B17" s="6">
        <f>B8</f>
        <v>235.39699999999999</v>
      </c>
      <c r="C17" s="11">
        <f>'李尔附加值B01(2)'!H10</f>
        <v>388.74214563744681</v>
      </c>
      <c r="D17" s="11">
        <v>353.03</v>
      </c>
      <c r="E17" s="6">
        <f>C17-B17</f>
        <v>153.34514563744682</v>
      </c>
      <c r="F17" s="7">
        <f>E17/C17</f>
        <v>0.39446493609792788</v>
      </c>
      <c r="G17" s="12">
        <f>C17-D17</f>
        <v>35.712145637446838</v>
      </c>
      <c r="H17" s="8"/>
      <c r="I17" s="2"/>
      <c r="J17" s="2"/>
      <c r="K17" s="207" t="s">
        <v>462</v>
      </c>
      <c r="L17" s="211" t="s">
        <v>463</v>
      </c>
      <c r="M17" s="207">
        <v>45.64</v>
      </c>
    </row>
    <row r="18" spans="1:13" ht="24" customHeight="1" thickBot="1">
      <c r="A18" s="3" t="s">
        <v>306</v>
      </c>
      <c r="B18" s="6">
        <f>B9</f>
        <v>412.18174920000001</v>
      </c>
      <c r="C18" s="11">
        <f>'李尔附加值V71 (2)'!H20</f>
        <v>565.1180791000686</v>
      </c>
      <c r="D18" s="11">
        <v>534.99</v>
      </c>
      <c r="E18" s="6">
        <f>C18-B18</f>
        <v>152.93632990006859</v>
      </c>
      <c r="F18" s="7">
        <f>E18/C18</f>
        <v>0.27062721147342256</v>
      </c>
      <c r="G18" s="12">
        <f>C18-D18</f>
        <v>30.128079100068589</v>
      </c>
      <c r="H18" s="8"/>
      <c r="I18" s="2"/>
      <c r="J18" s="2"/>
      <c r="K18" s="207" t="s">
        <v>464</v>
      </c>
      <c r="L18" s="211" t="s">
        <v>465</v>
      </c>
      <c r="M18" s="207">
        <v>224.19</v>
      </c>
    </row>
    <row r="19" spans="1:13" ht="15" customHeight="1">
      <c r="A19" s="2"/>
      <c r="B19" s="2"/>
      <c r="C19" s="2"/>
      <c r="D19" s="2"/>
      <c r="E19" s="2"/>
      <c r="F19" s="2"/>
      <c r="G19" s="2"/>
      <c r="H19" s="2"/>
      <c r="I19" s="2"/>
    </row>
    <row r="20" spans="1:13" ht="24" customHeight="1">
      <c r="A20" s="202" t="s">
        <v>430</v>
      </c>
      <c r="B20" s="198"/>
      <c r="C20" s="198"/>
      <c r="D20" s="198"/>
      <c r="E20" s="198"/>
      <c r="F20" s="198"/>
      <c r="G20" s="198"/>
      <c r="H20" s="198"/>
      <c r="I20" s="198"/>
    </row>
    <row r="21" spans="1:13" ht="35.1" customHeight="1">
      <c r="A21" s="3" t="s">
        <v>299</v>
      </c>
      <c r="B21" s="3" t="s">
        <v>345</v>
      </c>
      <c r="C21" s="4" t="s">
        <v>429</v>
      </c>
      <c r="D21" s="4" t="s">
        <v>347</v>
      </c>
      <c r="E21" s="4" t="s">
        <v>427</v>
      </c>
      <c r="F21" s="4" t="s">
        <v>349</v>
      </c>
      <c r="G21" s="4" t="s">
        <v>350</v>
      </c>
      <c r="H21" s="3" t="s">
        <v>351</v>
      </c>
      <c r="I21" s="3" t="s">
        <v>352</v>
      </c>
      <c r="J21" s="3" t="s">
        <v>120</v>
      </c>
    </row>
    <row r="22" spans="1:13" ht="24" customHeight="1">
      <c r="A22" s="3" t="s">
        <v>305</v>
      </c>
      <c r="B22" s="6">
        <f>B17</f>
        <v>235.39699999999999</v>
      </c>
      <c r="C22" s="6">
        <f>C17</f>
        <v>388.74214563744681</v>
      </c>
      <c r="D22" s="6">
        <v>71.739999999999995</v>
      </c>
      <c r="E22" s="6">
        <f>E8</f>
        <v>30.072499999999998</v>
      </c>
      <c r="F22" s="6">
        <v>6.3545400000000001</v>
      </c>
      <c r="G22" s="6">
        <v>3.68</v>
      </c>
      <c r="H22" s="6">
        <f>C22-B22-D22-E22-F22-G22</f>
        <v>41.498105637446827</v>
      </c>
      <c r="I22" s="7">
        <f>H22/C22</f>
        <v>0.10674969540387645</v>
      </c>
      <c r="J22" s="203"/>
    </row>
    <row r="23" spans="1:13" ht="24" customHeight="1">
      <c r="A23" s="3" t="s">
        <v>306</v>
      </c>
      <c r="B23" s="6">
        <f>B18</f>
        <v>412.18174920000001</v>
      </c>
      <c r="C23" s="6">
        <f>C18</f>
        <v>565.1180791000686</v>
      </c>
      <c r="D23" s="6">
        <v>71.739999999999995</v>
      </c>
      <c r="E23" s="6">
        <f>E9</f>
        <v>33.641333333333336</v>
      </c>
      <c r="F23" s="6">
        <v>9.6298200000000005</v>
      </c>
      <c r="G23" s="6">
        <v>3.68</v>
      </c>
      <c r="H23" s="6">
        <f>C23-B23-D23-E23-F23-G23</f>
        <v>34.245176566735253</v>
      </c>
      <c r="I23" s="7">
        <f>H23/C23</f>
        <v>6.0598267571388864E-2</v>
      </c>
      <c r="J23" s="204"/>
    </row>
  </sheetData>
  <mergeCells count="6">
    <mergeCell ref="J22:J23"/>
    <mergeCell ref="A1:E1"/>
    <mergeCell ref="A6:I6"/>
    <mergeCell ref="A15:E15"/>
    <mergeCell ref="A20:I20"/>
    <mergeCell ref="J8:J9"/>
  </mergeCells>
  <phoneticPr fontId="43" type="noConversion"/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owerPoint.Show.12" dvAspect="DVASPECT_ICON" shapeId="7169" r:id="rId3">
          <objectPr defaultSize="0" altText="" r:id="rId4">
            <anchor moveWithCells="1">
              <from>
                <xdr:col>9</xdr:col>
                <xdr:colOff>228600</xdr:colOff>
                <xdr:row>7</xdr:row>
                <xdr:rowOff>38100</xdr:rowOff>
              </from>
              <to>
                <xdr:col>9</xdr:col>
                <xdr:colOff>1152525</xdr:colOff>
                <xdr:row>8</xdr:row>
                <xdr:rowOff>209550</xdr:rowOff>
              </to>
            </anchor>
          </objectPr>
        </oleObject>
      </mc:Choice>
      <mc:Fallback>
        <oleObject progId="PowerPoint.Show.12" dvAspect="DVASPECT_ICON" shapeId="7169" r:id="rId3"/>
      </mc:Fallback>
    </mc:AlternateContent>
    <mc:AlternateContent xmlns:mc="http://schemas.openxmlformats.org/markup-compatibility/2006">
      <mc:Choice Requires="x14">
        <oleObject progId="PowerPoint.Show.12" dvAspect="DVASPECT_ICON" shapeId="7170" r:id="rId5">
          <objectPr defaultSize="0" altText="" r:id="rId4">
            <anchor moveWithCells="1">
              <from>
                <xdr:col>9</xdr:col>
                <xdr:colOff>228600</xdr:colOff>
                <xdr:row>21</xdr:row>
                <xdr:rowOff>38100</xdr:rowOff>
              </from>
              <to>
                <xdr:col>9</xdr:col>
                <xdr:colOff>1152525</xdr:colOff>
                <xdr:row>22</xdr:row>
                <xdr:rowOff>209550</xdr:rowOff>
              </to>
            </anchor>
          </objectPr>
        </oleObject>
      </mc:Choice>
      <mc:Fallback>
        <oleObject progId="PowerPoint.Show.12" dvAspect="DVASPECT_ICON" shapeId="717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8"/>
  <sheetViews>
    <sheetView view="pageBreakPreview" topLeftCell="A172" zoomScale="40" zoomScaleNormal="25" workbookViewId="0">
      <selection activeCell="M175" sqref="M175"/>
    </sheetView>
  </sheetViews>
  <sheetFormatPr defaultColWidth="9" defaultRowHeight="18" customHeight="1"/>
  <cols>
    <col min="1" max="1" width="13.375" style="74" customWidth="1"/>
    <col min="2" max="2" width="21.875" style="75" customWidth="1"/>
    <col min="3" max="3" width="41.5" style="74" customWidth="1"/>
    <col min="4" max="5" width="41.5" style="76" customWidth="1"/>
    <col min="6" max="11" width="23.125" style="76" customWidth="1"/>
    <col min="12" max="15" width="29.625" style="77" customWidth="1"/>
    <col min="16" max="16" width="32.25" style="76" customWidth="1"/>
    <col min="17" max="18" width="9" style="76"/>
    <col min="19" max="19" width="27.375" style="76" customWidth="1"/>
    <col min="20" max="20" width="9" style="76"/>
    <col min="21" max="21" width="30.25" style="76" customWidth="1"/>
    <col min="22" max="16384" width="9" style="76"/>
  </cols>
  <sheetData>
    <row r="1" spans="1:16" s="73" customFormat="1" ht="75.7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  <c r="N1" s="115"/>
      <c r="O1" s="115"/>
      <c r="P1" s="114"/>
    </row>
    <row r="2" spans="1:16" ht="31.5">
      <c r="A2" s="149" t="s">
        <v>2</v>
      </c>
      <c r="B2" s="157" t="s">
        <v>3</v>
      </c>
      <c r="C2" s="149" t="s">
        <v>4</v>
      </c>
      <c r="D2" s="161" t="s">
        <v>5</v>
      </c>
      <c r="E2" s="165" t="s">
        <v>119</v>
      </c>
      <c r="F2" s="145" t="s">
        <v>6</v>
      </c>
      <c r="G2" s="146"/>
      <c r="H2" s="146"/>
      <c r="I2" s="146"/>
      <c r="J2" s="147"/>
      <c r="K2" s="129" t="s">
        <v>7</v>
      </c>
      <c r="L2" s="85"/>
      <c r="M2" s="85"/>
      <c r="N2" s="85"/>
      <c r="O2" s="85"/>
      <c r="P2" s="129" t="s">
        <v>120</v>
      </c>
    </row>
    <row r="3" spans="1:16" ht="88.5" customHeight="1">
      <c r="A3" s="150"/>
      <c r="B3" s="158"/>
      <c r="C3" s="150"/>
      <c r="D3" s="162"/>
      <c r="E3" s="166"/>
      <c r="F3" s="78" t="s">
        <v>11</v>
      </c>
      <c r="G3" s="78" t="s">
        <v>12</v>
      </c>
      <c r="H3" s="78" t="s">
        <v>13</v>
      </c>
      <c r="I3" s="78" t="s">
        <v>14</v>
      </c>
      <c r="J3" s="78" t="s">
        <v>15</v>
      </c>
      <c r="K3" s="130"/>
      <c r="L3" s="86" t="s">
        <v>8</v>
      </c>
      <c r="M3" s="86"/>
      <c r="N3" s="86" t="s">
        <v>9</v>
      </c>
      <c r="O3" s="86" t="s">
        <v>10</v>
      </c>
      <c r="P3" s="130"/>
    </row>
    <row r="4" spans="1:16" ht="80.099999999999994" customHeight="1">
      <c r="A4" s="119">
        <v>1</v>
      </c>
      <c r="B4" s="125" t="s">
        <v>121</v>
      </c>
      <c r="C4" s="125" t="s">
        <v>122</v>
      </c>
      <c r="D4" s="127"/>
      <c r="E4" s="131" t="s">
        <v>123</v>
      </c>
      <c r="F4" s="80" t="s">
        <v>19</v>
      </c>
      <c r="G4" s="81" t="s">
        <v>124</v>
      </c>
      <c r="H4" s="82">
        <v>1</v>
      </c>
      <c r="I4" s="83" t="s">
        <v>46</v>
      </c>
      <c r="J4" s="82"/>
      <c r="K4" s="80" t="s">
        <v>22</v>
      </c>
      <c r="L4" s="87" t="s">
        <v>23</v>
      </c>
      <c r="M4" s="88">
        <f>21*0.972</f>
        <v>20.411999999999999</v>
      </c>
      <c r="N4" s="173">
        <f>32.52-17.13</f>
        <v>15.390000000000004</v>
      </c>
      <c r="O4" s="182">
        <f>N4/0.7+M4</f>
        <v>42.397714285714294</v>
      </c>
      <c r="P4" s="89"/>
    </row>
    <row r="5" spans="1:16" ht="80.099999999999994" customHeight="1">
      <c r="A5" s="120"/>
      <c r="B5" s="126"/>
      <c r="C5" s="126"/>
      <c r="D5" s="128"/>
      <c r="E5" s="132"/>
      <c r="F5" s="80" t="s">
        <v>24</v>
      </c>
      <c r="G5" s="81" t="s">
        <v>125</v>
      </c>
      <c r="H5" s="82">
        <v>1</v>
      </c>
      <c r="I5" s="83" t="s">
        <v>26</v>
      </c>
      <c r="J5" s="82"/>
      <c r="K5" s="81" t="s">
        <v>27</v>
      </c>
      <c r="L5" s="90" t="s">
        <v>28</v>
      </c>
      <c r="M5" s="91"/>
      <c r="N5" s="174"/>
      <c r="O5" s="183"/>
      <c r="P5" s="89"/>
    </row>
    <row r="6" spans="1:16" ht="80.099999999999994" customHeight="1">
      <c r="A6" s="120"/>
      <c r="B6" s="126"/>
      <c r="C6" s="126"/>
      <c r="D6" s="128"/>
      <c r="E6" s="128"/>
      <c r="F6" s="83" t="s">
        <v>126</v>
      </c>
      <c r="G6" s="82" t="s">
        <v>127</v>
      </c>
      <c r="H6" s="82">
        <v>2</v>
      </c>
      <c r="I6" s="83" t="s">
        <v>128</v>
      </c>
      <c r="J6" s="82"/>
      <c r="K6" s="81" t="s">
        <v>27</v>
      </c>
      <c r="L6" s="90" t="s">
        <v>28</v>
      </c>
      <c r="M6" s="91"/>
      <c r="N6" s="174"/>
      <c r="O6" s="183"/>
      <c r="P6" s="89"/>
    </row>
    <row r="7" spans="1:16" ht="80.099999999999994" customHeight="1">
      <c r="A7" s="120"/>
      <c r="B7" s="126"/>
      <c r="C7" s="126"/>
      <c r="D7" s="128"/>
      <c r="E7" s="128"/>
      <c r="F7" s="83" t="s">
        <v>129</v>
      </c>
      <c r="G7" s="82" t="s">
        <v>130</v>
      </c>
      <c r="H7" s="82">
        <v>1</v>
      </c>
      <c r="I7" s="83" t="s">
        <v>128</v>
      </c>
      <c r="J7" s="82"/>
      <c r="K7" s="81" t="s">
        <v>27</v>
      </c>
      <c r="L7" s="90" t="s">
        <v>28</v>
      </c>
      <c r="M7" s="91"/>
      <c r="N7" s="174"/>
      <c r="O7" s="183"/>
      <c r="P7" s="89"/>
    </row>
    <row r="8" spans="1:16" ht="80.099999999999994" customHeight="1">
      <c r="A8" s="120"/>
      <c r="B8" s="126"/>
      <c r="C8" s="126"/>
      <c r="D8" s="128"/>
      <c r="E8" s="128"/>
      <c r="F8" s="83" t="s">
        <v>131</v>
      </c>
      <c r="G8" s="82" t="s">
        <v>132</v>
      </c>
      <c r="H8" s="82">
        <v>2</v>
      </c>
      <c r="I8" s="83" t="s">
        <v>133</v>
      </c>
      <c r="J8" s="82"/>
      <c r="K8" s="81" t="s">
        <v>27</v>
      </c>
      <c r="L8" s="90" t="s">
        <v>28</v>
      </c>
      <c r="M8" s="91"/>
      <c r="N8" s="174"/>
      <c r="O8" s="183"/>
      <c r="P8" s="89"/>
    </row>
    <row r="9" spans="1:16" ht="80.099999999999994" customHeight="1">
      <c r="A9" s="120"/>
      <c r="B9" s="126"/>
      <c r="C9" s="126"/>
      <c r="D9" s="128"/>
      <c r="E9" s="128"/>
      <c r="F9" s="83" t="s">
        <v>134</v>
      </c>
      <c r="G9" s="82" t="s">
        <v>135</v>
      </c>
      <c r="H9" s="82">
        <v>1</v>
      </c>
      <c r="I9" s="83" t="s">
        <v>128</v>
      </c>
      <c r="J9" s="82"/>
      <c r="K9" s="81" t="s">
        <v>27</v>
      </c>
      <c r="L9" s="90" t="s">
        <v>28</v>
      </c>
      <c r="M9" s="91"/>
      <c r="N9" s="174"/>
      <c r="O9" s="183"/>
      <c r="P9" s="89"/>
    </row>
    <row r="10" spans="1:16" ht="80.099999999999994" customHeight="1">
      <c r="A10" s="120"/>
      <c r="B10" s="126"/>
      <c r="C10" s="126"/>
      <c r="D10" s="128"/>
      <c r="E10" s="128"/>
      <c r="F10" s="83" t="s">
        <v>136</v>
      </c>
      <c r="G10" s="82" t="s">
        <v>137</v>
      </c>
      <c r="H10" s="82">
        <v>1</v>
      </c>
      <c r="I10" s="82" t="s">
        <v>31</v>
      </c>
      <c r="J10" s="82"/>
      <c r="K10" s="81" t="s">
        <v>27</v>
      </c>
      <c r="L10" s="90" t="s">
        <v>28</v>
      </c>
      <c r="M10" s="91"/>
      <c r="N10" s="174"/>
      <c r="O10" s="183"/>
      <c r="P10" s="89"/>
    </row>
    <row r="11" spans="1:16" ht="80.099999999999994" customHeight="1">
      <c r="A11" s="120"/>
      <c r="B11" s="126"/>
      <c r="C11" s="126"/>
      <c r="D11" s="128"/>
      <c r="E11" s="128"/>
      <c r="F11" s="81" t="s">
        <v>138</v>
      </c>
      <c r="G11" s="82" t="s">
        <v>139</v>
      </c>
      <c r="H11" s="82">
        <v>1</v>
      </c>
      <c r="I11" s="82" t="s">
        <v>31</v>
      </c>
      <c r="J11" s="82"/>
      <c r="K11" s="81" t="s">
        <v>27</v>
      </c>
      <c r="L11" s="90" t="s">
        <v>28</v>
      </c>
      <c r="M11" s="91"/>
      <c r="N11" s="174"/>
      <c r="O11" s="183"/>
      <c r="P11" s="89" t="s">
        <v>140</v>
      </c>
    </row>
    <row r="12" spans="1:16" ht="80.099999999999994" customHeight="1">
      <c r="A12" s="120"/>
      <c r="B12" s="126"/>
      <c r="C12" s="126"/>
      <c r="D12" s="128"/>
      <c r="E12" s="128"/>
      <c r="F12" s="81" t="s">
        <v>141</v>
      </c>
      <c r="G12" s="82" t="s">
        <v>142</v>
      </c>
      <c r="H12" s="82">
        <v>1</v>
      </c>
      <c r="I12" s="82" t="s">
        <v>31</v>
      </c>
      <c r="J12" s="82"/>
      <c r="K12" s="81" t="s">
        <v>27</v>
      </c>
      <c r="L12" s="90" t="s">
        <v>28</v>
      </c>
      <c r="M12" s="91"/>
      <c r="N12" s="174"/>
      <c r="O12" s="183"/>
      <c r="P12" s="89"/>
    </row>
    <row r="13" spans="1:16" ht="80.099999999999994" customHeight="1">
      <c r="A13" s="120"/>
      <c r="B13" s="126"/>
      <c r="C13" s="126"/>
      <c r="D13" s="128"/>
      <c r="E13" s="128"/>
      <c r="F13" s="81" t="s">
        <v>143</v>
      </c>
      <c r="G13" s="82" t="s">
        <v>144</v>
      </c>
      <c r="H13" s="82">
        <v>1</v>
      </c>
      <c r="I13" s="82" t="s">
        <v>31</v>
      </c>
      <c r="J13" s="82"/>
      <c r="K13" s="81" t="s">
        <v>27</v>
      </c>
      <c r="L13" s="90" t="s">
        <v>28</v>
      </c>
      <c r="M13" s="91"/>
      <c r="N13" s="174"/>
      <c r="O13" s="183"/>
      <c r="P13" s="89"/>
    </row>
    <row r="14" spans="1:16" ht="80.099999999999994" customHeight="1">
      <c r="A14" s="120"/>
      <c r="B14" s="126"/>
      <c r="C14" s="126"/>
      <c r="D14" s="128"/>
      <c r="E14" s="128"/>
      <c r="F14" s="83" t="s">
        <v>145</v>
      </c>
      <c r="G14" s="82" t="s">
        <v>146</v>
      </c>
      <c r="H14" s="82">
        <v>1</v>
      </c>
      <c r="I14" s="82"/>
      <c r="J14" s="82"/>
      <c r="K14" s="80" t="s">
        <v>147</v>
      </c>
      <c r="L14" s="90" t="s">
        <v>28</v>
      </c>
      <c r="M14" s="91"/>
      <c r="N14" s="174"/>
      <c r="O14" s="183"/>
      <c r="P14" s="89"/>
    </row>
    <row r="15" spans="1:16" ht="80.099999999999994" customHeight="1">
      <c r="A15" s="120"/>
      <c r="B15" s="126"/>
      <c r="C15" s="126"/>
      <c r="D15" s="128"/>
      <c r="E15" s="164"/>
      <c r="F15" s="83" t="s">
        <v>145</v>
      </c>
      <c r="G15" s="82" t="s">
        <v>148</v>
      </c>
      <c r="H15" s="82">
        <v>1</v>
      </c>
      <c r="I15" s="82"/>
      <c r="J15" s="82"/>
      <c r="K15" s="80" t="s">
        <v>147</v>
      </c>
      <c r="L15" s="90" t="s">
        <v>28</v>
      </c>
      <c r="M15" s="92"/>
      <c r="N15" s="175"/>
      <c r="O15" s="184"/>
      <c r="P15" s="89"/>
    </row>
    <row r="16" spans="1:16" ht="80.099999999999994" customHeight="1">
      <c r="A16" s="119">
        <v>2</v>
      </c>
      <c r="B16" s="125" t="s">
        <v>149</v>
      </c>
      <c r="C16" s="125" t="s">
        <v>150</v>
      </c>
      <c r="D16" s="127"/>
      <c r="E16" s="167" t="s">
        <v>123</v>
      </c>
      <c r="F16" s="80" t="s">
        <v>19</v>
      </c>
      <c r="G16" s="81" t="s">
        <v>151</v>
      </c>
      <c r="H16" s="82">
        <v>1</v>
      </c>
      <c r="I16" s="83" t="s">
        <v>46</v>
      </c>
      <c r="J16" s="82"/>
      <c r="K16" s="80" t="s">
        <v>22</v>
      </c>
      <c r="L16" s="87" t="s">
        <v>23</v>
      </c>
      <c r="M16" s="88">
        <f>21*0.972</f>
        <v>20.411999999999999</v>
      </c>
      <c r="N16" s="173">
        <f>32.52-17.13</f>
        <v>15.390000000000004</v>
      </c>
      <c r="O16" s="182">
        <f>N16/0.7+M16</f>
        <v>42.397714285714294</v>
      </c>
      <c r="P16" s="89"/>
    </row>
    <row r="17" spans="1:16" ht="80.099999999999994" customHeight="1">
      <c r="A17" s="120"/>
      <c r="B17" s="126"/>
      <c r="C17" s="126"/>
      <c r="D17" s="128"/>
      <c r="E17" s="168"/>
      <c r="F17" s="80" t="s">
        <v>24</v>
      </c>
      <c r="G17" s="81" t="s">
        <v>152</v>
      </c>
      <c r="H17" s="82">
        <v>1</v>
      </c>
      <c r="I17" s="83" t="s">
        <v>26</v>
      </c>
      <c r="J17" s="82"/>
      <c r="K17" s="81" t="s">
        <v>27</v>
      </c>
      <c r="L17" s="90" t="s">
        <v>28</v>
      </c>
      <c r="M17" s="91"/>
      <c r="N17" s="174"/>
      <c r="O17" s="183"/>
      <c r="P17" s="93" t="s">
        <v>153</v>
      </c>
    </row>
    <row r="18" spans="1:16" ht="80.099999999999994" customHeight="1">
      <c r="A18" s="120"/>
      <c r="B18" s="126"/>
      <c r="C18" s="126"/>
      <c r="D18" s="128"/>
      <c r="E18" s="120"/>
      <c r="F18" s="83" t="s">
        <v>126</v>
      </c>
      <c r="G18" s="82" t="s">
        <v>127</v>
      </c>
      <c r="H18" s="82">
        <v>2</v>
      </c>
      <c r="I18" s="83" t="s">
        <v>128</v>
      </c>
      <c r="J18" s="82"/>
      <c r="K18" s="81" t="s">
        <v>27</v>
      </c>
      <c r="L18" s="90" t="s">
        <v>28</v>
      </c>
      <c r="M18" s="91"/>
      <c r="N18" s="174"/>
      <c r="O18" s="183"/>
      <c r="P18" s="89"/>
    </row>
    <row r="19" spans="1:16" ht="80.099999999999994" customHeight="1">
      <c r="A19" s="120"/>
      <c r="B19" s="126"/>
      <c r="C19" s="126"/>
      <c r="D19" s="128"/>
      <c r="E19" s="120"/>
      <c r="F19" s="83" t="s">
        <v>129</v>
      </c>
      <c r="G19" s="82" t="s">
        <v>130</v>
      </c>
      <c r="H19" s="82">
        <v>1</v>
      </c>
      <c r="I19" s="83" t="s">
        <v>128</v>
      </c>
      <c r="J19" s="82"/>
      <c r="K19" s="81" t="s">
        <v>27</v>
      </c>
      <c r="L19" s="90" t="s">
        <v>28</v>
      </c>
      <c r="M19" s="91"/>
      <c r="N19" s="174"/>
      <c r="O19" s="183"/>
      <c r="P19" s="89"/>
    </row>
    <row r="20" spans="1:16" ht="80.099999999999994" customHeight="1">
      <c r="A20" s="120"/>
      <c r="B20" s="126"/>
      <c r="C20" s="126"/>
      <c r="D20" s="128"/>
      <c r="E20" s="120"/>
      <c r="F20" s="83" t="s">
        <v>131</v>
      </c>
      <c r="G20" s="82" t="s">
        <v>132</v>
      </c>
      <c r="H20" s="82">
        <v>2</v>
      </c>
      <c r="I20" s="83" t="s">
        <v>133</v>
      </c>
      <c r="J20" s="82"/>
      <c r="K20" s="81" t="s">
        <v>27</v>
      </c>
      <c r="L20" s="90" t="s">
        <v>28</v>
      </c>
      <c r="M20" s="91"/>
      <c r="N20" s="174"/>
      <c r="O20" s="183"/>
      <c r="P20" s="89"/>
    </row>
    <row r="21" spans="1:16" ht="80.099999999999994" customHeight="1">
      <c r="A21" s="120"/>
      <c r="B21" s="126"/>
      <c r="C21" s="126"/>
      <c r="D21" s="128"/>
      <c r="E21" s="120"/>
      <c r="F21" s="83" t="s">
        <v>134</v>
      </c>
      <c r="G21" s="82" t="s">
        <v>135</v>
      </c>
      <c r="H21" s="82">
        <v>1</v>
      </c>
      <c r="I21" s="83" t="s">
        <v>128</v>
      </c>
      <c r="J21" s="82"/>
      <c r="K21" s="81" t="s">
        <v>27</v>
      </c>
      <c r="L21" s="90" t="s">
        <v>28</v>
      </c>
      <c r="M21" s="91"/>
      <c r="N21" s="174"/>
      <c r="O21" s="183"/>
      <c r="P21" s="89"/>
    </row>
    <row r="22" spans="1:16" ht="80.099999999999994" customHeight="1">
      <c r="A22" s="120"/>
      <c r="B22" s="126"/>
      <c r="C22" s="126"/>
      <c r="D22" s="128"/>
      <c r="E22" s="120"/>
      <c r="F22" s="83" t="s">
        <v>136</v>
      </c>
      <c r="G22" s="82" t="s">
        <v>137</v>
      </c>
      <c r="H22" s="82">
        <v>1</v>
      </c>
      <c r="I22" s="82" t="s">
        <v>31</v>
      </c>
      <c r="J22" s="82"/>
      <c r="K22" s="81" t="s">
        <v>27</v>
      </c>
      <c r="L22" s="90" t="s">
        <v>28</v>
      </c>
      <c r="M22" s="91"/>
      <c r="N22" s="174"/>
      <c r="O22" s="183"/>
      <c r="P22" s="89"/>
    </row>
    <row r="23" spans="1:16" ht="80.099999999999994" customHeight="1">
      <c r="A23" s="120"/>
      <c r="B23" s="126"/>
      <c r="C23" s="126"/>
      <c r="D23" s="128"/>
      <c r="E23" s="120"/>
      <c r="F23" s="81" t="s">
        <v>138</v>
      </c>
      <c r="G23" s="82" t="s">
        <v>139</v>
      </c>
      <c r="H23" s="82">
        <v>1</v>
      </c>
      <c r="I23" s="82" t="s">
        <v>31</v>
      </c>
      <c r="J23" s="82"/>
      <c r="K23" s="81" t="s">
        <v>27</v>
      </c>
      <c r="L23" s="90" t="s">
        <v>28</v>
      </c>
      <c r="M23" s="91"/>
      <c r="N23" s="174"/>
      <c r="O23" s="183"/>
      <c r="P23" s="89"/>
    </row>
    <row r="24" spans="1:16" ht="80.099999999999994" customHeight="1">
      <c r="A24" s="120"/>
      <c r="B24" s="126"/>
      <c r="C24" s="126"/>
      <c r="D24" s="128"/>
      <c r="E24" s="120"/>
      <c r="F24" s="81" t="s">
        <v>141</v>
      </c>
      <c r="G24" s="82" t="s">
        <v>142</v>
      </c>
      <c r="H24" s="82">
        <v>1</v>
      </c>
      <c r="I24" s="82" t="s">
        <v>31</v>
      </c>
      <c r="J24" s="82"/>
      <c r="K24" s="81" t="s">
        <v>27</v>
      </c>
      <c r="L24" s="90" t="s">
        <v>28</v>
      </c>
      <c r="M24" s="91"/>
      <c r="N24" s="174"/>
      <c r="O24" s="183"/>
      <c r="P24" s="89"/>
    </row>
    <row r="25" spans="1:16" ht="80.099999999999994" customHeight="1">
      <c r="A25" s="120"/>
      <c r="B25" s="126"/>
      <c r="C25" s="126"/>
      <c r="D25" s="128"/>
      <c r="E25" s="120"/>
      <c r="F25" s="81" t="s">
        <v>143</v>
      </c>
      <c r="G25" s="82" t="s">
        <v>144</v>
      </c>
      <c r="H25" s="82">
        <v>1</v>
      </c>
      <c r="I25" s="82" t="s">
        <v>31</v>
      </c>
      <c r="J25" s="82"/>
      <c r="K25" s="81" t="s">
        <v>27</v>
      </c>
      <c r="L25" s="90" t="s">
        <v>28</v>
      </c>
      <c r="M25" s="91"/>
      <c r="N25" s="174"/>
      <c r="O25" s="183"/>
      <c r="P25" s="89"/>
    </row>
    <row r="26" spans="1:16" ht="80.099999999999994" customHeight="1">
      <c r="A26" s="120"/>
      <c r="B26" s="126"/>
      <c r="C26" s="126"/>
      <c r="D26" s="128"/>
      <c r="E26" s="120"/>
      <c r="F26" s="83" t="s">
        <v>145</v>
      </c>
      <c r="G26" s="82" t="s">
        <v>146</v>
      </c>
      <c r="H26" s="82">
        <v>1</v>
      </c>
      <c r="I26" s="82"/>
      <c r="J26" s="82"/>
      <c r="K26" s="80" t="s">
        <v>147</v>
      </c>
      <c r="L26" s="90" t="s">
        <v>28</v>
      </c>
      <c r="M26" s="91"/>
      <c r="N26" s="174"/>
      <c r="O26" s="183"/>
      <c r="P26" s="89"/>
    </row>
    <row r="27" spans="1:16" ht="80.099999999999994" customHeight="1">
      <c r="A27" s="120"/>
      <c r="B27" s="126"/>
      <c r="C27" s="126"/>
      <c r="D27" s="128"/>
      <c r="E27" s="120"/>
      <c r="F27" s="83" t="s">
        <v>145</v>
      </c>
      <c r="G27" s="82" t="s">
        <v>148</v>
      </c>
      <c r="H27" s="82">
        <v>1</v>
      </c>
      <c r="I27" s="82"/>
      <c r="J27" s="82"/>
      <c r="K27" s="80" t="s">
        <v>147</v>
      </c>
      <c r="L27" s="90" t="s">
        <v>28</v>
      </c>
      <c r="M27" s="92"/>
      <c r="N27" s="175"/>
      <c r="O27" s="184"/>
      <c r="P27" s="89"/>
    </row>
    <row r="28" spans="1:16" ht="80.099999999999994" customHeight="1">
      <c r="A28" s="119">
        <v>3</v>
      </c>
      <c r="B28" s="125" t="s">
        <v>154</v>
      </c>
      <c r="C28" s="125" t="s">
        <v>155</v>
      </c>
      <c r="D28" s="127"/>
      <c r="E28" s="131" t="s">
        <v>156</v>
      </c>
      <c r="F28" s="80" t="s">
        <v>19</v>
      </c>
      <c r="G28" s="81" t="s">
        <v>157</v>
      </c>
      <c r="H28" s="82">
        <v>1</v>
      </c>
      <c r="I28" s="83" t="s">
        <v>52</v>
      </c>
      <c r="J28" s="82"/>
      <c r="K28" s="80" t="s">
        <v>22</v>
      </c>
      <c r="L28" s="87" t="s">
        <v>23</v>
      </c>
      <c r="M28" s="88">
        <f>21*0.779</f>
        <v>16.359000000000002</v>
      </c>
      <c r="N28" s="173">
        <f>31.28-13.73</f>
        <v>17.55</v>
      </c>
      <c r="O28" s="182">
        <f>N28/0.7+M28</f>
        <v>41.430428571428578</v>
      </c>
      <c r="P28" s="89"/>
    </row>
    <row r="29" spans="1:16" ht="80.099999999999994" customHeight="1">
      <c r="A29" s="120"/>
      <c r="B29" s="126"/>
      <c r="C29" s="126"/>
      <c r="D29" s="128"/>
      <c r="E29" s="132"/>
      <c r="F29" s="80" t="s">
        <v>24</v>
      </c>
      <c r="G29" s="81" t="s">
        <v>158</v>
      </c>
      <c r="H29" s="82">
        <v>1</v>
      </c>
      <c r="I29" s="83" t="s">
        <v>159</v>
      </c>
      <c r="J29" s="82"/>
      <c r="K29" s="81" t="s">
        <v>27</v>
      </c>
      <c r="L29" s="90" t="s">
        <v>28</v>
      </c>
      <c r="M29" s="91"/>
      <c r="N29" s="174"/>
      <c r="O29" s="183"/>
      <c r="P29" s="89"/>
    </row>
    <row r="30" spans="1:16" ht="80.099999999999994" customHeight="1">
      <c r="A30" s="120"/>
      <c r="B30" s="126"/>
      <c r="C30" s="126"/>
      <c r="D30" s="128"/>
      <c r="E30" s="128"/>
      <c r="F30" s="80" t="s">
        <v>24</v>
      </c>
      <c r="G30" s="81" t="s">
        <v>160</v>
      </c>
      <c r="H30" s="82">
        <v>1</v>
      </c>
      <c r="I30" s="83" t="s">
        <v>161</v>
      </c>
      <c r="J30" s="82"/>
      <c r="K30" s="81" t="s">
        <v>27</v>
      </c>
      <c r="L30" s="90" t="s">
        <v>28</v>
      </c>
      <c r="M30" s="91"/>
      <c r="N30" s="174"/>
      <c r="O30" s="183"/>
      <c r="P30" s="89"/>
    </row>
    <row r="31" spans="1:16" ht="80.099999999999994" customHeight="1">
      <c r="A31" s="120"/>
      <c r="B31" s="126"/>
      <c r="C31" s="126"/>
      <c r="D31" s="128"/>
      <c r="E31" s="128"/>
      <c r="F31" s="81" t="s">
        <v>162</v>
      </c>
      <c r="G31" s="81" t="s">
        <v>163</v>
      </c>
      <c r="H31" s="82">
        <v>1</v>
      </c>
      <c r="I31" s="82" t="s">
        <v>31</v>
      </c>
      <c r="J31" s="82"/>
      <c r="K31" s="81" t="s">
        <v>27</v>
      </c>
      <c r="L31" s="90" t="s">
        <v>28</v>
      </c>
      <c r="M31" s="91"/>
      <c r="N31" s="174"/>
      <c r="O31" s="183"/>
      <c r="P31" s="89"/>
    </row>
    <row r="32" spans="1:16" ht="80.099999999999994" customHeight="1">
      <c r="A32" s="120"/>
      <c r="B32" s="126"/>
      <c r="C32" s="126"/>
      <c r="D32" s="128"/>
      <c r="E32" s="128"/>
      <c r="F32" s="81" t="s">
        <v>162</v>
      </c>
      <c r="G32" s="81" t="s">
        <v>164</v>
      </c>
      <c r="H32" s="82">
        <v>1</v>
      </c>
      <c r="I32" s="82" t="s">
        <v>31</v>
      </c>
      <c r="J32" s="82"/>
      <c r="K32" s="81" t="s">
        <v>27</v>
      </c>
      <c r="L32" s="90" t="s">
        <v>28</v>
      </c>
      <c r="M32" s="91"/>
      <c r="N32" s="174"/>
      <c r="O32" s="183"/>
      <c r="P32" s="89"/>
    </row>
    <row r="33" spans="1:16" ht="80.099999999999994" customHeight="1">
      <c r="A33" s="120"/>
      <c r="B33" s="126"/>
      <c r="C33" s="126"/>
      <c r="D33" s="128"/>
      <c r="E33" s="128"/>
      <c r="F33" s="81" t="s">
        <v>165</v>
      </c>
      <c r="G33" s="83" t="s">
        <v>166</v>
      </c>
      <c r="H33" s="82">
        <v>2</v>
      </c>
      <c r="I33" s="83" t="s">
        <v>133</v>
      </c>
      <c r="J33" s="82"/>
      <c r="K33" s="81" t="s">
        <v>27</v>
      </c>
      <c r="L33" s="90" t="s">
        <v>28</v>
      </c>
      <c r="M33" s="91"/>
      <c r="N33" s="174"/>
      <c r="O33" s="183"/>
      <c r="P33" s="89"/>
    </row>
    <row r="34" spans="1:16" ht="80.099999999999994" customHeight="1">
      <c r="A34" s="120"/>
      <c r="B34" s="126"/>
      <c r="C34" s="126"/>
      <c r="D34" s="128"/>
      <c r="E34" s="128"/>
      <c r="F34" s="81" t="s">
        <v>167</v>
      </c>
      <c r="G34" s="83" t="s">
        <v>168</v>
      </c>
      <c r="H34" s="82">
        <v>1</v>
      </c>
      <c r="I34" s="83" t="s">
        <v>169</v>
      </c>
      <c r="J34" s="82"/>
      <c r="K34" s="81" t="s">
        <v>27</v>
      </c>
      <c r="L34" s="90" t="s">
        <v>28</v>
      </c>
      <c r="M34" s="91"/>
      <c r="N34" s="174"/>
      <c r="O34" s="183"/>
      <c r="P34" s="188" t="s">
        <v>170</v>
      </c>
    </row>
    <row r="35" spans="1:16" ht="80.099999999999994" customHeight="1">
      <c r="A35" s="120"/>
      <c r="B35" s="126"/>
      <c r="C35" s="126"/>
      <c r="D35" s="128"/>
      <c r="E35" s="128"/>
      <c r="F35" s="81" t="s">
        <v>167</v>
      </c>
      <c r="G35" s="83" t="s">
        <v>171</v>
      </c>
      <c r="H35" s="82">
        <v>1</v>
      </c>
      <c r="I35" s="83" t="s">
        <v>169</v>
      </c>
      <c r="J35" s="82"/>
      <c r="K35" s="81" t="s">
        <v>27</v>
      </c>
      <c r="L35" s="90" t="s">
        <v>28</v>
      </c>
      <c r="M35" s="91"/>
      <c r="N35" s="174"/>
      <c r="O35" s="183"/>
      <c r="P35" s="136"/>
    </row>
    <row r="36" spans="1:16" ht="80.099999999999994" customHeight="1">
      <c r="A36" s="120"/>
      <c r="B36" s="126"/>
      <c r="C36" s="126"/>
      <c r="D36" s="128"/>
      <c r="E36" s="128"/>
      <c r="F36" s="81" t="s">
        <v>172</v>
      </c>
      <c r="G36" s="83" t="s">
        <v>173</v>
      </c>
      <c r="H36" s="82">
        <v>1</v>
      </c>
      <c r="I36" s="83" t="s">
        <v>169</v>
      </c>
      <c r="J36" s="82"/>
      <c r="K36" s="81" t="s">
        <v>27</v>
      </c>
      <c r="L36" s="90" t="s">
        <v>28</v>
      </c>
      <c r="M36" s="91"/>
      <c r="N36" s="174"/>
      <c r="O36" s="183"/>
      <c r="P36" s="89"/>
    </row>
    <row r="37" spans="1:16" ht="80.099999999999994" customHeight="1">
      <c r="A37" s="120"/>
      <c r="B37" s="126"/>
      <c r="C37" s="126"/>
      <c r="D37" s="128"/>
      <c r="E37" s="164"/>
      <c r="F37" s="81" t="s">
        <v>145</v>
      </c>
      <c r="G37" s="83" t="s">
        <v>174</v>
      </c>
      <c r="H37" s="82">
        <v>2</v>
      </c>
      <c r="I37" s="82"/>
      <c r="J37" s="82"/>
      <c r="K37" s="80" t="s">
        <v>147</v>
      </c>
      <c r="L37" s="90" t="s">
        <v>28</v>
      </c>
      <c r="M37" s="92"/>
      <c r="N37" s="175"/>
      <c r="O37" s="184"/>
      <c r="P37" s="89"/>
    </row>
    <row r="38" spans="1:16" ht="80.099999999999994" customHeight="1">
      <c r="A38" s="151">
        <v>4</v>
      </c>
      <c r="B38" s="125" t="s">
        <v>175</v>
      </c>
      <c r="C38" s="125" t="s">
        <v>176</v>
      </c>
      <c r="D38" s="127"/>
      <c r="E38" s="131" t="s">
        <v>156</v>
      </c>
      <c r="F38" s="80" t="s">
        <v>19</v>
      </c>
      <c r="G38" s="81" t="s">
        <v>177</v>
      </c>
      <c r="H38" s="82">
        <v>1</v>
      </c>
      <c r="I38" s="83" t="s">
        <v>52</v>
      </c>
      <c r="J38" s="82"/>
      <c r="K38" s="80" t="s">
        <v>22</v>
      </c>
      <c r="L38" s="87" t="s">
        <v>23</v>
      </c>
      <c r="M38" s="88">
        <f>0.671*21</f>
        <v>14.091000000000001</v>
      </c>
      <c r="N38" s="176">
        <f>26.62-11.823</f>
        <v>14.797000000000001</v>
      </c>
      <c r="O38" s="182">
        <f>N38/0.7+M38</f>
        <v>35.229571428571433</v>
      </c>
      <c r="P38" s="89"/>
    </row>
    <row r="39" spans="1:16" ht="80.099999999999994" customHeight="1">
      <c r="A39" s="152"/>
      <c r="B39" s="126"/>
      <c r="C39" s="126"/>
      <c r="D39" s="128"/>
      <c r="E39" s="132"/>
      <c r="F39" s="80" t="s">
        <v>24</v>
      </c>
      <c r="G39" s="81" t="s">
        <v>178</v>
      </c>
      <c r="H39" s="82">
        <v>1</v>
      </c>
      <c r="I39" s="83" t="s">
        <v>159</v>
      </c>
      <c r="J39" s="82"/>
      <c r="K39" s="81" t="s">
        <v>27</v>
      </c>
      <c r="L39" s="90" t="s">
        <v>28</v>
      </c>
      <c r="M39" s="91"/>
      <c r="N39" s="177"/>
      <c r="O39" s="183"/>
      <c r="P39" s="89"/>
    </row>
    <row r="40" spans="1:16" ht="80.099999999999994" customHeight="1">
      <c r="A40" s="152"/>
      <c r="B40" s="126"/>
      <c r="C40" s="126"/>
      <c r="D40" s="128"/>
      <c r="E40" s="128"/>
      <c r="F40" s="81" t="s">
        <v>162</v>
      </c>
      <c r="G40" s="81" t="s">
        <v>163</v>
      </c>
      <c r="H40" s="82">
        <v>1</v>
      </c>
      <c r="I40" s="82" t="s">
        <v>31</v>
      </c>
      <c r="J40" s="82"/>
      <c r="K40" s="81" t="s">
        <v>27</v>
      </c>
      <c r="L40" s="90" t="s">
        <v>28</v>
      </c>
      <c r="M40" s="91"/>
      <c r="N40" s="177"/>
      <c r="O40" s="183"/>
      <c r="P40" s="89"/>
    </row>
    <row r="41" spans="1:16" ht="80.099999999999994" customHeight="1">
      <c r="A41" s="152"/>
      <c r="B41" s="126"/>
      <c r="C41" s="126"/>
      <c r="D41" s="128"/>
      <c r="E41" s="128"/>
      <c r="F41" s="81" t="s">
        <v>162</v>
      </c>
      <c r="G41" s="81" t="s">
        <v>164</v>
      </c>
      <c r="H41" s="82">
        <v>1</v>
      </c>
      <c r="I41" s="82" t="s">
        <v>31</v>
      </c>
      <c r="J41" s="82"/>
      <c r="K41" s="81" t="s">
        <v>27</v>
      </c>
      <c r="L41" s="90" t="s">
        <v>28</v>
      </c>
      <c r="M41" s="91"/>
      <c r="N41" s="177"/>
      <c r="O41" s="183"/>
      <c r="P41" s="89"/>
    </row>
    <row r="42" spans="1:16" ht="80.099999999999994" customHeight="1">
      <c r="A42" s="152"/>
      <c r="B42" s="126"/>
      <c r="C42" s="126"/>
      <c r="D42" s="128"/>
      <c r="E42" s="128"/>
      <c r="F42" s="81" t="s">
        <v>165</v>
      </c>
      <c r="G42" s="83" t="s">
        <v>166</v>
      </c>
      <c r="H42" s="82">
        <v>2</v>
      </c>
      <c r="I42" s="83" t="s">
        <v>133</v>
      </c>
      <c r="J42" s="82"/>
      <c r="K42" s="81" t="s">
        <v>27</v>
      </c>
      <c r="L42" s="90" t="s">
        <v>28</v>
      </c>
      <c r="M42" s="91"/>
      <c r="N42" s="177"/>
      <c r="O42" s="183"/>
      <c r="P42" s="89"/>
    </row>
    <row r="43" spans="1:16" ht="80.099999999999994" customHeight="1">
      <c r="A43" s="152"/>
      <c r="B43" s="126"/>
      <c r="C43" s="126"/>
      <c r="D43" s="128"/>
      <c r="E43" s="128"/>
      <c r="F43" s="81" t="s">
        <v>167</v>
      </c>
      <c r="G43" s="83" t="s">
        <v>179</v>
      </c>
      <c r="H43" s="82">
        <v>1</v>
      </c>
      <c r="I43" s="83" t="s">
        <v>169</v>
      </c>
      <c r="J43" s="82"/>
      <c r="K43" s="81" t="s">
        <v>27</v>
      </c>
      <c r="L43" s="90" t="s">
        <v>28</v>
      </c>
      <c r="M43" s="91"/>
      <c r="N43" s="177"/>
      <c r="O43" s="183"/>
      <c r="P43" s="188" t="s">
        <v>170</v>
      </c>
    </row>
    <row r="44" spans="1:16" ht="80.099999999999994" customHeight="1">
      <c r="A44" s="152"/>
      <c r="B44" s="126"/>
      <c r="C44" s="126"/>
      <c r="D44" s="128"/>
      <c r="E44" s="128"/>
      <c r="F44" s="81" t="s">
        <v>167</v>
      </c>
      <c r="G44" s="83" t="s">
        <v>180</v>
      </c>
      <c r="H44" s="82">
        <v>1</v>
      </c>
      <c r="I44" s="83" t="s">
        <v>169</v>
      </c>
      <c r="J44" s="82"/>
      <c r="K44" s="81" t="s">
        <v>27</v>
      </c>
      <c r="L44" s="90" t="s">
        <v>28</v>
      </c>
      <c r="M44" s="91"/>
      <c r="N44" s="177"/>
      <c r="O44" s="183"/>
      <c r="P44" s="136"/>
    </row>
    <row r="45" spans="1:16" ht="80.099999999999994" customHeight="1">
      <c r="A45" s="152"/>
      <c r="B45" s="126"/>
      <c r="C45" s="126"/>
      <c r="D45" s="128"/>
      <c r="E45" s="128"/>
      <c r="F45" s="81" t="s">
        <v>172</v>
      </c>
      <c r="G45" s="83" t="s">
        <v>181</v>
      </c>
      <c r="H45" s="82">
        <v>1</v>
      </c>
      <c r="I45" s="83" t="s">
        <v>169</v>
      </c>
      <c r="J45" s="82"/>
      <c r="K45" s="81" t="s">
        <v>27</v>
      </c>
      <c r="L45" s="90" t="s">
        <v>28</v>
      </c>
      <c r="M45" s="91"/>
      <c r="N45" s="177"/>
      <c r="O45" s="183"/>
      <c r="P45" s="89"/>
    </row>
    <row r="46" spans="1:16" ht="80.099999999999994" customHeight="1">
      <c r="A46" s="152"/>
      <c r="B46" s="126"/>
      <c r="C46" s="126"/>
      <c r="D46" s="128"/>
      <c r="E46" s="164"/>
      <c r="F46" s="81" t="s">
        <v>145</v>
      </c>
      <c r="G46" s="83" t="s">
        <v>174</v>
      </c>
      <c r="H46" s="82">
        <v>2</v>
      </c>
      <c r="I46" s="82"/>
      <c r="J46" s="82"/>
      <c r="K46" s="80" t="s">
        <v>147</v>
      </c>
      <c r="L46" s="90" t="s">
        <v>28</v>
      </c>
      <c r="M46" s="92"/>
      <c r="N46" s="178"/>
      <c r="O46" s="184"/>
      <c r="P46" s="89"/>
    </row>
    <row r="47" spans="1:16" ht="80.099999999999994" customHeight="1">
      <c r="A47" s="151">
        <v>5</v>
      </c>
      <c r="B47" s="125" t="s">
        <v>182</v>
      </c>
      <c r="C47" s="125" t="s">
        <v>183</v>
      </c>
      <c r="D47" s="127"/>
      <c r="E47" s="134" t="s">
        <v>156</v>
      </c>
      <c r="F47" s="80" t="s">
        <v>19</v>
      </c>
      <c r="G47" s="81" t="s">
        <v>184</v>
      </c>
      <c r="H47" s="82">
        <v>1</v>
      </c>
      <c r="I47" s="83" t="s">
        <v>52</v>
      </c>
      <c r="J47" s="82"/>
      <c r="K47" s="80" t="s">
        <v>22</v>
      </c>
      <c r="L47" s="87" t="s">
        <v>23</v>
      </c>
      <c r="M47" s="88">
        <f>21*0.826</f>
        <v>17.346</v>
      </c>
      <c r="N47" s="176">
        <f>35.28-14.6</f>
        <v>20.68</v>
      </c>
      <c r="O47" s="182">
        <f>N47/0.7+M47</f>
        <v>46.888857142857148</v>
      </c>
      <c r="P47" s="89"/>
    </row>
    <row r="48" spans="1:16" ht="80.099999999999994" customHeight="1">
      <c r="A48" s="152"/>
      <c r="B48" s="126"/>
      <c r="C48" s="126"/>
      <c r="D48" s="128"/>
      <c r="E48" s="135"/>
      <c r="F48" s="80" t="s">
        <v>24</v>
      </c>
      <c r="G48" s="81" t="s">
        <v>185</v>
      </c>
      <c r="H48" s="82">
        <v>1</v>
      </c>
      <c r="I48" s="83" t="s">
        <v>186</v>
      </c>
      <c r="J48" s="82"/>
      <c r="K48" s="81" t="s">
        <v>27</v>
      </c>
      <c r="L48" s="90" t="s">
        <v>28</v>
      </c>
      <c r="M48" s="91"/>
      <c r="N48" s="177"/>
      <c r="O48" s="183"/>
      <c r="P48" s="89"/>
    </row>
    <row r="49" spans="1:16" ht="80.099999999999994" customHeight="1">
      <c r="A49" s="152"/>
      <c r="B49" s="126"/>
      <c r="C49" s="126"/>
      <c r="D49" s="128"/>
      <c r="E49" s="128"/>
      <c r="F49" s="80" t="s">
        <v>24</v>
      </c>
      <c r="G49" s="81" t="s">
        <v>187</v>
      </c>
      <c r="H49" s="82">
        <v>1</v>
      </c>
      <c r="I49" s="83" t="s">
        <v>161</v>
      </c>
      <c r="J49" s="82"/>
      <c r="K49" s="81" t="s">
        <v>27</v>
      </c>
      <c r="L49" s="90" t="s">
        <v>28</v>
      </c>
      <c r="M49" s="91"/>
      <c r="N49" s="177"/>
      <c r="O49" s="183"/>
      <c r="P49" s="89"/>
    </row>
    <row r="50" spans="1:16" ht="80.099999999999994" customHeight="1">
      <c r="A50" s="152"/>
      <c r="B50" s="126"/>
      <c r="C50" s="126"/>
      <c r="D50" s="128"/>
      <c r="E50" s="128"/>
      <c r="F50" s="81" t="s">
        <v>162</v>
      </c>
      <c r="G50" s="81" t="s">
        <v>163</v>
      </c>
      <c r="H50" s="82">
        <v>1</v>
      </c>
      <c r="I50" s="82" t="s">
        <v>31</v>
      </c>
      <c r="J50" s="82"/>
      <c r="K50" s="81" t="s">
        <v>27</v>
      </c>
      <c r="L50" s="90" t="s">
        <v>28</v>
      </c>
      <c r="M50" s="91"/>
      <c r="N50" s="177"/>
      <c r="O50" s="183"/>
      <c r="P50" s="89"/>
    </row>
    <row r="51" spans="1:16" ht="80.099999999999994" customHeight="1">
      <c r="A51" s="152"/>
      <c r="B51" s="126"/>
      <c r="C51" s="126"/>
      <c r="D51" s="128"/>
      <c r="E51" s="128"/>
      <c r="F51" s="81" t="s">
        <v>162</v>
      </c>
      <c r="G51" s="81" t="s">
        <v>164</v>
      </c>
      <c r="H51" s="82">
        <v>1</v>
      </c>
      <c r="I51" s="82" t="s">
        <v>31</v>
      </c>
      <c r="J51" s="82"/>
      <c r="K51" s="81" t="s">
        <v>27</v>
      </c>
      <c r="L51" s="90" t="s">
        <v>28</v>
      </c>
      <c r="M51" s="91"/>
      <c r="N51" s="177"/>
      <c r="O51" s="183"/>
      <c r="P51" s="89"/>
    </row>
    <row r="52" spans="1:16" ht="80.099999999999994" customHeight="1">
      <c r="A52" s="152"/>
      <c r="B52" s="126"/>
      <c r="C52" s="126"/>
      <c r="D52" s="128"/>
      <c r="E52" s="128"/>
      <c r="F52" s="81" t="s">
        <v>165</v>
      </c>
      <c r="G52" s="83" t="s">
        <v>166</v>
      </c>
      <c r="H52" s="82">
        <v>2</v>
      </c>
      <c r="I52" s="83" t="s">
        <v>133</v>
      </c>
      <c r="J52" s="82"/>
      <c r="K52" s="81" t="s">
        <v>27</v>
      </c>
      <c r="L52" s="90" t="s">
        <v>28</v>
      </c>
      <c r="M52" s="91"/>
      <c r="N52" s="177"/>
      <c r="O52" s="183"/>
      <c r="P52" s="89"/>
    </row>
    <row r="53" spans="1:16" ht="80.099999999999994" customHeight="1">
      <c r="A53" s="152"/>
      <c r="B53" s="126"/>
      <c r="C53" s="126"/>
      <c r="D53" s="128"/>
      <c r="E53" s="128"/>
      <c r="F53" s="81" t="s">
        <v>167</v>
      </c>
      <c r="G53" s="83" t="s">
        <v>188</v>
      </c>
      <c r="H53" s="82">
        <v>1</v>
      </c>
      <c r="I53" s="83" t="s">
        <v>169</v>
      </c>
      <c r="J53" s="82"/>
      <c r="K53" s="81" t="s">
        <v>27</v>
      </c>
      <c r="L53" s="90" t="s">
        <v>28</v>
      </c>
      <c r="M53" s="91"/>
      <c r="N53" s="177"/>
      <c r="O53" s="183"/>
      <c r="P53" s="188" t="s">
        <v>170</v>
      </c>
    </row>
    <row r="54" spans="1:16" ht="80.099999999999994" customHeight="1">
      <c r="A54" s="152"/>
      <c r="B54" s="126"/>
      <c r="C54" s="126"/>
      <c r="D54" s="128"/>
      <c r="E54" s="128"/>
      <c r="F54" s="81" t="s">
        <v>167</v>
      </c>
      <c r="G54" s="83" t="s">
        <v>189</v>
      </c>
      <c r="H54" s="82">
        <v>1</v>
      </c>
      <c r="I54" s="83" t="s">
        <v>169</v>
      </c>
      <c r="J54" s="82"/>
      <c r="K54" s="81" t="s">
        <v>27</v>
      </c>
      <c r="L54" s="90" t="s">
        <v>28</v>
      </c>
      <c r="M54" s="91"/>
      <c r="N54" s="177"/>
      <c r="O54" s="183"/>
      <c r="P54" s="136"/>
    </row>
    <row r="55" spans="1:16" ht="80.099999999999994" customHeight="1">
      <c r="A55" s="152"/>
      <c r="B55" s="126"/>
      <c r="C55" s="126"/>
      <c r="D55" s="128"/>
      <c r="E55" s="128"/>
      <c r="F55" s="81" t="s">
        <v>172</v>
      </c>
      <c r="G55" s="83" t="s">
        <v>173</v>
      </c>
      <c r="H55" s="82">
        <v>1</v>
      </c>
      <c r="I55" s="83" t="s">
        <v>169</v>
      </c>
      <c r="J55" s="82"/>
      <c r="K55" s="81" t="s">
        <v>27</v>
      </c>
      <c r="L55" s="90" t="s">
        <v>28</v>
      </c>
      <c r="M55" s="91"/>
      <c r="N55" s="177"/>
      <c r="O55" s="183"/>
      <c r="P55" s="89"/>
    </row>
    <row r="56" spans="1:16" ht="80.099999999999994" customHeight="1">
      <c r="A56" s="152"/>
      <c r="B56" s="126"/>
      <c r="C56" s="126"/>
      <c r="D56" s="128"/>
      <c r="E56" s="164"/>
      <c r="F56" s="81" t="s">
        <v>145</v>
      </c>
      <c r="G56" s="83" t="s">
        <v>174</v>
      </c>
      <c r="H56" s="82">
        <v>2</v>
      </c>
      <c r="I56" s="82"/>
      <c r="J56" s="82"/>
      <c r="K56" s="80" t="s">
        <v>147</v>
      </c>
      <c r="L56" s="90" t="s">
        <v>28</v>
      </c>
      <c r="M56" s="92"/>
      <c r="N56" s="178"/>
      <c r="O56" s="184"/>
      <c r="P56" s="89"/>
    </row>
    <row r="57" spans="1:16" ht="80.099999999999994" customHeight="1">
      <c r="A57" s="119">
        <v>6</v>
      </c>
      <c r="B57" s="125" t="s">
        <v>190</v>
      </c>
      <c r="C57" s="125" t="s">
        <v>191</v>
      </c>
      <c r="D57" s="127"/>
      <c r="E57" s="167" t="s">
        <v>156</v>
      </c>
      <c r="F57" s="80" t="s">
        <v>19</v>
      </c>
      <c r="G57" s="81" t="s">
        <v>192</v>
      </c>
      <c r="H57" s="82">
        <v>1</v>
      </c>
      <c r="I57" s="83" t="s">
        <v>52</v>
      </c>
      <c r="J57" s="82"/>
      <c r="K57" s="80" t="s">
        <v>22</v>
      </c>
      <c r="L57" s="87" t="s">
        <v>23</v>
      </c>
      <c r="M57" s="88">
        <f>21*0.94</f>
        <v>19.739999999999998</v>
      </c>
      <c r="N57" s="173">
        <f>28.04-16.6</f>
        <v>11.439999999999998</v>
      </c>
      <c r="O57" s="182">
        <f>N57/0.7+M57</f>
        <v>36.082857142857137</v>
      </c>
      <c r="P57" s="89"/>
    </row>
    <row r="58" spans="1:16" ht="80.099999999999994" customHeight="1">
      <c r="A58" s="120"/>
      <c r="B58" s="126"/>
      <c r="C58" s="126"/>
      <c r="D58" s="128"/>
      <c r="E58" s="168"/>
      <c r="F58" s="80" t="s">
        <v>24</v>
      </c>
      <c r="G58" s="81" t="s">
        <v>193</v>
      </c>
      <c r="H58" s="82">
        <v>1</v>
      </c>
      <c r="I58" s="83" t="s">
        <v>186</v>
      </c>
      <c r="J58" s="82"/>
      <c r="K58" s="81" t="s">
        <v>27</v>
      </c>
      <c r="L58" s="90" t="s">
        <v>28</v>
      </c>
      <c r="M58" s="91"/>
      <c r="N58" s="174"/>
      <c r="O58" s="183"/>
      <c r="P58" s="89"/>
    </row>
    <row r="59" spans="1:16" ht="80.099999999999994" customHeight="1">
      <c r="A59" s="120"/>
      <c r="B59" s="126"/>
      <c r="C59" s="126"/>
      <c r="D59" s="128"/>
      <c r="E59" s="168"/>
      <c r="F59" s="80" t="s">
        <v>24</v>
      </c>
      <c r="G59" s="81" t="s">
        <v>160</v>
      </c>
      <c r="H59" s="82">
        <v>1</v>
      </c>
      <c r="I59" s="83" t="s">
        <v>161</v>
      </c>
      <c r="J59" s="82"/>
      <c r="K59" s="81" t="s">
        <v>27</v>
      </c>
      <c r="L59" s="90" t="s">
        <v>28</v>
      </c>
      <c r="M59" s="91"/>
      <c r="N59" s="174"/>
      <c r="O59" s="183"/>
      <c r="P59" s="89"/>
    </row>
    <row r="60" spans="1:16" ht="80.099999999999994" customHeight="1">
      <c r="A60" s="120"/>
      <c r="B60" s="126"/>
      <c r="C60" s="126"/>
      <c r="D60" s="128"/>
      <c r="E60" s="168"/>
      <c r="F60" s="81" t="s">
        <v>162</v>
      </c>
      <c r="G60" s="81" t="s">
        <v>163</v>
      </c>
      <c r="H60" s="82">
        <v>1</v>
      </c>
      <c r="I60" s="82" t="s">
        <v>31</v>
      </c>
      <c r="J60" s="82"/>
      <c r="K60" s="81" t="s">
        <v>27</v>
      </c>
      <c r="L60" s="90" t="s">
        <v>28</v>
      </c>
      <c r="M60" s="91"/>
      <c r="N60" s="174"/>
      <c r="O60" s="183"/>
      <c r="P60" s="89"/>
    </row>
    <row r="61" spans="1:16" ht="80.099999999999994" customHeight="1">
      <c r="A61" s="120"/>
      <c r="B61" s="126"/>
      <c r="C61" s="126"/>
      <c r="D61" s="128"/>
      <c r="E61" s="168"/>
      <c r="F61" s="81" t="s">
        <v>162</v>
      </c>
      <c r="G61" s="81" t="s">
        <v>164</v>
      </c>
      <c r="H61" s="82">
        <v>1</v>
      </c>
      <c r="I61" s="82" t="s">
        <v>31</v>
      </c>
      <c r="J61" s="82"/>
      <c r="K61" s="81" t="s">
        <v>27</v>
      </c>
      <c r="L61" s="90" t="s">
        <v>28</v>
      </c>
      <c r="M61" s="91"/>
      <c r="N61" s="174"/>
      <c r="O61" s="183"/>
      <c r="P61" s="89"/>
    </row>
    <row r="62" spans="1:16" ht="80.099999999999994" customHeight="1">
      <c r="A62" s="120"/>
      <c r="B62" s="126"/>
      <c r="C62" s="126"/>
      <c r="D62" s="128"/>
      <c r="E62" s="168"/>
      <c r="F62" s="81" t="s">
        <v>165</v>
      </c>
      <c r="G62" s="83" t="s">
        <v>166</v>
      </c>
      <c r="H62" s="82">
        <v>2</v>
      </c>
      <c r="I62" s="83" t="s">
        <v>133</v>
      </c>
      <c r="J62" s="82"/>
      <c r="K62" s="81" t="s">
        <v>27</v>
      </c>
      <c r="L62" s="90" t="s">
        <v>28</v>
      </c>
      <c r="M62" s="91"/>
      <c r="N62" s="174"/>
      <c r="O62" s="183"/>
      <c r="P62" s="89"/>
    </row>
    <row r="63" spans="1:16" ht="80.099999999999994" customHeight="1">
      <c r="A63" s="120"/>
      <c r="B63" s="126"/>
      <c r="C63" s="126"/>
      <c r="D63" s="128"/>
      <c r="E63" s="168"/>
      <c r="F63" s="81" t="s">
        <v>167</v>
      </c>
      <c r="G63" s="83" t="s">
        <v>168</v>
      </c>
      <c r="H63" s="82">
        <v>1</v>
      </c>
      <c r="I63" s="83" t="s">
        <v>169</v>
      </c>
      <c r="J63" s="82"/>
      <c r="K63" s="81" t="s">
        <v>27</v>
      </c>
      <c r="L63" s="90" t="s">
        <v>28</v>
      </c>
      <c r="M63" s="91"/>
      <c r="N63" s="174"/>
      <c r="O63" s="183"/>
      <c r="P63" s="188" t="s">
        <v>170</v>
      </c>
    </row>
    <row r="64" spans="1:16" ht="80.099999999999994" customHeight="1">
      <c r="A64" s="120"/>
      <c r="B64" s="126"/>
      <c r="C64" s="126"/>
      <c r="D64" s="128"/>
      <c r="E64" s="168"/>
      <c r="F64" s="81" t="s">
        <v>167</v>
      </c>
      <c r="G64" s="83" t="s">
        <v>171</v>
      </c>
      <c r="H64" s="82">
        <v>1</v>
      </c>
      <c r="I64" s="83" t="s">
        <v>169</v>
      </c>
      <c r="J64" s="82"/>
      <c r="K64" s="81" t="s">
        <v>27</v>
      </c>
      <c r="L64" s="90" t="s">
        <v>28</v>
      </c>
      <c r="M64" s="91"/>
      <c r="N64" s="174"/>
      <c r="O64" s="183"/>
      <c r="P64" s="136"/>
    </row>
    <row r="65" spans="1:16" ht="80.099999999999994" customHeight="1">
      <c r="A65" s="120"/>
      <c r="B65" s="126"/>
      <c r="C65" s="126"/>
      <c r="D65" s="128"/>
      <c r="E65" s="168"/>
      <c r="F65" s="81" t="s">
        <v>172</v>
      </c>
      <c r="G65" s="83" t="s">
        <v>173</v>
      </c>
      <c r="H65" s="82">
        <v>1</v>
      </c>
      <c r="I65" s="83" t="s">
        <v>169</v>
      </c>
      <c r="J65" s="82"/>
      <c r="K65" s="81" t="s">
        <v>27</v>
      </c>
      <c r="L65" s="90" t="s">
        <v>28</v>
      </c>
      <c r="M65" s="91"/>
      <c r="N65" s="174"/>
      <c r="O65" s="183"/>
      <c r="P65" s="89"/>
    </row>
    <row r="66" spans="1:16" ht="80.099999999999994" customHeight="1">
      <c r="A66" s="120"/>
      <c r="B66" s="126"/>
      <c r="C66" s="126"/>
      <c r="D66" s="128"/>
      <c r="E66" s="169"/>
      <c r="F66" s="81" t="s">
        <v>145</v>
      </c>
      <c r="G66" s="83" t="s">
        <v>174</v>
      </c>
      <c r="H66" s="82">
        <v>2</v>
      </c>
      <c r="I66" s="82"/>
      <c r="J66" s="82"/>
      <c r="K66" s="80" t="s">
        <v>147</v>
      </c>
      <c r="L66" s="90" t="s">
        <v>28</v>
      </c>
      <c r="M66" s="92"/>
      <c r="N66" s="175"/>
      <c r="O66" s="184"/>
      <c r="P66" s="89"/>
    </row>
    <row r="67" spans="1:16" ht="80.099999999999994" customHeight="1">
      <c r="A67" s="119">
        <v>7</v>
      </c>
      <c r="B67" s="125" t="s">
        <v>194</v>
      </c>
      <c r="C67" s="125" t="s">
        <v>195</v>
      </c>
      <c r="D67" s="127"/>
      <c r="E67" s="170" t="s">
        <v>156</v>
      </c>
      <c r="F67" s="80" t="s">
        <v>19</v>
      </c>
      <c r="G67" s="81" t="s">
        <v>196</v>
      </c>
      <c r="H67" s="82">
        <v>1</v>
      </c>
      <c r="I67" s="83" t="s">
        <v>52</v>
      </c>
      <c r="J67" s="82"/>
      <c r="K67" s="80" t="s">
        <v>22</v>
      </c>
      <c r="L67" s="87" t="s">
        <v>23</v>
      </c>
      <c r="M67" s="88">
        <f>21*0.671</f>
        <v>14.091000000000001</v>
      </c>
      <c r="N67" s="176">
        <f>29.46-11.823</f>
        <v>17.637</v>
      </c>
      <c r="O67" s="182">
        <f>N67/0.7+M67</f>
        <v>39.286714285714289</v>
      </c>
      <c r="P67" s="89"/>
    </row>
    <row r="68" spans="1:16" ht="80.099999999999994" customHeight="1">
      <c r="A68" s="120"/>
      <c r="B68" s="126"/>
      <c r="C68" s="126"/>
      <c r="D68" s="128"/>
      <c r="E68" s="171"/>
      <c r="F68" s="80" t="s">
        <v>24</v>
      </c>
      <c r="G68" s="81" t="s">
        <v>197</v>
      </c>
      <c r="H68" s="82">
        <v>1</v>
      </c>
      <c r="I68" s="83" t="s">
        <v>159</v>
      </c>
      <c r="J68" s="82"/>
      <c r="K68" s="81" t="s">
        <v>27</v>
      </c>
      <c r="L68" s="90" t="s">
        <v>28</v>
      </c>
      <c r="M68" s="91"/>
      <c r="N68" s="177"/>
      <c r="O68" s="183"/>
      <c r="P68" s="89"/>
    </row>
    <row r="69" spans="1:16" ht="80.099999999999994" customHeight="1">
      <c r="A69" s="120"/>
      <c r="B69" s="126"/>
      <c r="C69" s="126"/>
      <c r="D69" s="128"/>
      <c r="E69" s="128"/>
      <c r="F69" s="81" t="s">
        <v>162</v>
      </c>
      <c r="G69" s="81" t="s">
        <v>163</v>
      </c>
      <c r="H69" s="82">
        <v>1</v>
      </c>
      <c r="I69" s="82" t="s">
        <v>31</v>
      </c>
      <c r="J69" s="82"/>
      <c r="K69" s="81" t="s">
        <v>27</v>
      </c>
      <c r="L69" s="90" t="s">
        <v>28</v>
      </c>
      <c r="M69" s="91"/>
      <c r="N69" s="177"/>
      <c r="O69" s="183"/>
      <c r="P69" s="89"/>
    </row>
    <row r="70" spans="1:16" ht="80.099999999999994" customHeight="1">
      <c r="A70" s="120"/>
      <c r="B70" s="126"/>
      <c r="C70" s="126"/>
      <c r="D70" s="128"/>
      <c r="E70" s="128"/>
      <c r="F70" s="81" t="s">
        <v>162</v>
      </c>
      <c r="G70" s="81" t="s">
        <v>164</v>
      </c>
      <c r="H70" s="82">
        <v>1</v>
      </c>
      <c r="I70" s="82" t="s">
        <v>31</v>
      </c>
      <c r="J70" s="82"/>
      <c r="K70" s="81" t="s">
        <v>27</v>
      </c>
      <c r="L70" s="90" t="s">
        <v>28</v>
      </c>
      <c r="M70" s="91"/>
      <c r="N70" s="177"/>
      <c r="O70" s="183"/>
      <c r="P70" s="89"/>
    </row>
    <row r="71" spans="1:16" ht="80.099999999999994" customHeight="1">
      <c r="A71" s="120"/>
      <c r="B71" s="126"/>
      <c r="C71" s="126"/>
      <c r="D71" s="128"/>
      <c r="E71" s="128"/>
      <c r="F71" s="81" t="s">
        <v>165</v>
      </c>
      <c r="G71" s="83" t="s">
        <v>166</v>
      </c>
      <c r="H71" s="82">
        <v>2</v>
      </c>
      <c r="I71" s="83" t="s">
        <v>133</v>
      </c>
      <c r="J71" s="82"/>
      <c r="K71" s="81" t="s">
        <v>27</v>
      </c>
      <c r="L71" s="90" t="s">
        <v>28</v>
      </c>
      <c r="M71" s="91"/>
      <c r="N71" s="177"/>
      <c r="O71" s="183"/>
      <c r="P71" s="89"/>
    </row>
    <row r="72" spans="1:16" ht="80.099999999999994" customHeight="1">
      <c r="A72" s="120"/>
      <c r="B72" s="126"/>
      <c r="C72" s="126"/>
      <c r="D72" s="128"/>
      <c r="E72" s="128"/>
      <c r="F72" s="81" t="s">
        <v>167</v>
      </c>
      <c r="G72" s="83" t="s">
        <v>198</v>
      </c>
      <c r="H72" s="82">
        <v>1</v>
      </c>
      <c r="I72" s="83" t="s">
        <v>169</v>
      </c>
      <c r="J72" s="82"/>
      <c r="K72" s="81" t="s">
        <v>27</v>
      </c>
      <c r="L72" s="90" t="s">
        <v>28</v>
      </c>
      <c r="M72" s="91"/>
      <c r="N72" s="177"/>
      <c r="O72" s="183"/>
      <c r="P72" s="188" t="s">
        <v>170</v>
      </c>
    </row>
    <row r="73" spans="1:16" ht="80.099999999999994" customHeight="1">
      <c r="A73" s="120"/>
      <c r="B73" s="126"/>
      <c r="C73" s="126"/>
      <c r="D73" s="128"/>
      <c r="E73" s="128"/>
      <c r="F73" s="81" t="s">
        <v>167</v>
      </c>
      <c r="G73" s="83" t="s">
        <v>199</v>
      </c>
      <c r="H73" s="82">
        <v>1</v>
      </c>
      <c r="I73" s="83" t="s">
        <v>169</v>
      </c>
      <c r="J73" s="82"/>
      <c r="K73" s="81" t="s">
        <v>27</v>
      </c>
      <c r="L73" s="90" t="s">
        <v>28</v>
      </c>
      <c r="M73" s="91"/>
      <c r="N73" s="177"/>
      <c r="O73" s="183"/>
      <c r="P73" s="136"/>
    </row>
    <row r="74" spans="1:16" ht="80.099999999999994" customHeight="1">
      <c r="A74" s="120"/>
      <c r="B74" s="126"/>
      <c r="C74" s="126"/>
      <c r="D74" s="128"/>
      <c r="E74" s="128"/>
      <c r="F74" s="81" t="s">
        <v>172</v>
      </c>
      <c r="G74" s="83" t="s">
        <v>181</v>
      </c>
      <c r="H74" s="82">
        <v>1</v>
      </c>
      <c r="I74" s="83" t="s">
        <v>169</v>
      </c>
      <c r="J74" s="82"/>
      <c r="K74" s="81" t="s">
        <v>27</v>
      </c>
      <c r="L74" s="90" t="s">
        <v>28</v>
      </c>
      <c r="M74" s="91"/>
      <c r="N74" s="177"/>
      <c r="O74" s="183"/>
      <c r="P74" s="89"/>
    </row>
    <row r="75" spans="1:16" ht="80.099999999999994" customHeight="1">
      <c r="A75" s="120"/>
      <c r="B75" s="126"/>
      <c r="C75" s="126"/>
      <c r="D75" s="128"/>
      <c r="E75" s="164"/>
      <c r="F75" s="81" t="s">
        <v>145</v>
      </c>
      <c r="G75" s="83" t="s">
        <v>174</v>
      </c>
      <c r="H75" s="82">
        <v>2</v>
      </c>
      <c r="I75" s="82"/>
      <c r="J75" s="82"/>
      <c r="K75" s="80" t="s">
        <v>147</v>
      </c>
      <c r="L75" s="90" t="s">
        <v>28</v>
      </c>
      <c r="M75" s="92"/>
      <c r="N75" s="178"/>
      <c r="O75" s="184"/>
      <c r="P75" s="89"/>
    </row>
    <row r="76" spans="1:16" ht="80.099999999999994" customHeight="1">
      <c r="A76" s="119">
        <v>8</v>
      </c>
      <c r="B76" s="125" t="s">
        <v>200</v>
      </c>
      <c r="C76" s="125" t="s">
        <v>201</v>
      </c>
      <c r="D76" s="127"/>
      <c r="E76" s="170" t="s">
        <v>156</v>
      </c>
      <c r="F76" s="80" t="s">
        <v>19</v>
      </c>
      <c r="G76" s="81" t="s">
        <v>202</v>
      </c>
      <c r="H76" s="82">
        <v>1</v>
      </c>
      <c r="I76" s="83" t="s">
        <v>52</v>
      </c>
      <c r="J76" s="82"/>
      <c r="K76" s="80" t="s">
        <v>22</v>
      </c>
      <c r="L76" s="87" t="s">
        <v>23</v>
      </c>
      <c r="M76" s="88">
        <f>0.528*21</f>
        <v>11.088000000000001</v>
      </c>
      <c r="N76" s="176">
        <f>21-9.3</f>
        <v>11.7</v>
      </c>
      <c r="O76" s="182">
        <f>N76/0.7+M76</f>
        <v>27.802285714285716</v>
      </c>
      <c r="P76" s="89"/>
    </row>
    <row r="77" spans="1:16" ht="80.099999999999994" customHeight="1">
      <c r="A77" s="120"/>
      <c r="B77" s="126"/>
      <c r="C77" s="126"/>
      <c r="D77" s="128"/>
      <c r="E77" s="171"/>
      <c r="F77" s="80" t="s">
        <v>24</v>
      </c>
      <c r="G77" s="81" t="s">
        <v>203</v>
      </c>
      <c r="H77" s="82">
        <v>1</v>
      </c>
      <c r="I77" s="83" t="s">
        <v>186</v>
      </c>
      <c r="J77" s="82"/>
      <c r="K77" s="81" t="s">
        <v>27</v>
      </c>
      <c r="L77" s="90" t="s">
        <v>28</v>
      </c>
      <c r="M77" s="91"/>
      <c r="N77" s="177"/>
      <c r="O77" s="183"/>
      <c r="P77" s="89"/>
    </row>
    <row r="78" spans="1:16" ht="80.099999999999994" customHeight="1">
      <c r="A78" s="120"/>
      <c r="B78" s="126"/>
      <c r="C78" s="126"/>
      <c r="D78" s="128"/>
      <c r="E78" s="128"/>
      <c r="F78" s="81" t="s">
        <v>162</v>
      </c>
      <c r="G78" s="81" t="s">
        <v>204</v>
      </c>
      <c r="H78" s="82">
        <v>1</v>
      </c>
      <c r="I78" s="82" t="s">
        <v>31</v>
      </c>
      <c r="J78" s="82"/>
      <c r="K78" s="81" t="s">
        <v>27</v>
      </c>
      <c r="L78" s="90" t="s">
        <v>28</v>
      </c>
      <c r="M78" s="91"/>
      <c r="N78" s="177"/>
      <c r="O78" s="183"/>
      <c r="P78" s="89"/>
    </row>
    <row r="79" spans="1:16" ht="80.099999999999994" customHeight="1">
      <c r="A79" s="120"/>
      <c r="B79" s="126"/>
      <c r="C79" s="126"/>
      <c r="D79" s="128"/>
      <c r="E79" s="128"/>
      <c r="F79" s="81" t="s">
        <v>162</v>
      </c>
      <c r="G79" s="81" t="s">
        <v>205</v>
      </c>
      <c r="H79" s="82">
        <v>1</v>
      </c>
      <c r="I79" s="82" t="s">
        <v>31</v>
      </c>
      <c r="J79" s="82"/>
      <c r="K79" s="81" t="s">
        <v>27</v>
      </c>
      <c r="L79" s="90" t="s">
        <v>28</v>
      </c>
      <c r="M79" s="91"/>
      <c r="N79" s="177"/>
      <c r="O79" s="183"/>
      <c r="P79" s="89"/>
    </row>
    <row r="80" spans="1:16" ht="80.099999999999994" customHeight="1">
      <c r="A80" s="120"/>
      <c r="B80" s="126"/>
      <c r="C80" s="126"/>
      <c r="D80" s="128"/>
      <c r="E80" s="128"/>
      <c r="F80" s="81" t="s">
        <v>165</v>
      </c>
      <c r="G80" s="83" t="s">
        <v>206</v>
      </c>
      <c r="H80" s="82">
        <v>2</v>
      </c>
      <c r="I80" s="83" t="s">
        <v>133</v>
      </c>
      <c r="J80" s="82"/>
      <c r="K80" s="81" t="s">
        <v>27</v>
      </c>
      <c r="L80" s="90" t="s">
        <v>28</v>
      </c>
      <c r="M80" s="91"/>
      <c r="N80" s="177"/>
      <c r="O80" s="183"/>
      <c r="P80" s="89"/>
    </row>
    <row r="81" spans="1:16" ht="80.099999999999994" customHeight="1">
      <c r="A81" s="120"/>
      <c r="B81" s="126"/>
      <c r="C81" s="126"/>
      <c r="D81" s="128"/>
      <c r="E81" s="128"/>
      <c r="F81" s="81" t="s">
        <v>167</v>
      </c>
      <c r="G81" s="83" t="s">
        <v>207</v>
      </c>
      <c r="H81" s="82">
        <v>1</v>
      </c>
      <c r="I81" s="83" t="s">
        <v>169</v>
      </c>
      <c r="J81" s="82"/>
      <c r="K81" s="81" t="s">
        <v>27</v>
      </c>
      <c r="L81" s="90" t="s">
        <v>28</v>
      </c>
      <c r="M81" s="91"/>
      <c r="N81" s="177"/>
      <c r="O81" s="183"/>
      <c r="P81" s="188" t="s">
        <v>170</v>
      </c>
    </row>
    <row r="82" spans="1:16" ht="80.099999999999994" customHeight="1">
      <c r="A82" s="120"/>
      <c r="B82" s="126"/>
      <c r="C82" s="126"/>
      <c r="D82" s="128"/>
      <c r="E82" s="128"/>
      <c r="F82" s="81" t="s">
        <v>167</v>
      </c>
      <c r="G82" s="83" t="s">
        <v>208</v>
      </c>
      <c r="H82" s="82">
        <v>1</v>
      </c>
      <c r="I82" s="83" t="s">
        <v>169</v>
      </c>
      <c r="J82" s="82"/>
      <c r="K82" s="81" t="s">
        <v>27</v>
      </c>
      <c r="L82" s="90" t="s">
        <v>28</v>
      </c>
      <c r="M82" s="91"/>
      <c r="N82" s="177"/>
      <c r="O82" s="183"/>
      <c r="P82" s="136"/>
    </row>
    <row r="83" spans="1:16" ht="80.099999999999994" customHeight="1">
      <c r="A83" s="120"/>
      <c r="B83" s="126"/>
      <c r="C83" s="126"/>
      <c r="D83" s="128"/>
      <c r="E83" s="128"/>
      <c r="F83" s="81" t="s">
        <v>172</v>
      </c>
      <c r="G83" s="83" t="s">
        <v>209</v>
      </c>
      <c r="H83" s="82">
        <v>1</v>
      </c>
      <c r="I83" s="83" t="s">
        <v>169</v>
      </c>
      <c r="J83" s="82"/>
      <c r="K83" s="81" t="s">
        <v>27</v>
      </c>
      <c r="L83" s="90" t="s">
        <v>28</v>
      </c>
      <c r="M83" s="91"/>
      <c r="N83" s="177"/>
      <c r="O83" s="183"/>
      <c r="P83" s="89"/>
    </row>
    <row r="84" spans="1:16" ht="80.099999999999994" customHeight="1">
      <c r="A84" s="120"/>
      <c r="B84" s="126"/>
      <c r="C84" s="126"/>
      <c r="D84" s="128"/>
      <c r="E84" s="128"/>
      <c r="F84" s="81" t="s">
        <v>210</v>
      </c>
      <c r="G84" s="83" t="s">
        <v>211</v>
      </c>
      <c r="H84" s="82">
        <v>2</v>
      </c>
      <c r="I84" s="82" t="s">
        <v>31</v>
      </c>
      <c r="J84" s="82"/>
      <c r="K84" s="81" t="s">
        <v>27</v>
      </c>
      <c r="L84" s="90" t="s">
        <v>28</v>
      </c>
      <c r="M84" s="91"/>
      <c r="N84" s="177"/>
      <c r="O84" s="183"/>
      <c r="P84" s="89"/>
    </row>
    <row r="85" spans="1:16" ht="80.099999999999994" customHeight="1">
      <c r="A85" s="120"/>
      <c r="B85" s="126"/>
      <c r="C85" s="126"/>
      <c r="D85" s="128"/>
      <c r="E85" s="164"/>
      <c r="F85" s="81" t="s">
        <v>210</v>
      </c>
      <c r="G85" s="83" t="s">
        <v>212</v>
      </c>
      <c r="H85" s="82">
        <v>1</v>
      </c>
      <c r="I85" s="82" t="s">
        <v>31</v>
      </c>
      <c r="J85" s="82"/>
      <c r="K85" s="81" t="s">
        <v>27</v>
      </c>
      <c r="L85" s="90" t="s">
        <v>28</v>
      </c>
      <c r="M85" s="92"/>
      <c r="N85" s="178"/>
      <c r="O85" s="184"/>
      <c r="P85" s="89"/>
    </row>
    <row r="86" spans="1:16" ht="80.099999999999994" customHeight="1">
      <c r="A86" s="119">
        <v>9</v>
      </c>
      <c r="B86" s="125" t="s">
        <v>213</v>
      </c>
      <c r="C86" s="125" t="s">
        <v>214</v>
      </c>
      <c r="D86" s="127"/>
      <c r="E86" s="170" t="s">
        <v>156</v>
      </c>
      <c r="F86" s="80" t="s">
        <v>19</v>
      </c>
      <c r="G86" s="81" t="s">
        <v>215</v>
      </c>
      <c r="H86" s="82">
        <v>1</v>
      </c>
      <c r="I86" s="83" t="s">
        <v>52</v>
      </c>
      <c r="J86" s="82"/>
      <c r="K86" s="80" t="s">
        <v>22</v>
      </c>
      <c r="L86" s="87" t="s">
        <v>23</v>
      </c>
      <c r="M86" s="88">
        <f>21*0.525</f>
        <v>11.025</v>
      </c>
      <c r="N86" s="176">
        <f>20.9-9.3</f>
        <v>11.599999999999998</v>
      </c>
      <c r="O86" s="182">
        <f>N86/0.7+M86</f>
        <v>27.596428571428568</v>
      </c>
      <c r="P86" s="89"/>
    </row>
    <row r="87" spans="1:16" ht="80.099999999999994" customHeight="1">
      <c r="A87" s="120"/>
      <c r="B87" s="126"/>
      <c r="C87" s="126"/>
      <c r="D87" s="128"/>
      <c r="E87" s="171"/>
      <c r="F87" s="80" t="s">
        <v>24</v>
      </c>
      <c r="G87" s="81" t="s">
        <v>203</v>
      </c>
      <c r="H87" s="82">
        <v>1</v>
      </c>
      <c r="I87" s="83" t="s">
        <v>186</v>
      </c>
      <c r="J87" s="82"/>
      <c r="K87" s="81" t="s">
        <v>27</v>
      </c>
      <c r="L87" s="90" t="s">
        <v>28</v>
      </c>
      <c r="M87" s="91"/>
      <c r="N87" s="177"/>
      <c r="O87" s="183"/>
      <c r="P87" s="89"/>
    </row>
    <row r="88" spans="1:16" ht="80.099999999999994" customHeight="1">
      <c r="A88" s="120"/>
      <c r="B88" s="126"/>
      <c r="C88" s="126"/>
      <c r="D88" s="128"/>
      <c r="E88" s="128"/>
      <c r="F88" s="81" t="s">
        <v>162</v>
      </c>
      <c r="G88" s="81" t="s">
        <v>204</v>
      </c>
      <c r="H88" s="82">
        <v>1</v>
      </c>
      <c r="I88" s="82" t="s">
        <v>31</v>
      </c>
      <c r="J88" s="82"/>
      <c r="K88" s="81" t="s">
        <v>27</v>
      </c>
      <c r="L88" s="90" t="s">
        <v>28</v>
      </c>
      <c r="M88" s="91"/>
      <c r="N88" s="177"/>
      <c r="O88" s="183"/>
      <c r="P88" s="89"/>
    </row>
    <row r="89" spans="1:16" ht="80.099999999999994" customHeight="1">
      <c r="A89" s="120"/>
      <c r="B89" s="126"/>
      <c r="C89" s="126"/>
      <c r="D89" s="128"/>
      <c r="E89" s="128"/>
      <c r="F89" s="81" t="s">
        <v>162</v>
      </c>
      <c r="G89" s="81" t="s">
        <v>205</v>
      </c>
      <c r="H89" s="82">
        <v>1</v>
      </c>
      <c r="I89" s="82" t="s">
        <v>31</v>
      </c>
      <c r="J89" s="82"/>
      <c r="K89" s="81" t="s">
        <v>27</v>
      </c>
      <c r="L89" s="90" t="s">
        <v>28</v>
      </c>
      <c r="M89" s="91"/>
      <c r="N89" s="177"/>
      <c r="O89" s="183"/>
      <c r="P89" s="89"/>
    </row>
    <row r="90" spans="1:16" ht="80.099999999999994" customHeight="1">
      <c r="A90" s="120"/>
      <c r="B90" s="126"/>
      <c r="C90" s="126"/>
      <c r="D90" s="128"/>
      <c r="E90" s="128"/>
      <c r="F90" s="81" t="s">
        <v>165</v>
      </c>
      <c r="G90" s="83" t="s">
        <v>206</v>
      </c>
      <c r="H90" s="82">
        <v>2</v>
      </c>
      <c r="I90" s="83" t="s">
        <v>133</v>
      </c>
      <c r="J90" s="82"/>
      <c r="K90" s="81" t="s">
        <v>27</v>
      </c>
      <c r="L90" s="90" t="s">
        <v>28</v>
      </c>
      <c r="M90" s="91"/>
      <c r="N90" s="177"/>
      <c r="O90" s="183"/>
      <c r="P90" s="89"/>
    </row>
    <row r="91" spans="1:16" ht="80.099999999999994" customHeight="1">
      <c r="A91" s="120"/>
      <c r="B91" s="126"/>
      <c r="C91" s="126"/>
      <c r="D91" s="128"/>
      <c r="E91" s="128"/>
      <c r="F91" s="81" t="s">
        <v>167</v>
      </c>
      <c r="G91" s="83" t="s">
        <v>207</v>
      </c>
      <c r="H91" s="82">
        <v>1</v>
      </c>
      <c r="I91" s="83" t="s">
        <v>169</v>
      </c>
      <c r="J91" s="82"/>
      <c r="K91" s="81" t="s">
        <v>27</v>
      </c>
      <c r="L91" s="90" t="s">
        <v>28</v>
      </c>
      <c r="M91" s="91"/>
      <c r="N91" s="177"/>
      <c r="O91" s="183"/>
      <c r="P91" s="188" t="s">
        <v>170</v>
      </c>
    </row>
    <row r="92" spans="1:16" ht="80.099999999999994" customHeight="1">
      <c r="A92" s="120"/>
      <c r="B92" s="126"/>
      <c r="C92" s="126"/>
      <c r="D92" s="128"/>
      <c r="E92" s="128"/>
      <c r="F92" s="81" t="s">
        <v>167</v>
      </c>
      <c r="G92" s="83" t="s">
        <v>208</v>
      </c>
      <c r="H92" s="82">
        <v>1</v>
      </c>
      <c r="I92" s="83" t="s">
        <v>169</v>
      </c>
      <c r="J92" s="82"/>
      <c r="K92" s="81" t="s">
        <v>27</v>
      </c>
      <c r="L92" s="90" t="s">
        <v>28</v>
      </c>
      <c r="M92" s="91"/>
      <c r="N92" s="177"/>
      <c r="O92" s="183"/>
      <c r="P92" s="136"/>
    </row>
    <row r="93" spans="1:16" ht="80.099999999999994" customHeight="1">
      <c r="A93" s="120"/>
      <c r="B93" s="126"/>
      <c r="C93" s="126"/>
      <c r="D93" s="128"/>
      <c r="E93" s="128"/>
      <c r="F93" s="81" t="s">
        <v>172</v>
      </c>
      <c r="G93" s="83" t="s">
        <v>209</v>
      </c>
      <c r="H93" s="82">
        <v>1</v>
      </c>
      <c r="I93" s="83" t="s">
        <v>169</v>
      </c>
      <c r="J93" s="82"/>
      <c r="K93" s="81" t="s">
        <v>27</v>
      </c>
      <c r="L93" s="90" t="s">
        <v>28</v>
      </c>
      <c r="M93" s="91"/>
      <c r="N93" s="177"/>
      <c r="O93" s="183"/>
      <c r="P93" s="89"/>
    </row>
    <row r="94" spans="1:16" ht="80.099999999999994" customHeight="1">
      <c r="A94" s="120"/>
      <c r="B94" s="126"/>
      <c r="C94" s="126"/>
      <c r="D94" s="128"/>
      <c r="E94" s="128"/>
      <c r="F94" s="81" t="s">
        <v>210</v>
      </c>
      <c r="G94" s="83" t="s">
        <v>211</v>
      </c>
      <c r="H94" s="82">
        <v>2</v>
      </c>
      <c r="I94" s="82" t="s">
        <v>31</v>
      </c>
      <c r="J94" s="82"/>
      <c r="K94" s="81" t="s">
        <v>27</v>
      </c>
      <c r="L94" s="90" t="s">
        <v>28</v>
      </c>
      <c r="M94" s="91"/>
      <c r="N94" s="177"/>
      <c r="O94" s="183"/>
      <c r="P94" s="89"/>
    </row>
    <row r="95" spans="1:16" ht="80.099999999999994" customHeight="1">
      <c r="A95" s="120"/>
      <c r="B95" s="126"/>
      <c r="C95" s="126"/>
      <c r="D95" s="128"/>
      <c r="E95" s="164"/>
      <c r="F95" s="81" t="s">
        <v>210</v>
      </c>
      <c r="G95" s="83" t="s">
        <v>212</v>
      </c>
      <c r="H95" s="82">
        <v>1</v>
      </c>
      <c r="I95" s="82" t="s">
        <v>31</v>
      </c>
      <c r="J95" s="82"/>
      <c r="K95" s="81" t="s">
        <v>27</v>
      </c>
      <c r="L95" s="90" t="s">
        <v>28</v>
      </c>
      <c r="M95" s="92"/>
      <c r="N95" s="178"/>
      <c r="O95" s="184"/>
      <c r="P95" s="89"/>
    </row>
    <row r="96" spans="1:16" ht="80.099999999999994" customHeight="1">
      <c r="A96" s="119">
        <v>10</v>
      </c>
      <c r="B96" s="125" t="s">
        <v>216</v>
      </c>
      <c r="C96" s="125" t="s">
        <v>217</v>
      </c>
      <c r="D96" s="127"/>
      <c r="E96" s="127"/>
      <c r="F96" s="80" t="s">
        <v>19</v>
      </c>
      <c r="G96" s="81" t="s">
        <v>218</v>
      </c>
      <c r="H96" s="82">
        <v>1</v>
      </c>
      <c r="I96" s="83" t="s">
        <v>52</v>
      </c>
      <c r="J96" s="82"/>
      <c r="K96" s="80" t="s">
        <v>22</v>
      </c>
      <c r="L96" s="87" t="s">
        <v>23</v>
      </c>
      <c r="M96" s="88">
        <f>21*0.525</f>
        <v>11.025</v>
      </c>
      <c r="N96" s="176">
        <f>20.9-9.3</f>
        <v>11.599999999999998</v>
      </c>
      <c r="O96" s="182">
        <f>N96/0.7+M96</f>
        <v>27.596428571428568</v>
      </c>
      <c r="P96" s="89"/>
    </row>
    <row r="97" spans="1:16" ht="80.099999999999994" customHeight="1">
      <c r="A97" s="120"/>
      <c r="B97" s="126"/>
      <c r="C97" s="126"/>
      <c r="D97" s="128"/>
      <c r="E97" s="128"/>
      <c r="F97" s="80" t="s">
        <v>24</v>
      </c>
      <c r="G97" s="81" t="s">
        <v>219</v>
      </c>
      <c r="H97" s="82">
        <v>1</v>
      </c>
      <c r="I97" s="83" t="s">
        <v>159</v>
      </c>
      <c r="J97" s="82"/>
      <c r="K97" s="81" t="s">
        <v>27</v>
      </c>
      <c r="L97" s="90" t="s">
        <v>28</v>
      </c>
      <c r="M97" s="91"/>
      <c r="N97" s="177"/>
      <c r="O97" s="183"/>
      <c r="P97" s="89"/>
    </row>
    <row r="98" spans="1:16" ht="80.099999999999994" customHeight="1">
      <c r="A98" s="120"/>
      <c r="B98" s="126"/>
      <c r="C98" s="126"/>
      <c r="D98" s="128"/>
      <c r="E98" s="128"/>
      <c r="F98" s="81" t="s">
        <v>162</v>
      </c>
      <c r="G98" s="81" t="s">
        <v>204</v>
      </c>
      <c r="H98" s="82">
        <v>1</v>
      </c>
      <c r="I98" s="82" t="s">
        <v>31</v>
      </c>
      <c r="J98" s="82"/>
      <c r="K98" s="81" t="s">
        <v>27</v>
      </c>
      <c r="L98" s="90" t="s">
        <v>28</v>
      </c>
      <c r="M98" s="91"/>
      <c r="N98" s="177"/>
      <c r="O98" s="183"/>
      <c r="P98" s="89"/>
    </row>
    <row r="99" spans="1:16" ht="80.099999999999994" customHeight="1">
      <c r="A99" s="120"/>
      <c r="B99" s="126"/>
      <c r="C99" s="126"/>
      <c r="D99" s="128"/>
      <c r="E99" s="128"/>
      <c r="F99" s="81" t="s">
        <v>162</v>
      </c>
      <c r="G99" s="81" t="s">
        <v>205</v>
      </c>
      <c r="H99" s="82">
        <v>1</v>
      </c>
      <c r="I99" s="82" t="s">
        <v>31</v>
      </c>
      <c r="J99" s="82"/>
      <c r="K99" s="81" t="s">
        <v>27</v>
      </c>
      <c r="L99" s="90" t="s">
        <v>28</v>
      </c>
      <c r="M99" s="91"/>
      <c r="N99" s="177"/>
      <c r="O99" s="183"/>
      <c r="P99" s="89"/>
    </row>
    <row r="100" spans="1:16" ht="80.099999999999994" customHeight="1">
      <c r="A100" s="120"/>
      <c r="B100" s="126"/>
      <c r="C100" s="126"/>
      <c r="D100" s="128"/>
      <c r="E100" s="128"/>
      <c r="F100" s="81" t="s">
        <v>165</v>
      </c>
      <c r="G100" s="83" t="s">
        <v>206</v>
      </c>
      <c r="H100" s="82">
        <v>2</v>
      </c>
      <c r="I100" s="83" t="s">
        <v>133</v>
      </c>
      <c r="J100" s="82"/>
      <c r="K100" s="81" t="s">
        <v>27</v>
      </c>
      <c r="L100" s="90" t="s">
        <v>28</v>
      </c>
      <c r="M100" s="91"/>
      <c r="N100" s="177"/>
      <c r="O100" s="183"/>
      <c r="P100" s="89"/>
    </row>
    <row r="101" spans="1:16" ht="80.099999999999994" customHeight="1">
      <c r="A101" s="120"/>
      <c r="B101" s="126"/>
      <c r="C101" s="126"/>
      <c r="D101" s="128"/>
      <c r="E101" s="128"/>
      <c r="F101" s="81" t="s">
        <v>167</v>
      </c>
      <c r="G101" s="83" t="s">
        <v>207</v>
      </c>
      <c r="H101" s="82">
        <v>1</v>
      </c>
      <c r="I101" s="83" t="s">
        <v>169</v>
      </c>
      <c r="J101" s="82"/>
      <c r="K101" s="81" t="s">
        <v>27</v>
      </c>
      <c r="L101" s="90" t="s">
        <v>28</v>
      </c>
      <c r="M101" s="91"/>
      <c r="N101" s="177"/>
      <c r="O101" s="183"/>
      <c r="P101" s="188" t="s">
        <v>170</v>
      </c>
    </row>
    <row r="102" spans="1:16" ht="80.099999999999994" customHeight="1">
      <c r="A102" s="120"/>
      <c r="B102" s="126"/>
      <c r="C102" s="126"/>
      <c r="D102" s="128"/>
      <c r="E102" s="128"/>
      <c r="F102" s="81" t="s">
        <v>167</v>
      </c>
      <c r="G102" s="83" t="s">
        <v>208</v>
      </c>
      <c r="H102" s="82">
        <v>1</v>
      </c>
      <c r="I102" s="83" t="s">
        <v>169</v>
      </c>
      <c r="J102" s="82"/>
      <c r="K102" s="81" t="s">
        <v>27</v>
      </c>
      <c r="L102" s="90" t="s">
        <v>28</v>
      </c>
      <c r="M102" s="91"/>
      <c r="N102" s="177"/>
      <c r="O102" s="183"/>
      <c r="P102" s="136"/>
    </row>
    <row r="103" spans="1:16" ht="80.099999999999994" customHeight="1">
      <c r="A103" s="120"/>
      <c r="B103" s="126"/>
      <c r="C103" s="126"/>
      <c r="D103" s="128"/>
      <c r="E103" s="128"/>
      <c r="F103" s="81" t="s">
        <v>172</v>
      </c>
      <c r="G103" s="83" t="s">
        <v>209</v>
      </c>
      <c r="H103" s="82">
        <v>1</v>
      </c>
      <c r="I103" s="83" t="s">
        <v>169</v>
      </c>
      <c r="J103" s="82"/>
      <c r="K103" s="81" t="s">
        <v>27</v>
      </c>
      <c r="L103" s="90" t="s">
        <v>28</v>
      </c>
      <c r="M103" s="91"/>
      <c r="N103" s="177"/>
      <c r="O103" s="183"/>
      <c r="P103" s="89"/>
    </row>
    <row r="104" spans="1:16" ht="80.099999999999994" customHeight="1">
      <c r="A104" s="120"/>
      <c r="B104" s="126"/>
      <c r="C104" s="126"/>
      <c r="D104" s="128"/>
      <c r="E104" s="128"/>
      <c r="F104" s="81" t="s">
        <v>210</v>
      </c>
      <c r="G104" s="83" t="s">
        <v>211</v>
      </c>
      <c r="H104" s="82">
        <v>2</v>
      </c>
      <c r="I104" s="82" t="s">
        <v>31</v>
      </c>
      <c r="J104" s="82"/>
      <c r="K104" s="81" t="s">
        <v>27</v>
      </c>
      <c r="L104" s="90" t="s">
        <v>28</v>
      </c>
      <c r="M104" s="91"/>
      <c r="N104" s="177"/>
      <c r="O104" s="183"/>
      <c r="P104" s="89"/>
    </row>
    <row r="105" spans="1:16" ht="80.099999999999994" customHeight="1">
      <c r="A105" s="120"/>
      <c r="B105" s="126"/>
      <c r="C105" s="126"/>
      <c r="D105" s="128"/>
      <c r="E105" s="164"/>
      <c r="F105" s="81" t="s">
        <v>210</v>
      </c>
      <c r="G105" s="83" t="s">
        <v>212</v>
      </c>
      <c r="H105" s="82">
        <v>1</v>
      </c>
      <c r="I105" s="82" t="s">
        <v>31</v>
      </c>
      <c r="J105" s="82"/>
      <c r="K105" s="81" t="s">
        <v>27</v>
      </c>
      <c r="L105" s="90" t="s">
        <v>28</v>
      </c>
      <c r="M105" s="92"/>
      <c r="N105" s="178"/>
      <c r="O105" s="184"/>
      <c r="P105" s="89"/>
    </row>
    <row r="106" spans="1:16" ht="80.099999999999994" customHeight="1">
      <c r="A106" s="119">
        <v>11</v>
      </c>
      <c r="B106" s="125" t="s">
        <v>220</v>
      </c>
      <c r="C106" s="125" t="s">
        <v>221</v>
      </c>
      <c r="D106" s="127"/>
      <c r="E106" s="127"/>
      <c r="F106" s="80" t="s">
        <v>19</v>
      </c>
      <c r="G106" s="81" t="s">
        <v>222</v>
      </c>
      <c r="H106" s="82">
        <v>1</v>
      </c>
      <c r="I106" s="83" t="s">
        <v>52</v>
      </c>
      <c r="J106" s="82"/>
      <c r="K106" s="80" t="s">
        <v>22</v>
      </c>
      <c r="L106" s="87" t="s">
        <v>23</v>
      </c>
      <c r="M106" s="88">
        <f>0.776*21</f>
        <v>16.295999999999999</v>
      </c>
      <c r="N106" s="176">
        <f>31.76-13.7</f>
        <v>18.060000000000002</v>
      </c>
      <c r="O106" s="182">
        <f>N106/0.7+M106</f>
        <v>42.096000000000004</v>
      </c>
      <c r="P106" s="89"/>
    </row>
    <row r="107" spans="1:16" ht="80.099999999999994" customHeight="1">
      <c r="A107" s="120"/>
      <c r="B107" s="126"/>
      <c r="C107" s="126"/>
      <c r="D107" s="128"/>
      <c r="E107" s="128"/>
      <c r="F107" s="80" t="s">
        <v>24</v>
      </c>
      <c r="G107" s="81" t="s">
        <v>193</v>
      </c>
      <c r="H107" s="82">
        <v>1</v>
      </c>
      <c r="I107" s="83" t="s">
        <v>159</v>
      </c>
      <c r="J107" s="82"/>
      <c r="K107" s="81" t="s">
        <v>27</v>
      </c>
      <c r="L107" s="90" t="s">
        <v>28</v>
      </c>
      <c r="M107" s="91"/>
      <c r="N107" s="177"/>
      <c r="O107" s="183"/>
      <c r="P107" s="89"/>
    </row>
    <row r="108" spans="1:16" ht="80.099999999999994" customHeight="1">
      <c r="A108" s="120"/>
      <c r="B108" s="126"/>
      <c r="C108" s="126"/>
      <c r="D108" s="128"/>
      <c r="E108" s="128"/>
      <c r="F108" s="81" t="s">
        <v>162</v>
      </c>
      <c r="G108" s="81" t="s">
        <v>163</v>
      </c>
      <c r="H108" s="82">
        <v>1</v>
      </c>
      <c r="I108" s="82" t="s">
        <v>31</v>
      </c>
      <c r="J108" s="82"/>
      <c r="K108" s="81" t="s">
        <v>27</v>
      </c>
      <c r="L108" s="90" t="s">
        <v>28</v>
      </c>
      <c r="M108" s="91"/>
      <c r="N108" s="177"/>
      <c r="O108" s="183"/>
      <c r="P108" s="89"/>
    </row>
    <row r="109" spans="1:16" ht="80.099999999999994" customHeight="1">
      <c r="A109" s="120"/>
      <c r="B109" s="126"/>
      <c r="C109" s="126"/>
      <c r="D109" s="128"/>
      <c r="E109" s="128"/>
      <c r="F109" s="81" t="s">
        <v>162</v>
      </c>
      <c r="G109" s="81" t="s">
        <v>164</v>
      </c>
      <c r="H109" s="82">
        <v>1</v>
      </c>
      <c r="I109" s="82" t="s">
        <v>31</v>
      </c>
      <c r="J109" s="82"/>
      <c r="K109" s="81" t="s">
        <v>27</v>
      </c>
      <c r="L109" s="90" t="s">
        <v>28</v>
      </c>
      <c r="M109" s="91"/>
      <c r="N109" s="177"/>
      <c r="O109" s="183"/>
      <c r="P109" s="89"/>
    </row>
    <row r="110" spans="1:16" ht="80.099999999999994" customHeight="1">
      <c r="A110" s="120"/>
      <c r="B110" s="126"/>
      <c r="C110" s="126"/>
      <c r="D110" s="128"/>
      <c r="E110" s="128"/>
      <c r="F110" s="81" t="s">
        <v>165</v>
      </c>
      <c r="G110" s="83" t="s">
        <v>166</v>
      </c>
      <c r="H110" s="82">
        <v>2</v>
      </c>
      <c r="I110" s="83" t="s">
        <v>133</v>
      </c>
      <c r="J110" s="82"/>
      <c r="K110" s="81" t="s">
        <v>27</v>
      </c>
      <c r="L110" s="90" t="s">
        <v>28</v>
      </c>
      <c r="M110" s="91"/>
      <c r="N110" s="177"/>
      <c r="O110" s="183"/>
      <c r="P110" s="89"/>
    </row>
    <row r="111" spans="1:16" ht="80.099999999999994" customHeight="1">
      <c r="A111" s="120"/>
      <c r="B111" s="126"/>
      <c r="C111" s="126"/>
      <c r="D111" s="128"/>
      <c r="E111" s="128"/>
      <c r="F111" s="81" t="s">
        <v>167</v>
      </c>
      <c r="G111" s="83" t="s">
        <v>179</v>
      </c>
      <c r="H111" s="82">
        <v>1</v>
      </c>
      <c r="I111" s="83" t="s">
        <v>169</v>
      </c>
      <c r="J111" s="82"/>
      <c r="K111" s="81" t="s">
        <v>27</v>
      </c>
      <c r="L111" s="90" t="s">
        <v>28</v>
      </c>
      <c r="M111" s="91"/>
      <c r="N111" s="177"/>
      <c r="O111" s="183"/>
      <c r="P111" s="188" t="s">
        <v>170</v>
      </c>
    </row>
    <row r="112" spans="1:16" ht="80.099999999999994" customHeight="1">
      <c r="A112" s="120"/>
      <c r="B112" s="126"/>
      <c r="C112" s="126"/>
      <c r="D112" s="128"/>
      <c r="E112" s="128"/>
      <c r="F112" s="81" t="s">
        <v>167</v>
      </c>
      <c r="G112" s="83" t="s">
        <v>180</v>
      </c>
      <c r="H112" s="82">
        <v>1</v>
      </c>
      <c r="I112" s="83" t="s">
        <v>169</v>
      </c>
      <c r="J112" s="82"/>
      <c r="K112" s="81" t="s">
        <v>27</v>
      </c>
      <c r="L112" s="90" t="s">
        <v>28</v>
      </c>
      <c r="M112" s="91"/>
      <c r="N112" s="177"/>
      <c r="O112" s="183"/>
      <c r="P112" s="136"/>
    </row>
    <row r="113" spans="1:16" ht="80.099999999999994" customHeight="1">
      <c r="A113" s="120"/>
      <c r="B113" s="126"/>
      <c r="C113" s="126"/>
      <c r="D113" s="128"/>
      <c r="E113" s="128"/>
      <c r="F113" s="81" t="s">
        <v>172</v>
      </c>
      <c r="G113" s="83" t="s">
        <v>223</v>
      </c>
      <c r="H113" s="82">
        <v>1</v>
      </c>
      <c r="I113" s="83" t="s">
        <v>169</v>
      </c>
      <c r="J113" s="82"/>
      <c r="K113" s="81" t="s">
        <v>27</v>
      </c>
      <c r="L113" s="90" t="s">
        <v>28</v>
      </c>
      <c r="M113" s="91"/>
      <c r="N113" s="177"/>
      <c r="O113" s="183"/>
      <c r="P113" s="89"/>
    </row>
    <row r="114" spans="1:16" ht="80.099999999999994" customHeight="1">
      <c r="A114" s="120"/>
      <c r="B114" s="126"/>
      <c r="C114" s="126"/>
      <c r="D114" s="128"/>
      <c r="E114" s="164"/>
      <c r="F114" s="81" t="s">
        <v>145</v>
      </c>
      <c r="G114" s="83" t="s">
        <v>174</v>
      </c>
      <c r="H114" s="82">
        <v>2</v>
      </c>
      <c r="I114" s="82"/>
      <c r="J114" s="82"/>
      <c r="K114" s="80" t="s">
        <v>147</v>
      </c>
      <c r="L114" s="90" t="s">
        <v>28</v>
      </c>
      <c r="M114" s="92"/>
      <c r="N114" s="178"/>
      <c r="O114" s="184"/>
      <c r="P114" s="89"/>
    </row>
    <row r="115" spans="1:16" ht="80.099999999999994" customHeight="1">
      <c r="A115" s="153">
        <v>12</v>
      </c>
      <c r="B115" s="159" t="s">
        <v>224</v>
      </c>
      <c r="C115" s="159" t="s">
        <v>225</v>
      </c>
      <c r="D115" s="163"/>
      <c r="E115" s="170" t="s">
        <v>226</v>
      </c>
      <c r="F115" s="80" t="s">
        <v>19</v>
      </c>
      <c r="G115" s="81" t="s">
        <v>227</v>
      </c>
      <c r="H115" s="82">
        <v>1</v>
      </c>
      <c r="I115" s="83" t="s">
        <v>52</v>
      </c>
      <c r="J115" s="82"/>
      <c r="K115" s="80" t="s">
        <v>22</v>
      </c>
      <c r="L115" s="87" t="s">
        <v>23</v>
      </c>
      <c r="M115" s="88">
        <f>0.78*21</f>
        <v>16.38</v>
      </c>
      <c r="N115" s="173">
        <f>33.83-13.7436</f>
        <v>20.086399999999998</v>
      </c>
      <c r="O115" s="182">
        <f>N115/0.7+M115</f>
        <v>45.074857142857141</v>
      </c>
      <c r="P115" s="89"/>
    </row>
    <row r="116" spans="1:16" ht="80.099999999999994" customHeight="1">
      <c r="A116" s="153"/>
      <c r="B116" s="159"/>
      <c r="C116" s="159"/>
      <c r="D116" s="163"/>
      <c r="E116" s="171"/>
      <c r="F116" s="80" t="s">
        <v>24</v>
      </c>
      <c r="G116" s="81" t="s">
        <v>228</v>
      </c>
      <c r="H116" s="82">
        <v>1</v>
      </c>
      <c r="I116" s="83" t="s">
        <v>26</v>
      </c>
      <c r="J116" s="82"/>
      <c r="K116" s="81" t="s">
        <v>27</v>
      </c>
      <c r="L116" s="90" t="s">
        <v>28</v>
      </c>
      <c r="M116" s="91"/>
      <c r="N116" s="174"/>
      <c r="O116" s="183"/>
      <c r="P116" s="89"/>
    </row>
    <row r="117" spans="1:16" ht="80.099999999999994" customHeight="1">
      <c r="A117" s="153"/>
      <c r="B117" s="159"/>
      <c r="C117" s="159"/>
      <c r="D117" s="163"/>
      <c r="E117" s="128"/>
      <c r="F117" s="80" t="s">
        <v>24</v>
      </c>
      <c r="G117" s="81" t="s">
        <v>229</v>
      </c>
      <c r="H117" s="82">
        <v>1</v>
      </c>
      <c r="I117" s="83" t="s">
        <v>26</v>
      </c>
      <c r="J117" s="82"/>
      <c r="K117" s="81" t="s">
        <v>27</v>
      </c>
      <c r="L117" s="90" t="s">
        <v>28</v>
      </c>
      <c r="M117" s="91"/>
      <c r="N117" s="174"/>
      <c r="O117" s="183"/>
      <c r="P117" s="89"/>
    </row>
    <row r="118" spans="1:16" ht="80.099999999999994" customHeight="1">
      <c r="A118" s="153"/>
      <c r="B118" s="159"/>
      <c r="C118" s="159"/>
      <c r="D118" s="163"/>
      <c r="E118" s="128"/>
      <c r="F118" s="81" t="s">
        <v>165</v>
      </c>
      <c r="G118" s="81" t="s">
        <v>230</v>
      </c>
      <c r="H118" s="82">
        <v>2</v>
      </c>
      <c r="I118" s="83" t="s">
        <v>133</v>
      </c>
      <c r="J118" s="82"/>
      <c r="K118" s="81" t="s">
        <v>27</v>
      </c>
      <c r="L118" s="90" t="s">
        <v>28</v>
      </c>
      <c r="M118" s="91"/>
      <c r="N118" s="174"/>
      <c r="O118" s="183"/>
      <c r="P118" s="89"/>
    </row>
    <row r="119" spans="1:16" ht="80.099999999999994" customHeight="1">
      <c r="A119" s="153"/>
      <c r="B119" s="159"/>
      <c r="C119" s="159"/>
      <c r="D119" s="163"/>
      <c r="E119" s="128"/>
      <c r="F119" s="81" t="s">
        <v>167</v>
      </c>
      <c r="G119" s="81" t="s">
        <v>231</v>
      </c>
      <c r="H119" s="82">
        <v>1</v>
      </c>
      <c r="I119" s="83" t="s">
        <v>169</v>
      </c>
      <c r="J119" s="82"/>
      <c r="K119" s="81" t="s">
        <v>27</v>
      </c>
      <c r="L119" s="90" t="s">
        <v>28</v>
      </c>
      <c r="M119" s="91"/>
      <c r="N119" s="174"/>
      <c r="O119" s="183"/>
      <c r="P119" s="89"/>
    </row>
    <row r="120" spans="1:16" ht="80.099999999999994" customHeight="1">
      <c r="A120" s="153"/>
      <c r="B120" s="159"/>
      <c r="C120" s="159"/>
      <c r="D120" s="163"/>
      <c r="E120" s="128"/>
      <c r="F120" s="81" t="s">
        <v>172</v>
      </c>
      <c r="G120" s="81" t="s">
        <v>232</v>
      </c>
      <c r="H120" s="82">
        <v>1</v>
      </c>
      <c r="I120" s="83" t="s">
        <v>169</v>
      </c>
      <c r="J120" s="82"/>
      <c r="K120" s="81" t="s">
        <v>27</v>
      </c>
      <c r="L120" s="90" t="s">
        <v>28</v>
      </c>
      <c r="M120" s="91"/>
      <c r="N120" s="174"/>
      <c r="O120" s="183"/>
      <c r="P120" s="188" t="s">
        <v>170</v>
      </c>
    </row>
    <row r="121" spans="1:16" ht="80.099999999999994" customHeight="1">
      <c r="A121" s="153"/>
      <c r="B121" s="159"/>
      <c r="C121" s="159"/>
      <c r="D121" s="163"/>
      <c r="E121" s="128"/>
      <c r="F121" s="81" t="s">
        <v>172</v>
      </c>
      <c r="G121" s="81" t="s">
        <v>233</v>
      </c>
      <c r="H121" s="82">
        <v>1</v>
      </c>
      <c r="I121" s="83" t="s">
        <v>169</v>
      </c>
      <c r="J121" s="82"/>
      <c r="K121" s="81" t="s">
        <v>27</v>
      </c>
      <c r="L121" s="90" t="s">
        <v>28</v>
      </c>
      <c r="M121" s="91"/>
      <c r="N121" s="174"/>
      <c r="O121" s="183"/>
      <c r="P121" s="136"/>
    </row>
    <row r="122" spans="1:16" ht="80.099999999999994" customHeight="1">
      <c r="A122" s="153"/>
      <c r="B122" s="159"/>
      <c r="C122" s="159"/>
      <c r="D122" s="163"/>
      <c r="E122" s="128"/>
      <c r="F122" s="81" t="s">
        <v>75</v>
      </c>
      <c r="G122" s="81" t="s">
        <v>234</v>
      </c>
      <c r="H122" s="82">
        <v>4</v>
      </c>
      <c r="I122" s="82"/>
      <c r="J122" s="82"/>
      <c r="K122" s="81" t="s">
        <v>147</v>
      </c>
      <c r="L122" s="90" t="s">
        <v>28</v>
      </c>
      <c r="M122" s="91"/>
      <c r="N122" s="174"/>
      <c r="O122" s="183"/>
      <c r="P122" s="89"/>
    </row>
    <row r="123" spans="1:16" ht="80.099999999999994" customHeight="1">
      <c r="A123" s="153"/>
      <c r="B123" s="159"/>
      <c r="C123" s="159"/>
      <c r="D123" s="163"/>
      <c r="E123" s="128"/>
      <c r="F123" s="81" t="s">
        <v>235</v>
      </c>
      <c r="G123" s="81" t="s">
        <v>236</v>
      </c>
      <c r="H123" s="82">
        <v>1</v>
      </c>
      <c r="I123" s="82" t="s">
        <v>237</v>
      </c>
      <c r="J123" s="82"/>
      <c r="K123" s="81" t="s">
        <v>27</v>
      </c>
      <c r="L123" s="90" t="s">
        <v>28</v>
      </c>
      <c r="M123" s="91"/>
      <c r="N123" s="174"/>
      <c r="O123" s="183"/>
      <c r="P123" s="89"/>
    </row>
    <row r="124" spans="1:16" ht="80.099999999999994" customHeight="1">
      <c r="A124" s="153"/>
      <c r="B124" s="159"/>
      <c r="C124" s="159"/>
      <c r="D124" s="163"/>
      <c r="E124" s="128"/>
      <c r="F124" s="81" t="s">
        <v>235</v>
      </c>
      <c r="G124" s="81" t="s">
        <v>238</v>
      </c>
      <c r="H124" s="82">
        <v>1</v>
      </c>
      <c r="I124" s="82" t="s">
        <v>237</v>
      </c>
      <c r="J124" s="82"/>
      <c r="K124" s="81" t="s">
        <v>27</v>
      </c>
      <c r="L124" s="90" t="s">
        <v>28</v>
      </c>
      <c r="M124" s="91"/>
      <c r="N124" s="174"/>
      <c r="O124" s="183"/>
      <c r="P124" s="89"/>
    </row>
    <row r="125" spans="1:16" ht="80.099999999999994" customHeight="1">
      <c r="A125" s="153"/>
      <c r="B125" s="159"/>
      <c r="C125" s="159"/>
      <c r="D125" s="163"/>
      <c r="E125" s="128"/>
      <c r="F125" s="81" t="s">
        <v>210</v>
      </c>
      <c r="G125" s="83" t="s">
        <v>239</v>
      </c>
      <c r="H125" s="82">
        <v>1</v>
      </c>
      <c r="I125" s="82" t="s">
        <v>31</v>
      </c>
      <c r="J125" s="82"/>
      <c r="K125" s="81" t="s">
        <v>27</v>
      </c>
      <c r="L125" s="90" t="s">
        <v>28</v>
      </c>
      <c r="M125" s="91"/>
      <c r="N125" s="174"/>
      <c r="O125" s="183"/>
      <c r="P125" s="89"/>
    </row>
    <row r="126" spans="1:16" ht="80.099999999999994" customHeight="1">
      <c r="A126" s="153"/>
      <c r="B126" s="159"/>
      <c r="C126" s="159"/>
      <c r="D126" s="163"/>
      <c r="E126" s="128"/>
      <c r="F126" s="81" t="s">
        <v>210</v>
      </c>
      <c r="G126" s="83" t="s">
        <v>240</v>
      </c>
      <c r="H126" s="82">
        <v>1</v>
      </c>
      <c r="I126" s="82" t="s">
        <v>31</v>
      </c>
      <c r="J126" s="82"/>
      <c r="K126" s="81" t="s">
        <v>27</v>
      </c>
      <c r="L126" s="90" t="s">
        <v>28</v>
      </c>
      <c r="M126" s="91"/>
      <c r="N126" s="174"/>
      <c r="O126" s="183"/>
      <c r="P126" s="89"/>
    </row>
    <row r="127" spans="1:16" ht="80.099999999999994" customHeight="1">
      <c r="A127" s="153"/>
      <c r="B127" s="159"/>
      <c r="C127" s="159"/>
      <c r="D127" s="163"/>
      <c r="E127" s="128"/>
      <c r="F127" s="81" t="s">
        <v>210</v>
      </c>
      <c r="G127" s="83" t="s">
        <v>241</v>
      </c>
      <c r="H127" s="82">
        <v>1</v>
      </c>
      <c r="I127" s="82" t="s">
        <v>31</v>
      </c>
      <c r="J127" s="82"/>
      <c r="K127" s="81" t="s">
        <v>27</v>
      </c>
      <c r="L127" s="90" t="s">
        <v>28</v>
      </c>
      <c r="M127" s="91"/>
      <c r="N127" s="174"/>
      <c r="O127" s="183"/>
      <c r="P127" s="89"/>
    </row>
    <row r="128" spans="1:16" ht="80.099999999999994" customHeight="1">
      <c r="A128" s="153"/>
      <c r="B128" s="159"/>
      <c r="C128" s="159"/>
      <c r="D128" s="163"/>
      <c r="E128" s="164"/>
      <c r="F128" s="81" t="s">
        <v>210</v>
      </c>
      <c r="G128" s="82" t="s">
        <v>242</v>
      </c>
      <c r="H128" s="82">
        <v>1</v>
      </c>
      <c r="I128" s="82" t="s">
        <v>31</v>
      </c>
      <c r="J128" s="82"/>
      <c r="K128" s="81" t="s">
        <v>27</v>
      </c>
      <c r="L128" s="90" t="s">
        <v>28</v>
      </c>
      <c r="M128" s="92"/>
      <c r="N128" s="175"/>
      <c r="O128" s="184"/>
      <c r="P128" s="89"/>
    </row>
    <row r="129" spans="1:16" ht="80.099999999999994" customHeight="1">
      <c r="A129" s="154">
        <v>13</v>
      </c>
      <c r="B129" s="159" t="s">
        <v>243</v>
      </c>
      <c r="C129" s="159" t="s">
        <v>244</v>
      </c>
      <c r="D129" s="163"/>
      <c r="E129" s="170" t="s">
        <v>226</v>
      </c>
      <c r="F129" s="80" t="s">
        <v>19</v>
      </c>
      <c r="G129" s="81" t="s">
        <v>245</v>
      </c>
      <c r="H129" s="82">
        <v>1</v>
      </c>
      <c r="I129" s="83" t="s">
        <v>52</v>
      </c>
      <c r="J129" s="82"/>
      <c r="K129" s="80" t="s">
        <v>22</v>
      </c>
      <c r="L129" s="87" t="s">
        <v>23</v>
      </c>
      <c r="M129" s="88"/>
      <c r="N129" s="176">
        <f>33.42-12.9859</f>
        <v>20.434100000000001</v>
      </c>
      <c r="O129" s="182">
        <f>N129/0.7+M132</f>
        <v>44.668571428571433</v>
      </c>
      <c r="P129" s="89"/>
    </row>
    <row r="130" spans="1:16" ht="80.099999999999994" customHeight="1">
      <c r="A130" s="154"/>
      <c r="B130" s="159"/>
      <c r="C130" s="159"/>
      <c r="D130" s="163"/>
      <c r="E130" s="171"/>
      <c r="F130" s="80" t="s">
        <v>24</v>
      </c>
      <c r="G130" s="81" t="s">
        <v>228</v>
      </c>
      <c r="H130" s="82">
        <v>1</v>
      </c>
      <c r="I130" s="83" t="s">
        <v>26</v>
      </c>
      <c r="J130" s="82"/>
      <c r="K130" s="81" t="s">
        <v>27</v>
      </c>
      <c r="L130" s="90" t="s">
        <v>28</v>
      </c>
      <c r="M130" s="91"/>
      <c r="N130" s="177"/>
      <c r="O130" s="183"/>
      <c r="P130" s="89"/>
    </row>
    <row r="131" spans="1:16" ht="80.099999999999994" customHeight="1">
      <c r="A131" s="154"/>
      <c r="B131" s="159"/>
      <c r="C131" s="159"/>
      <c r="D131" s="163"/>
      <c r="E131" s="128"/>
      <c r="F131" s="80" t="s">
        <v>24</v>
      </c>
      <c r="G131" s="81" t="s">
        <v>229</v>
      </c>
      <c r="H131" s="82">
        <v>1</v>
      </c>
      <c r="I131" s="83" t="s">
        <v>26</v>
      </c>
      <c r="J131" s="82"/>
      <c r="K131" s="81" t="s">
        <v>27</v>
      </c>
      <c r="L131" s="90" t="s">
        <v>28</v>
      </c>
      <c r="M131" s="91"/>
      <c r="N131" s="177"/>
      <c r="O131" s="183"/>
      <c r="P131" s="89"/>
    </row>
    <row r="132" spans="1:16" ht="80.099999999999994" customHeight="1">
      <c r="A132" s="154"/>
      <c r="B132" s="159"/>
      <c r="C132" s="159"/>
      <c r="D132" s="163"/>
      <c r="E132" s="128"/>
      <c r="F132" s="80" t="s">
        <v>24</v>
      </c>
      <c r="G132" s="81" t="s">
        <v>246</v>
      </c>
      <c r="H132" s="82">
        <v>1</v>
      </c>
      <c r="I132" s="83" t="s">
        <v>26</v>
      </c>
      <c r="J132" s="82"/>
      <c r="K132" s="81" t="s">
        <v>27</v>
      </c>
      <c r="L132" s="90" t="s">
        <v>28</v>
      </c>
      <c r="M132" s="91">
        <f>0.737*21</f>
        <v>15.477</v>
      </c>
      <c r="N132" s="177"/>
      <c r="O132" s="183"/>
      <c r="P132" s="89"/>
    </row>
    <row r="133" spans="1:16" ht="80.099999999999994" customHeight="1">
      <c r="A133" s="154"/>
      <c r="B133" s="159"/>
      <c r="C133" s="159"/>
      <c r="D133" s="163"/>
      <c r="E133" s="128"/>
      <c r="F133" s="81" t="s">
        <v>165</v>
      </c>
      <c r="G133" s="81" t="s">
        <v>230</v>
      </c>
      <c r="H133" s="82">
        <v>2</v>
      </c>
      <c r="I133" s="83" t="s">
        <v>133</v>
      </c>
      <c r="J133" s="82"/>
      <c r="K133" s="81" t="s">
        <v>27</v>
      </c>
      <c r="L133" s="90" t="s">
        <v>28</v>
      </c>
      <c r="M133" s="91"/>
      <c r="N133" s="177"/>
      <c r="O133" s="183"/>
      <c r="P133" s="89"/>
    </row>
    <row r="134" spans="1:16" ht="80.099999999999994" customHeight="1">
      <c r="A134" s="154"/>
      <c r="B134" s="159"/>
      <c r="C134" s="159"/>
      <c r="D134" s="163"/>
      <c r="E134" s="128"/>
      <c r="F134" s="81" t="s">
        <v>167</v>
      </c>
      <c r="G134" s="81" t="s">
        <v>231</v>
      </c>
      <c r="H134" s="82">
        <v>1</v>
      </c>
      <c r="I134" s="83" t="s">
        <v>169</v>
      </c>
      <c r="J134" s="82"/>
      <c r="K134" s="81" t="s">
        <v>27</v>
      </c>
      <c r="L134" s="90" t="s">
        <v>28</v>
      </c>
      <c r="M134" s="91"/>
      <c r="N134" s="177"/>
      <c r="O134" s="183"/>
      <c r="P134" s="89"/>
    </row>
    <row r="135" spans="1:16" ht="80.099999999999994" customHeight="1">
      <c r="A135" s="154"/>
      <c r="B135" s="159"/>
      <c r="C135" s="159"/>
      <c r="D135" s="163"/>
      <c r="E135" s="128"/>
      <c r="F135" s="81" t="s">
        <v>172</v>
      </c>
      <c r="G135" s="81" t="s">
        <v>232</v>
      </c>
      <c r="H135" s="82">
        <v>1</v>
      </c>
      <c r="I135" s="83" t="s">
        <v>169</v>
      </c>
      <c r="J135" s="82"/>
      <c r="K135" s="81" t="s">
        <v>27</v>
      </c>
      <c r="L135" s="90" t="s">
        <v>28</v>
      </c>
      <c r="M135" s="91"/>
      <c r="N135" s="177"/>
      <c r="O135" s="183"/>
      <c r="P135" s="188" t="s">
        <v>170</v>
      </c>
    </row>
    <row r="136" spans="1:16" ht="80.099999999999994" customHeight="1">
      <c r="A136" s="154"/>
      <c r="B136" s="159"/>
      <c r="C136" s="159"/>
      <c r="D136" s="163"/>
      <c r="E136" s="128"/>
      <c r="F136" s="81" t="s">
        <v>172</v>
      </c>
      <c r="G136" s="81" t="s">
        <v>233</v>
      </c>
      <c r="H136" s="82">
        <v>1</v>
      </c>
      <c r="I136" s="83" t="s">
        <v>169</v>
      </c>
      <c r="J136" s="82"/>
      <c r="K136" s="81" t="s">
        <v>27</v>
      </c>
      <c r="L136" s="90" t="s">
        <v>28</v>
      </c>
      <c r="M136" s="91"/>
      <c r="N136" s="177"/>
      <c r="O136" s="183"/>
      <c r="P136" s="136"/>
    </row>
    <row r="137" spans="1:16" ht="80.099999999999994" customHeight="1">
      <c r="A137" s="154"/>
      <c r="B137" s="159"/>
      <c r="C137" s="159"/>
      <c r="D137" s="163"/>
      <c r="E137" s="128"/>
      <c r="F137" s="81" t="s">
        <v>75</v>
      </c>
      <c r="G137" s="81" t="s">
        <v>234</v>
      </c>
      <c r="H137" s="82">
        <v>4</v>
      </c>
      <c r="I137" s="82"/>
      <c r="J137" s="82"/>
      <c r="K137" s="81" t="s">
        <v>147</v>
      </c>
      <c r="L137" s="90" t="s">
        <v>28</v>
      </c>
      <c r="M137" s="91"/>
      <c r="N137" s="177"/>
      <c r="O137" s="183"/>
      <c r="P137" s="89"/>
    </row>
    <row r="138" spans="1:16" ht="80.099999999999994" customHeight="1">
      <c r="A138" s="154"/>
      <c r="B138" s="159"/>
      <c r="C138" s="159"/>
      <c r="D138" s="163"/>
      <c r="E138" s="128"/>
      <c r="F138" s="81" t="s">
        <v>235</v>
      </c>
      <c r="G138" s="81" t="s">
        <v>236</v>
      </c>
      <c r="H138" s="82">
        <v>1</v>
      </c>
      <c r="I138" s="82" t="s">
        <v>237</v>
      </c>
      <c r="J138" s="82"/>
      <c r="K138" s="81" t="s">
        <v>27</v>
      </c>
      <c r="L138" s="90" t="s">
        <v>28</v>
      </c>
      <c r="M138" s="91"/>
      <c r="N138" s="177"/>
      <c r="O138" s="183"/>
      <c r="P138" s="89"/>
    </row>
    <row r="139" spans="1:16" ht="80.099999999999994" customHeight="1">
      <c r="A139" s="154"/>
      <c r="B139" s="159"/>
      <c r="C139" s="159"/>
      <c r="D139" s="163"/>
      <c r="E139" s="128"/>
      <c r="F139" s="81" t="s">
        <v>235</v>
      </c>
      <c r="G139" s="81" t="s">
        <v>238</v>
      </c>
      <c r="H139" s="82">
        <v>1</v>
      </c>
      <c r="I139" s="82" t="s">
        <v>237</v>
      </c>
      <c r="J139" s="82"/>
      <c r="K139" s="81" t="s">
        <v>27</v>
      </c>
      <c r="L139" s="90" t="s">
        <v>28</v>
      </c>
      <c r="M139" s="91"/>
      <c r="N139" s="177"/>
      <c r="O139" s="183"/>
      <c r="P139" s="89"/>
    </row>
    <row r="140" spans="1:16" ht="80.099999999999994" customHeight="1">
      <c r="A140" s="154"/>
      <c r="B140" s="159"/>
      <c r="C140" s="159"/>
      <c r="D140" s="163"/>
      <c r="E140" s="128"/>
      <c r="F140" s="81" t="s">
        <v>210</v>
      </c>
      <c r="G140" s="83" t="s">
        <v>239</v>
      </c>
      <c r="H140" s="82">
        <v>1</v>
      </c>
      <c r="I140" s="82" t="s">
        <v>31</v>
      </c>
      <c r="J140" s="82"/>
      <c r="K140" s="81" t="s">
        <v>27</v>
      </c>
      <c r="L140" s="90" t="s">
        <v>28</v>
      </c>
      <c r="M140" s="91"/>
      <c r="N140" s="177"/>
      <c r="O140" s="183"/>
      <c r="P140" s="89"/>
    </row>
    <row r="141" spans="1:16" ht="80.099999999999994" customHeight="1">
      <c r="A141" s="154"/>
      <c r="B141" s="159"/>
      <c r="C141" s="159"/>
      <c r="D141" s="163"/>
      <c r="E141" s="128"/>
      <c r="F141" s="81" t="s">
        <v>210</v>
      </c>
      <c r="G141" s="83" t="s">
        <v>240</v>
      </c>
      <c r="H141" s="82">
        <v>1</v>
      </c>
      <c r="I141" s="82" t="s">
        <v>31</v>
      </c>
      <c r="J141" s="82"/>
      <c r="K141" s="81" t="s">
        <v>27</v>
      </c>
      <c r="L141" s="90" t="s">
        <v>28</v>
      </c>
      <c r="M141" s="91"/>
      <c r="N141" s="177"/>
      <c r="O141" s="183"/>
      <c r="P141" s="89"/>
    </row>
    <row r="142" spans="1:16" ht="80.099999999999994" customHeight="1">
      <c r="A142" s="154"/>
      <c r="B142" s="159"/>
      <c r="C142" s="159"/>
      <c r="D142" s="163"/>
      <c r="E142" s="128"/>
      <c r="F142" s="81" t="s">
        <v>210</v>
      </c>
      <c r="G142" s="83" t="s">
        <v>241</v>
      </c>
      <c r="H142" s="82">
        <v>1</v>
      </c>
      <c r="I142" s="82" t="s">
        <v>31</v>
      </c>
      <c r="J142" s="82"/>
      <c r="K142" s="81" t="s">
        <v>27</v>
      </c>
      <c r="L142" s="90" t="s">
        <v>28</v>
      </c>
      <c r="M142" s="91"/>
      <c r="N142" s="177"/>
      <c r="O142" s="183"/>
      <c r="P142" s="89"/>
    </row>
    <row r="143" spans="1:16" ht="80.099999999999994" customHeight="1">
      <c r="A143" s="154"/>
      <c r="B143" s="159"/>
      <c r="C143" s="159"/>
      <c r="D143" s="163"/>
      <c r="E143" s="164"/>
      <c r="F143" s="81" t="s">
        <v>210</v>
      </c>
      <c r="G143" s="82" t="s">
        <v>242</v>
      </c>
      <c r="H143" s="82">
        <v>1</v>
      </c>
      <c r="I143" s="82" t="s">
        <v>31</v>
      </c>
      <c r="J143" s="82"/>
      <c r="K143" s="81" t="s">
        <v>27</v>
      </c>
      <c r="L143" s="90" t="s">
        <v>28</v>
      </c>
      <c r="M143" s="92"/>
      <c r="N143" s="178"/>
      <c r="O143" s="184"/>
      <c r="P143" s="89"/>
    </row>
    <row r="144" spans="1:16" ht="80.099999999999994" customHeight="1">
      <c r="A144" s="151">
        <v>14</v>
      </c>
      <c r="B144" s="125" t="s">
        <v>247</v>
      </c>
      <c r="C144" s="125" t="s">
        <v>248</v>
      </c>
      <c r="D144" s="127"/>
      <c r="E144" s="167" t="s">
        <v>226</v>
      </c>
      <c r="F144" s="80" t="s">
        <v>19</v>
      </c>
      <c r="G144" s="81" t="s">
        <v>249</v>
      </c>
      <c r="H144" s="82">
        <v>1</v>
      </c>
      <c r="I144" s="83" t="s">
        <v>52</v>
      </c>
      <c r="J144" s="82"/>
      <c r="K144" s="80" t="s">
        <v>22</v>
      </c>
      <c r="L144" s="87" t="s">
        <v>23</v>
      </c>
      <c r="M144" s="88">
        <f>21*1.1017</f>
        <v>23.135699999999996</v>
      </c>
      <c r="N144" s="173">
        <f>41.32-17.9195</f>
        <v>23.400500000000001</v>
      </c>
      <c r="O144" s="182">
        <f>N144/0.7+M144</f>
        <v>56.564985714285712</v>
      </c>
      <c r="P144" s="89"/>
    </row>
    <row r="145" spans="1:16" ht="80.099999999999994" customHeight="1">
      <c r="A145" s="152"/>
      <c r="B145" s="126"/>
      <c r="C145" s="126"/>
      <c r="D145" s="128"/>
      <c r="E145" s="168"/>
      <c r="F145" s="80" t="s">
        <v>24</v>
      </c>
      <c r="G145" s="81" t="s">
        <v>250</v>
      </c>
      <c r="H145" s="82">
        <v>1</v>
      </c>
      <c r="I145" s="83" t="s">
        <v>26</v>
      </c>
      <c r="J145" s="82"/>
      <c r="K145" s="81" t="s">
        <v>27</v>
      </c>
      <c r="L145" s="90" t="s">
        <v>28</v>
      </c>
      <c r="M145" s="91"/>
      <c r="N145" s="174"/>
      <c r="O145" s="183"/>
      <c r="P145" s="89"/>
    </row>
    <row r="146" spans="1:16" ht="80.099999999999994" customHeight="1">
      <c r="A146" s="152"/>
      <c r="B146" s="126"/>
      <c r="C146" s="126"/>
      <c r="D146" s="128"/>
      <c r="E146" s="128"/>
      <c r="F146" s="80" t="s">
        <v>24</v>
      </c>
      <c r="G146" s="81" t="s">
        <v>251</v>
      </c>
      <c r="H146" s="82">
        <v>1</v>
      </c>
      <c r="I146" s="83" t="s">
        <v>26</v>
      </c>
      <c r="J146" s="82"/>
      <c r="K146" s="81" t="s">
        <v>27</v>
      </c>
      <c r="L146" s="90" t="s">
        <v>28</v>
      </c>
      <c r="M146" s="91"/>
      <c r="N146" s="174"/>
      <c r="O146" s="183"/>
      <c r="P146" s="89"/>
    </row>
    <row r="147" spans="1:16" ht="80.099999999999994" customHeight="1">
      <c r="A147" s="152"/>
      <c r="B147" s="126"/>
      <c r="C147" s="126"/>
      <c r="D147" s="128"/>
      <c r="E147" s="128"/>
      <c r="F147" s="81" t="s">
        <v>165</v>
      </c>
      <c r="G147" s="81" t="s">
        <v>230</v>
      </c>
      <c r="H147" s="82">
        <v>2</v>
      </c>
      <c r="I147" s="83" t="s">
        <v>133</v>
      </c>
      <c r="J147" s="82"/>
      <c r="K147" s="81" t="s">
        <v>27</v>
      </c>
      <c r="L147" s="90" t="s">
        <v>28</v>
      </c>
      <c r="M147" s="91"/>
      <c r="N147" s="174"/>
      <c r="O147" s="183"/>
      <c r="P147" s="89"/>
    </row>
    <row r="148" spans="1:16" ht="80.099999999999994" customHeight="1">
      <c r="A148" s="152"/>
      <c r="B148" s="126"/>
      <c r="C148" s="126"/>
      <c r="D148" s="128"/>
      <c r="E148" s="128"/>
      <c r="F148" s="81" t="s">
        <v>167</v>
      </c>
      <c r="G148" s="81" t="s">
        <v>231</v>
      </c>
      <c r="H148" s="82">
        <v>1</v>
      </c>
      <c r="I148" s="83" t="s">
        <v>169</v>
      </c>
      <c r="J148" s="82"/>
      <c r="K148" s="81" t="s">
        <v>27</v>
      </c>
      <c r="L148" s="90" t="s">
        <v>28</v>
      </c>
      <c r="M148" s="91"/>
      <c r="N148" s="174"/>
      <c r="O148" s="183"/>
      <c r="P148" s="89"/>
    </row>
    <row r="149" spans="1:16" ht="80.099999999999994" customHeight="1">
      <c r="A149" s="152"/>
      <c r="B149" s="126"/>
      <c r="C149" s="126"/>
      <c r="D149" s="128"/>
      <c r="E149" s="128"/>
      <c r="F149" s="81" t="s">
        <v>172</v>
      </c>
      <c r="G149" s="81" t="s">
        <v>232</v>
      </c>
      <c r="H149" s="82">
        <v>1</v>
      </c>
      <c r="I149" s="83" t="s">
        <v>169</v>
      </c>
      <c r="J149" s="82"/>
      <c r="K149" s="81" t="s">
        <v>27</v>
      </c>
      <c r="L149" s="90" t="s">
        <v>28</v>
      </c>
      <c r="M149" s="91"/>
      <c r="N149" s="174"/>
      <c r="O149" s="183"/>
      <c r="P149" s="188" t="s">
        <v>170</v>
      </c>
    </row>
    <row r="150" spans="1:16" ht="80.099999999999994" customHeight="1">
      <c r="A150" s="152"/>
      <c r="B150" s="126"/>
      <c r="C150" s="126"/>
      <c r="D150" s="128"/>
      <c r="E150" s="128"/>
      <c r="F150" s="81" t="s">
        <v>172</v>
      </c>
      <c r="G150" s="81" t="s">
        <v>233</v>
      </c>
      <c r="H150" s="82">
        <v>1</v>
      </c>
      <c r="I150" s="83" t="s">
        <v>169</v>
      </c>
      <c r="J150" s="82"/>
      <c r="K150" s="81" t="s">
        <v>27</v>
      </c>
      <c r="L150" s="90" t="s">
        <v>28</v>
      </c>
      <c r="M150" s="91"/>
      <c r="N150" s="174"/>
      <c r="O150" s="183"/>
      <c r="P150" s="136"/>
    </row>
    <row r="151" spans="1:16" ht="80.099999999999994" customHeight="1">
      <c r="A151" s="152"/>
      <c r="B151" s="126"/>
      <c r="C151" s="126"/>
      <c r="D151" s="128"/>
      <c r="E151" s="128"/>
      <c r="F151" s="81" t="s">
        <v>75</v>
      </c>
      <c r="G151" s="81" t="s">
        <v>234</v>
      </c>
      <c r="H151" s="82">
        <v>6</v>
      </c>
      <c r="I151" s="82"/>
      <c r="J151" s="82"/>
      <c r="K151" s="81" t="s">
        <v>147</v>
      </c>
      <c r="L151" s="90" t="s">
        <v>28</v>
      </c>
      <c r="M151" s="91"/>
      <c r="N151" s="174"/>
      <c r="O151" s="183"/>
      <c r="P151" s="89"/>
    </row>
    <row r="152" spans="1:16" ht="80.099999999999994" customHeight="1">
      <c r="A152" s="152"/>
      <c r="B152" s="126"/>
      <c r="C152" s="126"/>
      <c r="D152" s="128"/>
      <c r="E152" s="128"/>
      <c r="F152" s="81" t="s">
        <v>235</v>
      </c>
      <c r="G152" s="81" t="s">
        <v>236</v>
      </c>
      <c r="H152" s="82">
        <v>1</v>
      </c>
      <c r="I152" s="82" t="s">
        <v>237</v>
      </c>
      <c r="J152" s="82"/>
      <c r="K152" s="81" t="s">
        <v>27</v>
      </c>
      <c r="L152" s="90" t="s">
        <v>28</v>
      </c>
      <c r="M152" s="91"/>
      <c r="N152" s="174"/>
      <c r="O152" s="183"/>
      <c r="P152" s="89"/>
    </row>
    <row r="153" spans="1:16" ht="80.099999999999994" customHeight="1">
      <c r="A153" s="152"/>
      <c r="B153" s="126"/>
      <c r="C153" s="126"/>
      <c r="D153" s="128"/>
      <c r="E153" s="128"/>
      <c r="F153" s="81" t="s">
        <v>235</v>
      </c>
      <c r="G153" s="81" t="s">
        <v>252</v>
      </c>
      <c r="H153" s="82">
        <v>1</v>
      </c>
      <c r="I153" s="82" t="s">
        <v>237</v>
      </c>
      <c r="J153" s="82"/>
      <c r="K153" s="81" t="s">
        <v>27</v>
      </c>
      <c r="L153" s="90" t="s">
        <v>28</v>
      </c>
      <c r="M153" s="91"/>
      <c r="N153" s="174"/>
      <c r="O153" s="183"/>
      <c r="P153" s="89"/>
    </row>
    <row r="154" spans="1:16" ht="80.099999999999994" customHeight="1">
      <c r="A154" s="152"/>
      <c r="B154" s="126"/>
      <c r="C154" s="126"/>
      <c r="D154" s="128"/>
      <c r="E154" s="128"/>
      <c r="F154" s="81" t="s">
        <v>235</v>
      </c>
      <c r="G154" s="81" t="s">
        <v>253</v>
      </c>
      <c r="H154" s="82">
        <v>1</v>
      </c>
      <c r="I154" s="82" t="s">
        <v>237</v>
      </c>
      <c r="J154" s="82"/>
      <c r="K154" s="81" t="s">
        <v>27</v>
      </c>
      <c r="L154" s="90" t="s">
        <v>28</v>
      </c>
      <c r="M154" s="91"/>
      <c r="N154" s="174"/>
      <c r="O154" s="183"/>
      <c r="P154" s="89"/>
    </row>
    <row r="155" spans="1:16" ht="80.099999999999994" customHeight="1">
      <c r="A155" s="152"/>
      <c r="B155" s="126"/>
      <c r="C155" s="126"/>
      <c r="D155" s="128"/>
      <c r="E155" s="128"/>
      <c r="F155" s="81" t="s">
        <v>210</v>
      </c>
      <c r="G155" s="83" t="s">
        <v>239</v>
      </c>
      <c r="H155" s="82">
        <v>1</v>
      </c>
      <c r="I155" s="82" t="s">
        <v>31</v>
      </c>
      <c r="J155" s="82"/>
      <c r="K155" s="81" t="s">
        <v>27</v>
      </c>
      <c r="L155" s="90" t="s">
        <v>28</v>
      </c>
      <c r="M155" s="91"/>
      <c r="N155" s="174"/>
      <c r="O155" s="183"/>
      <c r="P155" s="89"/>
    </row>
    <row r="156" spans="1:16" ht="80.099999999999994" customHeight="1">
      <c r="A156" s="152"/>
      <c r="B156" s="126"/>
      <c r="C156" s="126"/>
      <c r="D156" s="128"/>
      <c r="E156" s="128"/>
      <c r="F156" s="81" t="s">
        <v>210</v>
      </c>
      <c r="G156" s="83" t="s">
        <v>240</v>
      </c>
      <c r="H156" s="82">
        <v>1</v>
      </c>
      <c r="I156" s="82" t="s">
        <v>31</v>
      </c>
      <c r="J156" s="82"/>
      <c r="K156" s="81" t="s">
        <v>27</v>
      </c>
      <c r="L156" s="90" t="s">
        <v>28</v>
      </c>
      <c r="M156" s="91"/>
      <c r="N156" s="174"/>
      <c r="O156" s="183"/>
      <c r="P156" s="89"/>
    </row>
    <row r="157" spans="1:16" ht="80.099999999999994" customHeight="1">
      <c r="A157" s="152"/>
      <c r="B157" s="126"/>
      <c r="C157" s="126"/>
      <c r="D157" s="128"/>
      <c r="E157" s="128"/>
      <c r="F157" s="81" t="s">
        <v>210</v>
      </c>
      <c r="G157" s="83" t="s">
        <v>241</v>
      </c>
      <c r="H157" s="82">
        <v>1</v>
      </c>
      <c r="I157" s="82" t="s">
        <v>31</v>
      </c>
      <c r="J157" s="82"/>
      <c r="K157" s="81" t="s">
        <v>27</v>
      </c>
      <c r="L157" s="90" t="s">
        <v>28</v>
      </c>
      <c r="M157" s="91"/>
      <c r="N157" s="174"/>
      <c r="O157" s="183"/>
      <c r="P157" s="89"/>
    </row>
    <row r="158" spans="1:16" ht="80.099999999999994" customHeight="1">
      <c r="A158" s="155"/>
      <c r="B158" s="160"/>
      <c r="C158" s="160"/>
      <c r="D158" s="164"/>
      <c r="E158" s="164"/>
      <c r="F158" s="81" t="s">
        <v>210</v>
      </c>
      <c r="G158" s="82" t="s">
        <v>242</v>
      </c>
      <c r="H158" s="82">
        <v>1</v>
      </c>
      <c r="I158" s="82" t="s">
        <v>31</v>
      </c>
      <c r="J158" s="82"/>
      <c r="K158" s="81" t="s">
        <v>27</v>
      </c>
      <c r="L158" s="90" t="s">
        <v>28</v>
      </c>
      <c r="M158" s="92"/>
      <c r="N158" s="175"/>
      <c r="O158" s="184"/>
      <c r="P158" s="89"/>
    </row>
    <row r="159" spans="1:16" ht="80.099999999999994" customHeight="1">
      <c r="A159" s="119">
        <v>15</v>
      </c>
      <c r="B159" s="125" t="s">
        <v>254</v>
      </c>
      <c r="C159" s="125" t="s">
        <v>255</v>
      </c>
      <c r="D159" s="127"/>
      <c r="E159" s="167" t="s">
        <v>226</v>
      </c>
      <c r="F159" s="80" t="s">
        <v>19</v>
      </c>
      <c r="G159" s="81" t="s">
        <v>256</v>
      </c>
      <c r="H159" s="82">
        <v>1</v>
      </c>
      <c r="I159" s="83" t="s">
        <v>52</v>
      </c>
      <c r="J159" s="82"/>
      <c r="K159" s="80" t="s">
        <v>22</v>
      </c>
      <c r="L159" s="87" t="s">
        <v>23</v>
      </c>
      <c r="M159" s="88">
        <f>0.972*21</f>
        <v>20.411999999999999</v>
      </c>
      <c r="N159" s="176">
        <f>40.9-17.1266</f>
        <v>23.773399999999999</v>
      </c>
      <c r="O159" s="182">
        <f>N159/0.7+M159</f>
        <v>54.374000000000002</v>
      </c>
      <c r="P159" s="89"/>
    </row>
    <row r="160" spans="1:16" ht="80.099999999999994" customHeight="1">
      <c r="A160" s="120"/>
      <c r="B160" s="126"/>
      <c r="C160" s="126"/>
      <c r="D160" s="128"/>
      <c r="E160" s="168"/>
      <c r="F160" s="80" t="s">
        <v>24</v>
      </c>
      <c r="G160" s="81" t="s">
        <v>250</v>
      </c>
      <c r="H160" s="82">
        <v>1</v>
      </c>
      <c r="I160" s="83" t="s">
        <v>26</v>
      </c>
      <c r="J160" s="82"/>
      <c r="K160" s="81" t="s">
        <v>27</v>
      </c>
      <c r="L160" s="90" t="s">
        <v>28</v>
      </c>
      <c r="M160" s="91"/>
      <c r="N160" s="177"/>
      <c r="O160" s="183"/>
      <c r="P160" s="89"/>
    </row>
    <row r="161" spans="1:16" ht="80.099999999999994" customHeight="1">
      <c r="A161" s="120"/>
      <c r="B161" s="126"/>
      <c r="C161" s="126"/>
      <c r="D161" s="128"/>
      <c r="E161" s="128"/>
      <c r="F161" s="80" t="s">
        <v>24</v>
      </c>
      <c r="G161" s="81" t="s">
        <v>251</v>
      </c>
      <c r="H161" s="82">
        <v>1</v>
      </c>
      <c r="I161" s="83" t="s">
        <v>26</v>
      </c>
      <c r="J161" s="82"/>
      <c r="K161" s="81" t="s">
        <v>27</v>
      </c>
      <c r="L161" s="90" t="s">
        <v>28</v>
      </c>
      <c r="M161" s="91"/>
      <c r="N161" s="177"/>
      <c r="O161" s="183"/>
      <c r="P161" s="89"/>
    </row>
    <row r="162" spans="1:16" ht="80.099999999999994" customHeight="1">
      <c r="A162" s="120"/>
      <c r="B162" s="126"/>
      <c r="C162" s="126"/>
      <c r="D162" s="128"/>
      <c r="E162" s="128"/>
      <c r="F162" s="81" t="s">
        <v>24</v>
      </c>
      <c r="G162" s="81" t="s">
        <v>257</v>
      </c>
      <c r="H162" s="82">
        <v>1</v>
      </c>
      <c r="I162" s="83" t="s">
        <v>26</v>
      </c>
      <c r="J162" s="82"/>
      <c r="K162" s="81" t="s">
        <v>27</v>
      </c>
      <c r="L162" s="90" t="s">
        <v>28</v>
      </c>
      <c r="M162" s="91"/>
      <c r="N162" s="177"/>
      <c r="O162" s="183"/>
      <c r="P162" s="89"/>
    </row>
    <row r="163" spans="1:16" ht="80.099999999999994" customHeight="1">
      <c r="A163" s="120"/>
      <c r="B163" s="126"/>
      <c r="C163" s="126"/>
      <c r="D163" s="128"/>
      <c r="E163" s="128"/>
      <c r="F163" s="81" t="s">
        <v>165</v>
      </c>
      <c r="G163" s="81" t="s">
        <v>230</v>
      </c>
      <c r="H163" s="82">
        <v>2</v>
      </c>
      <c r="I163" s="83" t="s">
        <v>133</v>
      </c>
      <c r="J163" s="82"/>
      <c r="K163" s="81" t="s">
        <v>27</v>
      </c>
      <c r="L163" s="90" t="s">
        <v>28</v>
      </c>
      <c r="M163" s="91"/>
      <c r="N163" s="177"/>
      <c r="O163" s="183"/>
      <c r="P163" s="89"/>
    </row>
    <row r="164" spans="1:16" ht="80.099999999999994" customHeight="1">
      <c r="A164" s="120"/>
      <c r="B164" s="126"/>
      <c r="C164" s="126"/>
      <c r="D164" s="128"/>
      <c r="E164" s="128"/>
      <c r="F164" s="81" t="s">
        <v>167</v>
      </c>
      <c r="G164" s="81" t="s">
        <v>231</v>
      </c>
      <c r="H164" s="82">
        <v>1</v>
      </c>
      <c r="I164" s="83" t="s">
        <v>169</v>
      </c>
      <c r="J164" s="82"/>
      <c r="K164" s="81" t="s">
        <v>27</v>
      </c>
      <c r="L164" s="90" t="s">
        <v>28</v>
      </c>
      <c r="M164" s="91"/>
      <c r="N164" s="177"/>
      <c r="O164" s="183"/>
      <c r="P164" s="89"/>
    </row>
    <row r="165" spans="1:16" ht="80.099999999999994" customHeight="1">
      <c r="A165" s="120"/>
      <c r="B165" s="126"/>
      <c r="C165" s="126"/>
      <c r="D165" s="128"/>
      <c r="E165" s="128"/>
      <c r="F165" s="81" t="s">
        <v>172</v>
      </c>
      <c r="G165" s="81" t="s">
        <v>232</v>
      </c>
      <c r="H165" s="82">
        <v>1</v>
      </c>
      <c r="I165" s="83" t="s">
        <v>169</v>
      </c>
      <c r="J165" s="82"/>
      <c r="K165" s="81" t="s">
        <v>27</v>
      </c>
      <c r="L165" s="90" t="s">
        <v>28</v>
      </c>
      <c r="M165" s="91"/>
      <c r="N165" s="177"/>
      <c r="O165" s="183"/>
      <c r="P165" s="188" t="s">
        <v>170</v>
      </c>
    </row>
    <row r="166" spans="1:16" ht="80.099999999999994" customHeight="1">
      <c r="A166" s="120"/>
      <c r="B166" s="126"/>
      <c r="C166" s="126"/>
      <c r="D166" s="128"/>
      <c r="E166" s="128"/>
      <c r="F166" s="81" t="s">
        <v>172</v>
      </c>
      <c r="G166" s="81" t="s">
        <v>233</v>
      </c>
      <c r="H166" s="82">
        <v>1</v>
      </c>
      <c r="I166" s="83" t="s">
        <v>169</v>
      </c>
      <c r="J166" s="82"/>
      <c r="K166" s="81" t="s">
        <v>27</v>
      </c>
      <c r="L166" s="90" t="s">
        <v>28</v>
      </c>
      <c r="M166" s="91"/>
      <c r="N166" s="177"/>
      <c r="O166" s="183"/>
      <c r="P166" s="136"/>
    </row>
    <row r="167" spans="1:16" ht="80.099999999999994" customHeight="1">
      <c r="A167" s="120"/>
      <c r="B167" s="126"/>
      <c r="C167" s="126"/>
      <c r="D167" s="128"/>
      <c r="E167" s="128"/>
      <c r="F167" s="81" t="s">
        <v>75</v>
      </c>
      <c r="G167" s="81" t="s">
        <v>234</v>
      </c>
      <c r="H167" s="82">
        <v>6</v>
      </c>
      <c r="I167" s="82"/>
      <c r="J167" s="82"/>
      <c r="K167" s="81" t="s">
        <v>147</v>
      </c>
      <c r="L167" s="90" t="s">
        <v>28</v>
      </c>
      <c r="M167" s="91"/>
      <c r="N167" s="177"/>
      <c r="O167" s="183"/>
      <c r="P167" s="89"/>
    </row>
    <row r="168" spans="1:16" ht="80.099999999999994" customHeight="1">
      <c r="A168" s="120"/>
      <c r="B168" s="126"/>
      <c r="C168" s="126"/>
      <c r="D168" s="128"/>
      <c r="E168" s="128"/>
      <c r="F168" s="81" t="s">
        <v>235</v>
      </c>
      <c r="G168" s="81" t="s">
        <v>236</v>
      </c>
      <c r="H168" s="82">
        <v>1</v>
      </c>
      <c r="I168" s="82" t="s">
        <v>237</v>
      </c>
      <c r="J168" s="82"/>
      <c r="K168" s="81" t="s">
        <v>27</v>
      </c>
      <c r="L168" s="90" t="s">
        <v>28</v>
      </c>
      <c r="M168" s="91"/>
      <c r="N168" s="177"/>
      <c r="O168" s="183"/>
      <c r="P168" s="89"/>
    </row>
    <row r="169" spans="1:16" ht="80.099999999999994" customHeight="1">
      <c r="A169" s="120"/>
      <c r="B169" s="126"/>
      <c r="C169" s="126"/>
      <c r="D169" s="128"/>
      <c r="E169" s="128"/>
      <c r="F169" s="81" t="s">
        <v>235</v>
      </c>
      <c r="G169" s="81" t="s">
        <v>252</v>
      </c>
      <c r="H169" s="82">
        <v>1</v>
      </c>
      <c r="I169" s="82" t="s">
        <v>237</v>
      </c>
      <c r="J169" s="82"/>
      <c r="K169" s="81" t="s">
        <v>27</v>
      </c>
      <c r="L169" s="90" t="s">
        <v>28</v>
      </c>
      <c r="M169" s="91"/>
      <c r="N169" s="177"/>
      <c r="O169" s="183"/>
      <c r="P169" s="89"/>
    </row>
    <row r="170" spans="1:16" ht="80.099999999999994" customHeight="1">
      <c r="A170" s="120"/>
      <c r="B170" s="126"/>
      <c r="C170" s="126"/>
      <c r="D170" s="128"/>
      <c r="E170" s="128"/>
      <c r="F170" s="81" t="s">
        <v>235</v>
      </c>
      <c r="G170" s="81" t="s">
        <v>253</v>
      </c>
      <c r="H170" s="82">
        <v>1</v>
      </c>
      <c r="I170" s="82" t="s">
        <v>237</v>
      </c>
      <c r="J170" s="82"/>
      <c r="K170" s="81" t="s">
        <v>27</v>
      </c>
      <c r="L170" s="90" t="s">
        <v>28</v>
      </c>
      <c r="M170" s="91"/>
      <c r="N170" s="177"/>
      <c r="O170" s="183"/>
      <c r="P170" s="89"/>
    </row>
    <row r="171" spans="1:16" ht="80.099999999999994" customHeight="1">
      <c r="A171" s="120"/>
      <c r="B171" s="126"/>
      <c r="C171" s="126"/>
      <c r="D171" s="128"/>
      <c r="E171" s="128"/>
      <c r="F171" s="81" t="s">
        <v>210</v>
      </c>
      <c r="G171" s="83" t="s">
        <v>239</v>
      </c>
      <c r="H171" s="82">
        <v>1</v>
      </c>
      <c r="I171" s="82" t="s">
        <v>31</v>
      </c>
      <c r="J171" s="82"/>
      <c r="K171" s="81" t="s">
        <v>27</v>
      </c>
      <c r="L171" s="90" t="s">
        <v>28</v>
      </c>
      <c r="M171" s="91"/>
      <c r="N171" s="177"/>
      <c r="O171" s="183"/>
      <c r="P171" s="89"/>
    </row>
    <row r="172" spans="1:16" ht="80.099999999999994" customHeight="1">
      <c r="A172" s="120"/>
      <c r="B172" s="126"/>
      <c r="C172" s="126"/>
      <c r="D172" s="128"/>
      <c r="E172" s="128"/>
      <c r="F172" s="81" t="s">
        <v>210</v>
      </c>
      <c r="G172" s="83" t="s">
        <v>240</v>
      </c>
      <c r="H172" s="82">
        <v>1</v>
      </c>
      <c r="I172" s="82" t="s">
        <v>31</v>
      </c>
      <c r="J172" s="82"/>
      <c r="K172" s="81" t="s">
        <v>27</v>
      </c>
      <c r="L172" s="90" t="s">
        <v>28</v>
      </c>
      <c r="M172" s="91"/>
      <c r="N172" s="177"/>
      <c r="O172" s="183"/>
      <c r="P172" s="89"/>
    </row>
    <row r="173" spans="1:16" ht="80.099999999999994" customHeight="1">
      <c r="A173" s="120"/>
      <c r="B173" s="126"/>
      <c r="C173" s="126"/>
      <c r="D173" s="128"/>
      <c r="E173" s="128"/>
      <c r="F173" s="81" t="s">
        <v>210</v>
      </c>
      <c r="G173" s="83" t="s">
        <v>241</v>
      </c>
      <c r="H173" s="82">
        <v>1</v>
      </c>
      <c r="I173" s="82" t="s">
        <v>31</v>
      </c>
      <c r="J173" s="82"/>
      <c r="K173" s="81" t="s">
        <v>27</v>
      </c>
      <c r="L173" s="90" t="s">
        <v>28</v>
      </c>
      <c r="M173" s="91"/>
      <c r="N173" s="177"/>
      <c r="O173" s="183"/>
      <c r="P173" s="89"/>
    </row>
    <row r="174" spans="1:16" ht="80.099999999999994" customHeight="1">
      <c r="A174" s="156"/>
      <c r="B174" s="160"/>
      <c r="C174" s="160"/>
      <c r="D174" s="164"/>
      <c r="E174" s="164"/>
      <c r="F174" s="81" t="s">
        <v>210</v>
      </c>
      <c r="G174" s="82" t="s">
        <v>242</v>
      </c>
      <c r="H174" s="82">
        <v>1</v>
      </c>
      <c r="I174" s="82" t="s">
        <v>31</v>
      </c>
      <c r="J174" s="82"/>
      <c r="K174" s="81" t="s">
        <v>27</v>
      </c>
      <c r="L174" s="90" t="s">
        <v>28</v>
      </c>
      <c r="M174" s="92"/>
      <c r="N174" s="178"/>
      <c r="O174" s="184"/>
      <c r="P174" s="89"/>
    </row>
    <row r="175" spans="1:16" ht="80.099999999999994" customHeight="1">
      <c r="A175" s="151">
        <v>16</v>
      </c>
      <c r="B175" s="125" t="s">
        <v>258</v>
      </c>
      <c r="C175" s="125" t="s">
        <v>93</v>
      </c>
      <c r="D175" s="127"/>
      <c r="E175" s="172" t="s">
        <v>259</v>
      </c>
      <c r="F175" s="80" t="s">
        <v>19</v>
      </c>
      <c r="G175" s="81" t="s">
        <v>260</v>
      </c>
      <c r="H175" s="82">
        <v>1</v>
      </c>
      <c r="I175" s="83" t="s">
        <v>52</v>
      </c>
      <c r="J175" s="82"/>
      <c r="K175" s="80" t="s">
        <v>22</v>
      </c>
      <c r="L175" s="87" t="s">
        <v>23</v>
      </c>
      <c r="M175" s="88">
        <f>21*4.22</f>
        <v>88.61999999999999</v>
      </c>
      <c r="N175" s="173">
        <f>163.92-74.3564</f>
        <v>89.563599999999994</v>
      </c>
      <c r="O175" s="182">
        <f>N175/0.7+M175</f>
        <v>216.56799999999998</v>
      </c>
      <c r="P175" s="95" t="s">
        <v>261</v>
      </c>
    </row>
    <row r="176" spans="1:16" ht="80.099999999999994" customHeight="1">
      <c r="A176" s="152"/>
      <c r="B176" s="126"/>
      <c r="C176" s="126"/>
      <c r="D176" s="128"/>
      <c r="E176" s="172"/>
      <c r="F176" s="80" t="s">
        <v>110</v>
      </c>
      <c r="G176" s="81" t="s">
        <v>262</v>
      </c>
      <c r="H176" s="82">
        <v>1</v>
      </c>
      <c r="I176" s="83" t="s">
        <v>263</v>
      </c>
      <c r="J176" s="82"/>
      <c r="K176" s="80" t="s">
        <v>113</v>
      </c>
      <c r="L176" s="90" t="s">
        <v>28</v>
      </c>
      <c r="M176" s="91"/>
      <c r="N176" s="174"/>
      <c r="O176" s="183"/>
      <c r="P176" s="89"/>
    </row>
    <row r="177" spans="1:18" ht="80.099999999999994" customHeight="1">
      <c r="A177" s="152"/>
      <c r="B177" s="126"/>
      <c r="C177" s="126"/>
      <c r="D177" s="128"/>
      <c r="E177" s="163"/>
      <c r="F177" s="80" t="s">
        <v>110</v>
      </c>
      <c r="G177" s="81" t="s">
        <v>264</v>
      </c>
      <c r="H177" s="82">
        <v>1</v>
      </c>
      <c r="I177" s="83" t="s">
        <v>263</v>
      </c>
      <c r="J177" s="82"/>
      <c r="K177" s="80" t="s">
        <v>113</v>
      </c>
      <c r="L177" s="90" t="s">
        <v>28</v>
      </c>
      <c r="M177" s="91"/>
      <c r="N177" s="174"/>
      <c r="O177" s="183"/>
      <c r="P177" s="89"/>
    </row>
    <row r="178" spans="1:18" ht="80.099999999999994" customHeight="1">
      <c r="A178" s="152"/>
      <c r="B178" s="126"/>
      <c r="C178" s="126"/>
      <c r="D178" s="128"/>
      <c r="E178" s="163"/>
      <c r="F178" s="80" t="s">
        <v>165</v>
      </c>
      <c r="G178" s="81" t="s">
        <v>265</v>
      </c>
      <c r="H178" s="82">
        <v>1</v>
      </c>
      <c r="I178" s="83" t="s">
        <v>266</v>
      </c>
      <c r="J178" s="82"/>
      <c r="K178" s="81" t="s">
        <v>27</v>
      </c>
      <c r="L178" s="90" t="s">
        <v>28</v>
      </c>
      <c r="M178" s="91"/>
      <c r="N178" s="174"/>
      <c r="O178" s="183"/>
      <c r="P178" s="188" t="s">
        <v>267</v>
      </c>
    </row>
    <row r="179" spans="1:18" ht="80.099999999999994" customHeight="1">
      <c r="A179" s="152"/>
      <c r="B179" s="126"/>
      <c r="C179" s="126"/>
      <c r="D179" s="128"/>
      <c r="E179" s="163"/>
      <c r="F179" s="80" t="s">
        <v>165</v>
      </c>
      <c r="G179" s="81" t="s">
        <v>268</v>
      </c>
      <c r="H179" s="82">
        <v>1</v>
      </c>
      <c r="I179" s="83" t="s">
        <v>266</v>
      </c>
      <c r="J179" s="82"/>
      <c r="K179" s="81" t="s">
        <v>27</v>
      </c>
      <c r="L179" s="90" t="s">
        <v>28</v>
      </c>
      <c r="M179" s="91"/>
      <c r="N179" s="174"/>
      <c r="O179" s="183"/>
      <c r="P179" s="136"/>
    </row>
    <row r="180" spans="1:18" ht="80.099999999999994" customHeight="1">
      <c r="A180" s="152"/>
      <c r="B180" s="126"/>
      <c r="C180" s="126"/>
      <c r="D180" s="128"/>
      <c r="E180" s="163"/>
      <c r="F180" s="80" t="s">
        <v>167</v>
      </c>
      <c r="G180" s="81" t="s">
        <v>269</v>
      </c>
      <c r="H180" s="82">
        <v>2</v>
      </c>
      <c r="I180" s="83" t="s">
        <v>266</v>
      </c>
      <c r="J180" s="82"/>
      <c r="K180" s="81" t="s">
        <v>27</v>
      </c>
      <c r="L180" s="90" t="s">
        <v>28</v>
      </c>
      <c r="M180" s="91"/>
      <c r="N180" s="174"/>
      <c r="O180" s="183"/>
      <c r="P180" s="89"/>
      <c r="R180" s="96"/>
    </row>
    <row r="181" spans="1:18" ht="80.099999999999994" customHeight="1">
      <c r="A181" s="152"/>
      <c r="B181" s="126"/>
      <c r="C181" s="126"/>
      <c r="D181" s="128"/>
      <c r="E181" s="163"/>
      <c r="F181" s="80" t="s">
        <v>172</v>
      </c>
      <c r="G181" s="81" t="s">
        <v>270</v>
      </c>
      <c r="H181" s="82">
        <v>1</v>
      </c>
      <c r="I181" s="83" t="s">
        <v>266</v>
      </c>
      <c r="J181" s="82"/>
      <c r="K181" s="81" t="s">
        <v>27</v>
      </c>
      <c r="L181" s="90" t="s">
        <v>28</v>
      </c>
      <c r="M181" s="91"/>
      <c r="N181" s="174"/>
      <c r="O181" s="183"/>
      <c r="P181" s="188" t="s">
        <v>267</v>
      </c>
    </row>
    <row r="182" spans="1:18" ht="80.099999999999994" customHeight="1">
      <c r="A182" s="152"/>
      <c r="B182" s="126"/>
      <c r="C182" s="126"/>
      <c r="D182" s="128"/>
      <c r="E182" s="163"/>
      <c r="F182" s="80" t="s">
        <v>172</v>
      </c>
      <c r="G182" s="81" t="s">
        <v>271</v>
      </c>
      <c r="H182" s="82">
        <v>1</v>
      </c>
      <c r="I182" s="83" t="s">
        <v>266</v>
      </c>
      <c r="J182" s="82"/>
      <c r="K182" s="81" t="s">
        <v>27</v>
      </c>
      <c r="L182" s="90" t="s">
        <v>28</v>
      </c>
      <c r="M182" s="91"/>
      <c r="N182" s="174"/>
      <c r="O182" s="183"/>
      <c r="P182" s="136"/>
    </row>
    <row r="183" spans="1:18" ht="80.099999999999994" customHeight="1">
      <c r="A183" s="152"/>
      <c r="B183" s="126"/>
      <c r="C183" s="126"/>
      <c r="D183" s="128"/>
      <c r="E183" s="163"/>
      <c r="F183" s="80" t="s">
        <v>272</v>
      </c>
      <c r="G183" s="81" t="s">
        <v>273</v>
      </c>
      <c r="H183" s="82">
        <v>1</v>
      </c>
      <c r="I183" s="83" t="s">
        <v>128</v>
      </c>
      <c r="J183" s="82"/>
      <c r="K183" s="81" t="s">
        <v>27</v>
      </c>
      <c r="L183" s="90" t="s">
        <v>28</v>
      </c>
      <c r="M183" s="91"/>
      <c r="N183" s="174"/>
      <c r="O183" s="183"/>
      <c r="P183" s="89"/>
    </row>
    <row r="184" spans="1:18" ht="80.099999999999994" customHeight="1">
      <c r="A184" s="152"/>
      <c r="B184" s="126"/>
      <c r="C184" s="126"/>
      <c r="D184" s="128"/>
      <c r="E184" s="163"/>
      <c r="F184" s="80" t="s">
        <v>274</v>
      </c>
      <c r="G184" s="81" t="s">
        <v>275</v>
      </c>
      <c r="H184" s="80">
        <v>4</v>
      </c>
      <c r="I184" s="83" t="s">
        <v>133</v>
      </c>
      <c r="J184" s="82"/>
      <c r="K184" s="81" t="s">
        <v>27</v>
      </c>
      <c r="L184" s="90" t="s">
        <v>28</v>
      </c>
      <c r="M184" s="91"/>
      <c r="N184" s="174"/>
      <c r="O184" s="183"/>
      <c r="P184" s="89"/>
    </row>
    <row r="185" spans="1:18" ht="80.099999999999994" customHeight="1">
      <c r="A185" s="152"/>
      <c r="B185" s="126"/>
      <c r="C185" s="126"/>
      <c r="D185" s="128"/>
      <c r="E185" s="163"/>
      <c r="F185" s="80" t="s">
        <v>235</v>
      </c>
      <c r="G185" s="81" t="s">
        <v>276</v>
      </c>
      <c r="H185" s="80">
        <v>2</v>
      </c>
      <c r="I185" s="83" t="s">
        <v>277</v>
      </c>
      <c r="J185" s="82"/>
      <c r="K185" s="81" t="s">
        <v>27</v>
      </c>
      <c r="L185" s="90" t="s">
        <v>28</v>
      </c>
      <c r="M185" s="91"/>
      <c r="N185" s="174"/>
      <c r="O185" s="183"/>
      <c r="P185" s="89"/>
    </row>
    <row r="186" spans="1:18" ht="80.099999999999994" customHeight="1">
      <c r="A186" s="152"/>
      <c r="B186" s="126"/>
      <c r="C186" s="126"/>
      <c r="D186" s="128"/>
      <c r="E186" s="163"/>
      <c r="F186" s="81" t="s">
        <v>115</v>
      </c>
      <c r="G186" s="81" t="s">
        <v>278</v>
      </c>
      <c r="H186" s="82">
        <v>1</v>
      </c>
      <c r="I186" s="82" t="s">
        <v>117</v>
      </c>
      <c r="J186" s="82"/>
      <c r="K186" s="81" t="s">
        <v>118</v>
      </c>
      <c r="L186" s="90" t="s">
        <v>28</v>
      </c>
      <c r="M186" s="91"/>
      <c r="N186" s="174"/>
      <c r="O186" s="183"/>
      <c r="P186" s="89"/>
    </row>
    <row r="187" spans="1:18" ht="80.099999999999994" customHeight="1">
      <c r="A187" s="152"/>
      <c r="B187" s="126"/>
      <c r="C187" s="126"/>
      <c r="D187" s="128"/>
      <c r="E187" s="163"/>
      <c r="F187" s="81" t="s">
        <v>279</v>
      </c>
      <c r="G187" s="81" t="s">
        <v>280</v>
      </c>
      <c r="H187" s="82">
        <v>2</v>
      </c>
      <c r="I187" s="82"/>
      <c r="J187" s="82"/>
      <c r="K187" s="81" t="s">
        <v>147</v>
      </c>
      <c r="L187" s="90" t="s">
        <v>28</v>
      </c>
      <c r="M187" s="91"/>
      <c r="N187" s="174"/>
      <c r="O187" s="183"/>
      <c r="P187" s="89"/>
    </row>
    <row r="188" spans="1:18" ht="80.099999999999994" customHeight="1">
      <c r="A188" s="152"/>
      <c r="B188" s="126"/>
      <c r="C188" s="126"/>
      <c r="D188" s="128"/>
      <c r="E188" s="163"/>
      <c r="F188" s="81" t="s">
        <v>210</v>
      </c>
      <c r="G188" s="82" t="s">
        <v>281</v>
      </c>
      <c r="H188" s="82">
        <v>1</v>
      </c>
      <c r="I188" s="82" t="s">
        <v>31</v>
      </c>
      <c r="J188" s="82"/>
      <c r="K188" s="81" t="s">
        <v>27</v>
      </c>
      <c r="L188" s="90" t="s">
        <v>28</v>
      </c>
      <c r="M188" s="91"/>
      <c r="N188" s="174"/>
      <c r="O188" s="183"/>
      <c r="P188" s="89"/>
    </row>
    <row r="189" spans="1:18" ht="80.099999999999994" customHeight="1">
      <c r="A189" s="152"/>
      <c r="B189" s="126"/>
      <c r="C189" s="126"/>
      <c r="D189" s="128"/>
      <c r="E189" s="163"/>
      <c r="F189" s="81" t="s">
        <v>210</v>
      </c>
      <c r="G189" s="82" t="s">
        <v>282</v>
      </c>
      <c r="H189" s="82">
        <v>1</v>
      </c>
      <c r="I189" s="82" t="s">
        <v>31</v>
      </c>
      <c r="J189" s="82"/>
      <c r="K189" s="81" t="s">
        <v>27</v>
      </c>
      <c r="L189" s="90" t="s">
        <v>28</v>
      </c>
      <c r="M189" s="91"/>
      <c r="N189" s="174"/>
      <c r="O189" s="183"/>
      <c r="P189" s="89"/>
    </row>
    <row r="190" spans="1:18" ht="80.099999999999994" customHeight="1">
      <c r="A190" s="152"/>
      <c r="B190" s="126"/>
      <c r="C190" s="126"/>
      <c r="D190" s="128"/>
      <c r="E190" s="163"/>
      <c r="F190" s="81" t="s">
        <v>210</v>
      </c>
      <c r="G190" s="82" t="s">
        <v>283</v>
      </c>
      <c r="H190" s="82">
        <v>1</v>
      </c>
      <c r="I190" s="82" t="s">
        <v>31</v>
      </c>
      <c r="J190" s="82"/>
      <c r="K190" s="81" t="s">
        <v>27</v>
      </c>
      <c r="L190" s="90" t="s">
        <v>28</v>
      </c>
      <c r="M190" s="91"/>
      <c r="N190" s="174"/>
      <c r="O190" s="183"/>
      <c r="P190" s="89"/>
    </row>
    <row r="191" spans="1:18" ht="80.099999999999994" customHeight="1">
      <c r="A191" s="152"/>
      <c r="B191" s="126"/>
      <c r="C191" s="126"/>
      <c r="D191" s="128"/>
      <c r="E191" s="163"/>
      <c r="F191" s="81" t="s">
        <v>210</v>
      </c>
      <c r="G191" s="82" t="s">
        <v>284</v>
      </c>
      <c r="H191" s="82">
        <v>4</v>
      </c>
      <c r="I191" s="82" t="s">
        <v>31</v>
      </c>
      <c r="J191" s="82"/>
      <c r="K191" s="81" t="s">
        <v>27</v>
      </c>
      <c r="L191" s="90" t="s">
        <v>28</v>
      </c>
      <c r="M191" s="91"/>
      <c r="N191" s="174"/>
      <c r="O191" s="183"/>
      <c r="P191" s="89"/>
    </row>
    <row r="192" spans="1:18" ht="80.099999999999994" customHeight="1">
      <c r="A192" s="152"/>
      <c r="B192" s="126"/>
      <c r="C192" s="126"/>
      <c r="D192" s="128"/>
      <c r="E192" s="127"/>
      <c r="F192" s="94" t="s">
        <v>285</v>
      </c>
      <c r="G192" s="79" t="s">
        <v>286</v>
      </c>
      <c r="H192" s="79">
        <v>2</v>
      </c>
      <c r="I192" s="79" t="s">
        <v>31</v>
      </c>
      <c r="J192" s="79"/>
      <c r="K192" s="81" t="s">
        <v>27</v>
      </c>
      <c r="L192" s="90" t="s">
        <v>28</v>
      </c>
      <c r="M192" s="91"/>
      <c r="N192" s="174"/>
      <c r="O192" s="183"/>
      <c r="P192" s="84"/>
    </row>
    <row r="193" spans="1:19" ht="80.099999999999994" customHeight="1">
      <c r="A193" s="154">
        <v>17</v>
      </c>
      <c r="B193" s="159" t="s">
        <v>287</v>
      </c>
      <c r="C193" s="159" t="s">
        <v>288</v>
      </c>
      <c r="D193" s="163"/>
      <c r="E193" s="163"/>
      <c r="F193" s="80" t="s">
        <v>19</v>
      </c>
      <c r="G193" s="81" t="s">
        <v>289</v>
      </c>
      <c r="H193" s="82">
        <v>1</v>
      </c>
      <c r="I193" s="83" t="s">
        <v>52</v>
      </c>
      <c r="J193" s="82"/>
      <c r="K193" s="80" t="s">
        <v>290</v>
      </c>
      <c r="L193" s="90" t="s">
        <v>28</v>
      </c>
      <c r="M193" s="99">
        <f>0.115*21</f>
        <v>2.415</v>
      </c>
      <c r="N193" s="179">
        <f>4.77-2</f>
        <v>2.7699999999999996</v>
      </c>
      <c r="O193" s="185">
        <f>N193/0.7+M193</f>
        <v>6.3721428571428564</v>
      </c>
      <c r="P193" s="89"/>
    </row>
    <row r="194" spans="1:19" ht="80.099999999999994" customHeight="1">
      <c r="A194" s="154"/>
      <c r="B194" s="159"/>
      <c r="C194" s="159"/>
      <c r="D194" s="163"/>
      <c r="E194" s="163"/>
      <c r="F194" s="81" t="s">
        <v>291</v>
      </c>
      <c r="G194" s="83" t="s">
        <v>292</v>
      </c>
      <c r="H194" s="82">
        <v>1</v>
      </c>
      <c r="I194" s="83" t="s">
        <v>128</v>
      </c>
      <c r="J194" s="82"/>
      <c r="K194" s="81" t="s">
        <v>27</v>
      </c>
      <c r="L194" s="90" t="s">
        <v>28</v>
      </c>
      <c r="M194" s="91"/>
      <c r="N194" s="180"/>
      <c r="O194" s="186"/>
      <c r="P194" s="89"/>
    </row>
    <row r="195" spans="1:19" ht="80.099999999999994" customHeight="1">
      <c r="A195" s="154"/>
      <c r="B195" s="159"/>
      <c r="C195" s="159"/>
      <c r="D195" s="163"/>
      <c r="E195" s="163"/>
      <c r="F195" s="81" t="s">
        <v>293</v>
      </c>
      <c r="G195" s="83" t="s">
        <v>294</v>
      </c>
      <c r="H195" s="82">
        <v>1</v>
      </c>
      <c r="I195" s="83" t="s">
        <v>128</v>
      </c>
      <c r="J195" s="82"/>
      <c r="K195" s="81" t="s">
        <v>27</v>
      </c>
      <c r="L195" s="90" t="s">
        <v>28</v>
      </c>
      <c r="M195" s="91"/>
      <c r="N195" s="180"/>
      <c r="O195" s="186"/>
      <c r="P195" s="188" t="s">
        <v>170</v>
      </c>
    </row>
    <row r="196" spans="1:19" ht="80.099999999999994" customHeight="1">
      <c r="A196" s="154"/>
      <c r="B196" s="159"/>
      <c r="C196" s="159"/>
      <c r="D196" s="163"/>
      <c r="E196" s="163"/>
      <c r="F196" s="81" t="s">
        <v>293</v>
      </c>
      <c r="G196" s="83" t="s">
        <v>295</v>
      </c>
      <c r="H196" s="82">
        <v>1</v>
      </c>
      <c r="I196" s="83" t="s">
        <v>128</v>
      </c>
      <c r="J196" s="82"/>
      <c r="K196" s="81" t="s">
        <v>27</v>
      </c>
      <c r="L196" s="90" t="s">
        <v>28</v>
      </c>
      <c r="M196" s="92"/>
      <c r="N196" s="181"/>
      <c r="O196" s="187"/>
      <c r="P196" s="136"/>
    </row>
    <row r="197" spans="1:19" ht="44.25" customHeight="1">
      <c r="A197" s="148"/>
      <c r="B197" s="148"/>
      <c r="C197" s="148"/>
      <c r="D197" s="148"/>
      <c r="E197" s="97"/>
      <c r="F197" s="98">
        <f>SUM(F4:F192)</f>
        <v>0</v>
      </c>
      <c r="G197" s="98"/>
      <c r="H197" s="98"/>
      <c r="I197" s="98"/>
      <c r="J197" s="98"/>
      <c r="K197" s="98"/>
      <c r="L197" s="100"/>
      <c r="M197" s="100"/>
      <c r="N197" s="100">
        <f>SUM(N4:N196)</f>
        <v>345.87200000000001</v>
      </c>
      <c r="O197" s="100">
        <f>SUM(O4:O196)</f>
        <v>832.42755714285727</v>
      </c>
      <c r="S197" s="102"/>
    </row>
    <row r="198" spans="1:19" ht="68.099999999999994" customHeight="1">
      <c r="K198" s="22" t="s">
        <v>296</v>
      </c>
      <c r="L198" s="22" t="s">
        <v>297</v>
      </c>
      <c r="M198" s="22"/>
      <c r="N198" s="101">
        <f>N4+N16+N28+N57+N115+N144+N175</f>
        <v>192.82049999999998</v>
      </c>
    </row>
  </sheetData>
  <autoFilter ref="A3:S198"/>
  <mergeCells count="145">
    <mergeCell ref="P195:P196"/>
    <mergeCell ref="O96:O105"/>
    <mergeCell ref="O106:O114"/>
    <mergeCell ref="O115:O128"/>
    <mergeCell ref="O129:O143"/>
    <mergeCell ref="O144:O158"/>
    <mergeCell ref="O159:O174"/>
    <mergeCell ref="O175:O192"/>
    <mergeCell ref="O193:O196"/>
    <mergeCell ref="P2:P3"/>
    <mergeCell ref="P34:P35"/>
    <mergeCell ref="P43:P44"/>
    <mergeCell ref="P53:P54"/>
    <mergeCell ref="P63:P64"/>
    <mergeCell ref="P72:P73"/>
    <mergeCell ref="P81:P82"/>
    <mergeCell ref="P91:P92"/>
    <mergeCell ref="P101:P102"/>
    <mergeCell ref="P111:P112"/>
    <mergeCell ref="P120:P121"/>
    <mergeCell ref="P135:P136"/>
    <mergeCell ref="P149:P150"/>
    <mergeCell ref="P165:P166"/>
    <mergeCell ref="P178:P179"/>
    <mergeCell ref="P181:P182"/>
    <mergeCell ref="O4:O15"/>
    <mergeCell ref="O16:O27"/>
    <mergeCell ref="O28:O37"/>
    <mergeCell ref="O38:O46"/>
    <mergeCell ref="O47:O56"/>
    <mergeCell ref="O57:O66"/>
    <mergeCell ref="O67:O75"/>
    <mergeCell ref="O76:O85"/>
    <mergeCell ref="O86:O95"/>
    <mergeCell ref="N86:N95"/>
    <mergeCell ref="N96:N105"/>
    <mergeCell ref="N106:N114"/>
    <mergeCell ref="N115:N128"/>
    <mergeCell ref="N129:N143"/>
    <mergeCell ref="N144:N158"/>
    <mergeCell ref="N159:N174"/>
    <mergeCell ref="N175:N192"/>
    <mergeCell ref="N193:N196"/>
    <mergeCell ref="K2:K3"/>
    <mergeCell ref="N4:N15"/>
    <mergeCell ref="N16:N27"/>
    <mergeCell ref="N28:N37"/>
    <mergeCell ref="N38:N46"/>
    <mergeCell ref="N47:N56"/>
    <mergeCell ref="N57:N66"/>
    <mergeCell ref="N67:N75"/>
    <mergeCell ref="N76:N85"/>
    <mergeCell ref="E86:E95"/>
    <mergeCell ref="E96:E105"/>
    <mergeCell ref="E106:E114"/>
    <mergeCell ref="E115:E128"/>
    <mergeCell ref="E129:E143"/>
    <mergeCell ref="E144:E158"/>
    <mergeCell ref="E159:E174"/>
    <mergeCell ref="E175:E192"/>
    <mergeCell ref="E193:E196"/>
    <mergeCell ref="E2:E3"/>
    <mergeCell ref="E4:E15"/>
    <mergeCell ref="E16:E27"/>
    <mergeCell ref="E28:E37"/>
    <mergeCell ref="E38:E46"/>
    <mergeCell ref="E47:E56"/>
    <mergeCell ref="E57:E66"/>
    <mergeCell ref="E67:E75"/>
    <mergeCell ref="E76:E85"/>
    <mergeCell ref="D86:D95"/>
    <mergeCell ref="D96:D105"/>
    <mergeCell ref="D106:D114"/>
    <mergeCell ref="D115:D128"/>
    <mergeCell ref="D129:D143"/>
    <mergeCell ref="D144:D158"/>
    <mergeCell ref="D159:D174"/>
    <mergeCell ref="D175:D192"/>
    <mergeCell ref="D193:D196"/>
    <mergeCell ref="D2:D3"/>
    <mergeCell ref="D4:D15"/>
    <mergeCell ref="D16:D27"/>
    <mergeCell ref="D28:D37"/>
    <mergeCell ref="D38:D46"/>
    <mergeCell ref="D47:D56"/>
    <mergeCell ref="D57:D66"/>
    <mergeCell ref="D67:D75"/>
    <mergeCell ref="D76:D85"/>
    <mergeCell ref="B115:B128"/>
    <mergeCell ref="B129:B143"/>
    <mergeCell ref="B144:B158"/>
    <mergeCell ref="B159:B174"/>
    <mergeCell ref="B175:B192"/>
    <mergeCell ref="B193:B196"/>
    <mergeCell ref="C2:C3"/>
    <mergeCell ref="C4:C15"/>
    <mergeCell ref="C16:C27"/>
    <mergeCell ref="C28:C37"/>
    <mergeCell ref="C38:C46"/>
    <mergeCell ref="C47:C56"/>
    <mergeCell ref="C57:C66"/>
    <mergeCell ref="C67:C75"/>
    <mergeCell ref="C76:C85"/>
    <mergeCell ref="C86:C95"/>
    <mergeCell ref="C96:C105"/>
    <mergeCell ref="C106:C114"/>
    <mergeCell ref="C115:C128"/>
    <mergeCell ref="C129:C143"/>
    <mergeCell ref="C144:C158"/>
    <mergeCell ref="C159:C174"/>
    <mergeCell ref="C175:C192"/>
    <mergeCell ref="C193:C196"/>
    <mergeCell ref="B28:B37"/>
    <mergeCell ref="B38:B46"/>
    <mergeCell ref="B47:B56"/>
    <mergeCell ref="B57:B66"/>
    <mergeCell ref="B67:B75"/>
    <mergeCell ref="B76:B85"/>
    <mergeCell ref="B86:B95"/>
    <mergeCell ref="B96:B105"/>
    <mergeCell ref="B106:B114"/>
    <mergeCell ref="A1:P1"/>
    <mergeCell ref="F2:J2"/>
    <mergeCell ref="A197:D197"/>
    <mergeCell ref="A2:A3"/>
    <mergeCell ref="A4:A15"/>
    <mergeCell ref="A16:A27"/>
    <mergeCell ref="A28:A37"/>
    <mergeCell ref="A38:A46"/>
    <mergeCell ref="A47:A56"/>
    <mergeCell ref="A57:A66"/>
    <mergeCell ref="A67:A75"/>
    <mergeCell ref="A76:A85"/>
    <mergeCell ref="A86:A95"/>
    <mergeCell ref="A96:A105"/>
    <mergeCell ref="A106:A114"/>
    <mergeCell ref="A115:A128"/>
    <mergeCell ref="A129:A143"/>
    <mergeCell ref="A144:A158"/>
    <mergeCell ref="A159:A174"/>
    <mergeCell ref="A175:A192"/>
    <mergeCell ref="A193:A196"/>
    <mergeCell ref="B2:B3"/>
    <mergeCell ref="B4:B15"/>
    <mergeCell ref="B16:B27"/>
  </mergeCells>
  <phoneticPr fontId="43" type="noConversion"/>
  <conditionalFormatting sqref="B4">
    <cfRule type="duplicateValues" dxfId="50" priority="46"/>
  </conditionalFormatting>
  <conditionalFormatting sqref="B5">
    <cfRule type="duplicateValues" dxfId="49" priority="31"/>
  </conditionalFormatting>
  <conditionalFormatting sqref="B16">
    <cfRule type="duplicateValues" dxfId="48" priority="47"/>
  </conditionalFormatting>
  <conditionalFormatting sqref="B17">
    <cfRule type="duplicateValues" dxfId="47" priority="30"/>
  </conditionalFormatting>
  <conditionalFormatting sqref="B29">
    <cfRule type="duplicateValues" dxfId="46" priority="29"/>
  </conditionalFormatting>
  <conditionalFormatting sqref="B32">
    <cfRule type="duplicateValues" dxfId="45" priority="15"/>
  </conditionalFormatting>
  <conditionalFormatting sqref="B39">
    <cfRule type="duplicateValues" dxfId="44" priority="28"/>
  </conditionalFormatting>
  <conditionalFormatting sqref="B41">
    <cfRule type="duplicateValues" dxfId="43" priority="14"/>
  </conditionalFormatting>
  <conditionalFormatting sqref="B48">
    <cfRule type="duplicateValues" dxfId="42" priority="27"/>
  </conditionalFormatting>
  <conditionalFormatting sqref="B51">
    <cfRule type="duplicateValues" dxfId="41" priority="13"/>
  </conditionalFormatting>
  <conditionalFormatting sqref="B58">
    <cfRule type="duplicateValues" dxfId="40" priority="26"/>
  </conditionalFormatting>
  <conditionalFormatting sqref="B61">
    <cfRule type="duplicateValues" dxfId="39" priority="12"/>
  </conditionalFormatting>
  <conditionalFormatting sqref="B68">
    <cfRule type="duplicateValues" dxfId="38" priority="25"/>
  </conditionalFormatting>
  <conditionalFormatting sqref="B70">
    <cfRule type="duplicateValues" dxfId="37" priority="11"/>
  </conditionalFormatting>
  <conditionalFormatting sqref="B77">
    <cfRule type="duplicateValues" dxfId="36" priority="24"/>
  </conditionalFormatting>
  <conditionalFormatting sqref="B79">
    <cfRule type="duplicateValues" dxfId="35" priority="10"/>
  </conditionalFormatting>
  <conditionalFormatting sqref="B87">
    <cfRule type="duplicateValues" dxfId="34" priority="23"/>
  </conditionalFormatting>
  <conditionalFormatting sqref="B89">
    <cfRule type="duplicateValues" dxfId="33" priority="9"/>
  </conditionalFormatting>
  <conditionalFormatting sqref="B97">
    <cfRule type="duplicateValues" dxfId="32" priority="22"/>
  </conditionalFormatting>
  <conditionalFormatting sqref="B99">
    <cfRule type="duplicateValues" dxfId="31" priority="8"/>
  </conditionalFormatting>
  <conditionalFormatting sqref="B107">
    <cfRule type="duplicateValues" dxfId="30" priority="21"/>
  </conditionalFormatting>
  <conditionalFormatting sqref="B109">
    <cfRule type="duplicateValues" dxfId="29" priority="7"/>
  </conditionalFormatting>
  <conditionalFormatting sqref="B116">
    <cfRule type="duplicateValues" dxfId="28" priority="20"/>
  </conditionalFormatting>
  <conditionalFormatting sqref="B121">
    <cfRule type="duplicateValues" dxfId="27" priority="6"/>
  </conditionalFormatting>
  <conditionalFormatting sqref="B130">
    <cfRule type="duplicateValues" dxfId="26" priority="19"/>
  </conditionalFormatting>
  <conditionalFormatting sqref="B136">
    <cfRule type="duplicateValues" dxfId="25" priority="5"/>
  </conditionalFormatting>
  <conditionalFormatting sqref="B145">
    <cfRule type="duplicateValues" dxfId="24" priority="18"/>
  </conditionalFormatting>
  <conditionalFormatting sqref="B150">
    <cfRule type="duplicateValues" dxfId="23" priority="4"/>
  </conditionalFormatting>
  <conditionalFormatting sqref="B160">
    <cfRule type="duplicateValues" dxfId="22" priority="17"/>
  </conditionalFormatting>
  <conditionalFormatting sqref="B166">
    <cfRule type="duplicateValues" dxfId="21" priority="3"/>
  </conditionalFormatting>
  <conditionalFormatting sqref="B176">
    <cfRule type="duplicateValues" dxfId="20" priority="16"/>
  </conditionalFormatting>
  <conditionalFormatting sqref="B179">
    <cfRule type="duplicateValues" dxfId="19" priority="2"/>
  </conditionalFormatting>
  <conditionalFormatting sqref="B182">
    <cfRule type="duplicateValues" dxfId="18" priority="1"/>
  </conditionalFormatting>
  <conditionalFormatting sqref="B28 B30:B31">
    <cfRule type="duplicateValues" dxfId="17" priority="40"/>
  </conditionalFormatting>
  <conditionalFormatting sqref="B40 B38">
    <cfRule type="duplicateValues" dxfId="16" priority="36"/>
  </conditionalFormatting>
  <conditionalFormatting sqref="B47 B49:B50">
    <cfRule type="duplicateValues" dxfId="15" priority="35"/>
  </conditionalFormatting>
  <conditionalFormatting sqref="B57 B59:B60">
    <cfRule type="duplicateValues" dxfId="14" priority="34"/>
  </conditionalFormatting>
  <conditionalFormatting sqref="B69 B67">
    <cfRule type="duplicateValues" dxfId="13" priority="45"/>
  </conditionalFormatting>
  <conditionalFormatting sqref="B76 B78">
    <cfRule type="duplicateValues" dxfId="12" priority="38"/>
  </conditionalFormatting>
  <conditionalFormatting sqref="B86 B88">
    <cfRule type="duplicateValues" dxfId="11" priority="33"/>
  </conditionalFormatting>
  <conditionalFormatting sqref="B96 B98">
    <cfRule type="duplicateValues" dxfId="10" priority="32"/>
  </conditionalFormatting>
  <conditionalFormatting sqref="B106 B108">
    <cfRule type="duplicateValues" dxfId="9" priority="140"/>
  </conditionalFormatting>
  <conditionalFormatting sqref="B115 B117:B120 B122:B124">
    <cfRule type="duplicateValues" dxfId="8" priority="44"/>
  </conditionalFormatting>
  <conditionalFormatting sqref="B129 B131:B135 B137:B139">
    <cfRule type="duplicateValues" dxfId="7" priority="39"/>
  </conditionalFormatting>
  <conditionalFormatting sqref="B144 B146:B149 B151:B154">
    <cfRule type="duplicateValues" dxfId="6" priority="43"/>
  </conditionalFormatting>
  <conditionalFormatting sqref="B159 B161:B165 B167:B170">
    <cfRule type="duplicateValues" dxfId="5" priority="42"/>
  </conditionalFormatting>
  <conditionalFormatting sqref="B175 B177:B178 B180:B181 B183:B187">
    <cfRule type="duplicateValues" dxfId="4" priority="41"/>
  </conditionalFormatting>
  <pageMargins left="0.70866141732283505" right="0.70866141732283505" top="0.74803149606299202" bottom="0.74803149606299202" header="0.31496062992126" footer="0.31496062992126"/>
  <pageSetup paperSize="8" scale="2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opLeftCell="A4" workbookViewId="0">
      <selection activeCell="E13" sqref="E13"/>
    </sheetView>
  </sheetViews>
  <sheetFormatPr defaultColWidth="8.75" defaultRowHeight="13.5"/>
  <cols>
    <col min="1" max="1" width="8.75" style="13"/>
    <col min="2" max="2" width="14.5" style="13" customWidth="1"/>
    <col min="3" max="3" width="24.375" style="13" customWidth="1"/>
    <col min="4" max="4" width="17" style="13" customWidth="1"/>
    <col min="5" max="5" width="17.375" style="13" customWidth="1"/>
    <col min="6" max="6" width="16.375" style="13" customWidth="1"/>
    <col min="7" max="7" width="16" style="13" customWidth="1"/>
    <col min="8" max="8" width="15.25" style="13" customWidth="1"/>
    <col min="9" max="9" width="18.25" style="13" customWidth="1"/>
    <col min="10" max="16384" width="8.75" style="13"/>
  </cols>
  <sheetData>
    <row r="2" spans="2:9" ht="29.1" customHeight="1">
      <c r="B2" s="189" t="s">
        <v>298</v>
      </c>
      <c r="C2" s="189"/>
      <c r="D2" s="189"/>
      <c r="E2" s="189"/>
      <c r="F2" s="189"/>
      <c r="G2" s="189"/>
    </row>
    <row r="3" spans="2:9" ht="30" customHeight="1">
      <c r="B3" s="15" t="s">
        <v>299</v>
      </c>
      <c r="C3" s="15" t="s">
        <v>9</v>
      </c>
      <c r="D3" s="62" t="s">
        <v>300</v>
      </c>
      <c r="E3" s="62" t="s">
        <v>301</v>
      </c>
      <c r="F3" s="15" t="s">
        <v>302</v>
      </c>
      <c r="G3" s="63" t="s">
        <v>303</v>
      </c>
      <c r="H3" s="63" t="s">
        <v>304</v>
      </c>
      <c r="I3" s="63" t="s">
        <v>120</v>
      </c>
    </row>
    <row r="4" spans="2:9" ht="30" customHeight="1">
      <c r="B4" s="15" t="s">
        <v>305</v>
      </c>
      <c r="C4" s="19">
        <f>D20</f>
        <v>255.89999999999998</v>
      </c>
      <c r="D4" s="64">
        <f>E20</f>
        <v>322.55956571428578</v>
      </c>
      <c r="E4" s="65">
        <f>(D4-C4)/D4</f>
        <v>0.20665815805732754</v>
      </c>
      <c r="F4" s="19">
        <v>340</v>
      </c>
      <c r="G4" s="66">
        <f>(F4-C4)/F4</f>
        <v>0.24735294117647066</v>
      </c>
      <c r="H4" s="67">
        <f>D4-F4</f>
        <v>-17.440434285714218</v>
      </c>
      <c r="I4" s="15"/>
    </row>
    <row r="5" spans="2:9" ht="30" customHeight="1">
      <c r="B5" s="15" t="s">
        <v>306</v>
      </c>
      <c r="C5" s="19">
        <f>D46</f>
        <v>363.42999999999995</v>
      </c>
      <c r="D5" s="64">
        <f>E46</f>
        <v>480.5165571428571</v>
      </c>
      <c r="E5" s="65">
        <f>(D5-C5)/D5</f>
        <v>0.24366810134296252</v>
      </c>
      <c r="F5" s="19">
        <v>514</v>
      </c>
      <c r="G5" s="66">
        <f>(F5-C5)/F5</f>
        <v>0.29293774319066157</v>
      </c>
      <c r="H5" s="67">
        <f>D5-F5</f>
        <v>-33.483442857142904</v>
      </c>
      <c r="I5" s="71" t="s">
        <v>307</v>
      </c>
    </row>
    <row r="6" spans="2:9" ht="32.450000000000003" customHeight="1">
      <c r="B6" s="190"/>
      <c r="C6" s="190"/>
      <c r="D6" s="190"/>
      <c r="E6" s="190"/>
      <c r="F6" s="190"/>
      <c r="G6" s="190"/>
    </row>
    <row r="11" spans="2:9" ht="18.75">
      <c r="B11" s="191" t="s">
        <v>308</v>
      </c>
      <c r="C11" s="191"/>
      <c r="D11" s="191"/>
      <c r="E11" s="191"/>
      <c r="F11" s="191"/>
      <c r="G11" s="191"/>
    </row>
    <row r="12" spans="2:9" ht="24" customHeight="1">
      <c r="B12" s="15" t="s">
        <v>12</v>
      </c>
      <c r="C12" s="15" t="s">
        <v>11</v>
      </c>
      <c r="D12" s="15" t="s">
        <v>9</v>
      </c>
      <c r="E12" s="15" t="s">
        <v>10</v>
      </c>
      <c r="F12" s="15" t="s">
        <v>309</v>
      </c>
      <c r="G12" s="15" t="s">
        <v>310</v>
      </c>
      <c r="H12" s="15" t="s">
        <v>120</v>
      </c>
    </row>
    <row r="13" spans="2:9" ht="24" customHeight="1">
      <c r="B13" s="15" t="s">
        <v>17</v>
      </c>
      <c r="C13" s="15" t="s">
        <v>311</v>
      </c>
      <c r="D13" s="15">
        <v>26.97</v>
      </c>
      <c r="E13" s="19">
        <f>'B01 发泡明细20220712'!O4</f>
        <v>34.341142857142856</v>
      </c>
      <c r="F13" s="19">
        <f>E13-D13</f>
        <v>7.371142857142857</v>
      </c>
      <c r="G13" s="57">
        <f>F13/E13</f>
        <v>0.21464465780321815</v>
      </c>
      <c r="H13" s="193" t="s">
        <v>312</v>
      </c>
    </row>
    <row r="14" spans="2:9" ht="24" customHeight="1">
      <c r="B14" s="15" t="s">
        <v>43</v>
      </c>
      <c r="C14" s="15" t="s">
        <v>313</v>
      </c>
      <c r="D14" s="15">
        <v>26.97</v>
      </c>
      <c r="E14" s="19">
        <f>'B01 发泡明细20220712'!O11</f>
        <v>34.341142857142856</v>
      </c>
      <c r="F14" s="19">
        <f t="shared" ref="F14:F20" si="0">E14-D14</f>
        <v>7.371142857142857</v>
      </c>
      <c r="G14" s="57">
        <f t="shared" ref="G14:G20" si="1">F14/E14</f>
        <v>0.21464465780321815</v>
      </c>
      <c r="H14" s="194"/>
    </row>
    <row r="15" spans="2:9" ht="24" customHeight="1">
      <c r="B15" s="15" t="s">
        <v>49</v>
      </c>
      <c r="C15" s="15" t="s">
        <v>314</v>
      </c>
      <c r="D15" s="15">
        <v>16.79</v>
      </c>
      <c r="E15" s="19">
        <f>'B01 发泡明细20220712'!O18</f>
        <v>20.58642857142857</v>
      </c>
      <c r="F15" s="19">
        <f t="shared" si="0"/>
        <v>3.7964285714285708</v>
      </c>
      <c r="G15" s="57">
        <f t="shared" si="1"/>
        <v>0.18441414246556329</v>
      </c>
      <c r="H15" s="194"/>
    </row>
    <row r="16" spans="2:9" ht="24" customHeight="1">
      <c r="B16" s="15" t="s">
        <v>60</v>
      </c>
      <c r="C16" s="15" t="s">
        <v>315</v>
      </c>
      <c r="D16" s="15">
        <v>16.79</v>
      </c>
      <c r="E16" s="19">
        <f>'B01 发泡明细20220712'!O24</f>
        <v>20.58642857142857</v>
      </c>
      <c r="F16" s="19">
        <f t="shared" si="0"/>
        <v>3.7964285714285708</v>
      </c>
      <c r="G16" s="57">
        <f t="shared" si="1"/>
        <v>0.18441414246556329</v>
      </c>
      <c r="H16" s="194"/>
    </row>
    <row r="17" spans="2:9" ht="24" customHeight="1">
      <c r="B17" s="15" t="s">
        <v>65</v>
      </c>
      <c r="C17" s="15" t="s">
        <v>316</v>
      </c>
      <c r="D17" s="15">
        <v>23.49</v>
      </c>
      <c r="E17" s="19">
        <f>'B01 发泡明细20220712'!O30</f>
        <v>28.369338571428571</v>
      </c>
      <c r="F17" s="19">
        <f t="shared" si="0"/>
        <v>4.8793385714285726</v>
      </c>
      <c r="G17" s="57">
        <f t="shared" si="1"/>
        <v>0.17199338501119196</v>
      </c>
      <c r="H17" s="194"/>
    </row>
    <row r="18" spans="2:9" ht="24" customHeight="1">
      <c r="B18" s="15" t="s">
        <v>81</v>
      </c>
      <c r="C18" s="15" t="s">
        <v>317</v>
      </c>
      <c r="D18" s="15">
        <v>29.41</v>
      </c>
      <c r="E18" s="19">
        <f>'B01 发泡明细20220712'!O38</f>
        <v>35.923359999999995</v>
      </c>
      <c r="F18" s="19">
        <f t="shared" si="0"/>
        <v>6.5133599999999952</v>
      </c>
      <c r="G18" s="57">
        <f t="shared" si="1"/>
        <v>0.18131266117646</v>
      </c>
      <c r="H18" s="194"/>
    </row>
    <row r="19" spans="2:9" ht="24" customHeight="1">
      <c r="B19" s="15" t="s">
        <v>92</v>
      </c>
      <c r="C19" s="15" t="s">
        <v>318</v>
      </c>
      <c r="D19" s="15">
        <v>115.48</v>
      </c>
      <c r="E19" s="19">
        <f>'B01 发泡明细20220712'!O47</f>
        <v>148.41172428571431</v>
      </c>
      <c r="F19" s="19">
        <f t="shared" si="0"/>
        <v>32.93172428571431</v>
      </c>
      <c r="G19" s="57">
        <f t="shared" si="1"/>
        <v>0.22189435803815549</v>
      </c>
      <c r="H19" s="194"/>
    </row>
    <row r="20" spans="2:9" ht="24" customHeight="1">
      <c r="B20" s="192" t="s">
        <v>319</v>
      </c>
      <c r="C20" s="192"/>
      <c r="D20" s="15">
        <f>SUM(D13:D19)</f>
        <v>255.89999999999998</v>
      </c>
      <c r="E20" s="19">
        <f>SUM(E13:E19)</f>
        <v>322.55956571428578</v>
      </c>
      <c r="F20" s="19">
        <f t="shared" si="0"/>
        <v>66.659565714285804</v>
      </c>
      <c r="G20" s="57">
        <f t="shared" si="1"/>
        <v>0.20665815805732754</v>
      </c>
      <c r="H20" s="195"/>
      <c r="I20" s="13">
        <v>351</v>
      </c>
    </row>
    <row r="26" spans="2:9" ht="18.75">
      <c r="B26" s="191" t="s">
        <v>320</v>
      </c>
      <c r="C26" s="191"/>
      <c r="D26" s="191"/>
      <c r="E26" s="191"/>
      <c r="F26" s="191"/>
      <c r="G26" s="191"/>
    </row>
    <row r="27" spans="2:9" ht="24.95" customHeight="1">
      <c r="B27" s="15" t="s">
        <v>12</v>
      </c>
      <c r="C27" s="15" t="s">
        <v>11</v>
      </c>
      <c r="D27" s="15" t="s">
        <v>9</v>
      </c>
      <c r="E27" s="15" t="s">
        <v>10</v>
      </c>
      <c r="F27" s="15" t="s">
        <v>309</v>
      </c>
      <c r="G27" s="69" t="s">
        <v>310</v>
      </c>
      <c r="H27" s="15" t="s">
        <v>120</v>
      </c>
    </row>
    <row r="28" spans="2:9" ht="24.95" customHeight="1">
      <c r="B28" s="17" t="s">
        <v>121</v>
      </c>
      <c r="C28" s="15" t="s">
        <v>321</v>
      </c>
      <c r="D28" s="15">
        <v>32.520000000000003</v>
      </c>
      <c r="E28" s="19">
        <f>'V71 发泡明细 20220712'!O4</f>
        <v>42.397714285714294</v>
      </c>
      <c r="F28" s="19">
        <f>E28-D28</f>
        <v>9.8777142857142906</v>
      </c>
      <c r="G28" s="70">
        <f>F28/E28</f>
        <v>0.23297751900371994</v>
      </c>
      <c r="H28" s="196" t="s">
        <v>312</v>
      </c>
    </row>
    <row r="29" spans="2:9" ht="24.95" customHeight="1">
      <c r="B29" s="17" t="s">
        <v>149</v>
      </c>
      <c r="C29" s="15" t="s">
        <v>322</v>
      </c>
      <c r="D29" s="15">
        <v>32.520000000000003</v>
      </c>
      <c r="E29" s="19">
        <f>'V71 发泡明细 20220712'!O16</f>
        <v>42.397714285714294</v>
      </c>
      <c r="F29" s="19">
        <f t="shared" ref="F29:F44" si="2">E29-D29</f>
        <v>9.8777142857142906</v>
      </c>
      <c r="G29" s="70">
        <f t="shared" ref="G29:G46" si="3">F29/E29</f>
        <v>0.23297751900371994</v>
      </c>
      <c r="H29" s="196"/>
    </row>
    <row r="30" spans="2:9" ht="24.95" customHeight="1">
      <c r="B30" s="17" t="s">
        <v>154</v>
      </c>
      <c r="C30" s="15" t="s">
        <v>323</v>
      </c>
      <c r="D30" s="15">
        <v>31.28</v>
      </c>
      <c r="E30" s="19">
        <f>'V71 发泡明细 20220712'!O28</f>
        <v>41.430428571428578</v>
      </c>
      <c r="F30" s="19">
        <f t="shared" si="2"/>
        <v>10.150428571428577</v>
      </c>
      <c r="G30" s="70">
        <f t="shared" si="3"/>
        <v>0.24499936209756124</v>
      </c>
      <c r="H30" s="196"/>
    </row>
    <row r="31" spans="2:9" ht="24.95" customHeight="1">
      <c r="B31" s="15" t="s">
        <v>175</v>
      </c>
      <c r="C31" s="15" t="s">
        <v>324</v>
      </c>
      <c r="D31" s="15">
        <v>26.62</v>
      </c>
      <c r="E31" s="19">
        <f>'V71 发泡明细 20220712'!O38</f>
        <v>35.229571428571433</v>
      </c>
      <c r="F31" s="19">
        <f t="shared" si="2"/>
        <v>8.6095714285714315</v>
      </c>
      <c r="G31" s="70">
        <f t="shared" si="3"/>
        <v>0.24438479037496913</v>
      </c>
      <c r="H31" s="196"/>
    </row>
    <row r="32" spans="2:9" ht="24.95" customHeight="1">
      <c r="B32" s="15" t="s">
        <v>182</v>
      </c>
      <c r="C32" s="15" t="s">
        <v>325</v>
      </c>
      <c r="D32" s="15">
        <v>35.28</v>
      </c>
      <c r="E32" s="19">
        <f>'V71 发泡明细 20220712'!O47</f>
        <v>46.888857142857148</v>
      </c>
      <c r="F32" s="19">
        <f t="shared" si="2"/>
        <v>11.608857142857147</v>
      </c>
      <c r="G32" s="70">
        <f t="shared" si="3"/>
        <v>0.24758242896576105</v>
      </c>
      <c r="H32" s="196"/>
    </row>
    <row r="33" spans="2:8" ht="24.95" customHeight="1">
      <c r="B33" s="17" t="s">
        <v>190</v>
      </c>
      <c r="C33" s="15" t="s">
        <v>326</v>
      </c>
      <c r="D33" s="15">
        <v>28.04</v>
      </c>
      <c r="E33" s="19">
        <f>'V71 发泡明细 20220712'!O57</f>
        <v>36.082857142857137</v>
      </c>
      <c r="F33" s="19">
        <f t="shared" si="2"/>
        <v>8.0428571428571374</v>
      </c>
      <c r="G33" s="70">
        <f t="shared" si="3"/>
        <v>0.22289967535038394</v>
      </c>
      <c r="H33" s="196"/>
    </row>
    <row r="34" spans="2:8" ht="24.95" customHeight="1">
      <c r="B34" s="15" t="s">
        <v>194</v>
      </c>
      <c r="C34" s="15" t="s">
        <v>327</v>
      </c>
      <c r="D34" s="15">
        <v>29.46</v>
      </c>
      <c r="E34" s="19">
        <f>'V71 发泡明细 20220712'!O67</f>
        <v>39.286714285714289</v>
      </c>
      <c r="F34" s="19">
        <f t="shared" si="2"/>
        <v>9.8267142857142886</v>
      </c>
      <c r="G34" s="70">
        <f t="shared" si="3"/>
        <v>0.25012817855545499</v>
      </c>
      <c r="H34" s="196"/>
    </row>
    <row r="35" spans="2:8" ht="24.95" customHeight="1">
      <c r="B35" s="15" t="s">
        <v>200</v>
      </c>
      <c r="C35" s="15" t="s">
        <v>328</v>
      </c>
      <c r="D35" s="15">
        <v>21</v>
      </c>
      <c r="E35" s="19">
        <f>'V71 发泡明细 20220712'!O76</f>
        <v>27.802285714285716</v>
      </c>
      <c r="F35" s="19">
        <f t="shared" si="2"/>
        <v>6.8022857142857163</v>
      </c>
      <c r="G35" s="70">
        <f t="shared" si="3"/>
        <v>0.2446664200271304</v>
      </c>
      <c r="H35" s="196"/>
    </row>
    <row r="36" spans="2:8" ht="24.95" customHeight="1">
      <c r="B36" s="15" t="s">
        <v>213</v>
      </c>
      <c r="C36" s="15" t="s">
        <v>329</v>
      </c>
      <c r="D36" s="15">
        <v>20.9</v>
      </c>
      <c r="E36" s="19">
        <f>'V71 发泡明细 20220712'!O86</f>
        <v>27.596428571428568</v>
      </c>
      <c r="F36" s="19">
        <f t="shared" si="2"/>
        <v>6.6964285714285694</v>
      </c>
      <c r="G36" s="70">
        <f t="shared" si="3"/>
        <v>0.24265562313964018</v>
      </c>
      <c r="H36" s="196"/>
    </row>
    <row r="37" spans="2:8" ht="24.95" customHeight="1">
      <c r="B37" s="15" t="s">
        <v>216</v>
      </c>
      <c r="C37" s="15" t="s">
        <v>330</v>
      </c>
      <c r="D37" s="15">
        <v>20.9</v>
      </c>
      <c r="E37" s="19">
        <f>'V71 发泡明细 20220712'!O96</f>
        <v>27.596428571428568</v>
      </c>
      <c r="F37" s="19">
        <f t="shared" si="2"/>
        <v>6.6964285714285694</v>
      </c>
      <c r="G37" s="70">
        <f t="shared" si="3"/>
        <v>0.24265562313964018</v>
      </c>
      <c r="H37" s="196"/>
    </row>
    <row r="38" spans="2:8" ht="24.95" customHeight="1">
      <c r="B38" s="15" t="s">
        <v>220</v>
      </c>
      <c r="C38" s="15" t="s">
        <v>221</v>
      </c>
      <c r="D38" s="15">
        <v>31.76</v>
      </c>
      <c r="E38" s="19">
        <f>'V71 发泡明细 20220712'!O106</f>
        <v>42.096000000000004</v>
      </c>
      <c r="F38" s="19">
        <f t="shared" si="2"/>
        <v>10.336000000000002</v>
      </c>
      <c r="G38" s="70">
        <f t="shared" si="3"/>
        <v>0.24553401748384648</v>
      </c>
      <c r="H38" s="196"/>
    </row>
    <row r="39" spans="2:8" ht="24.95" customHeight="1">
      <c r="B39" s="17" t="s">
        <v>224</v>
      </c>
      <c r="C39" s="15" t="s">
        <v>331</v>
      </c>
      <c r="D39" s="15">
        <v>33.83</v>
      </c>
      <c r="E39" s="19">
        <f>'V71 发泡明细 20220712'!O115</f>
        <v>45.074857142857141</v>
      </c>
      <c r="F39" s="19">
        <f t="shared" si="2"/>
        <v>11.244857142857143</v>
      </c>
      <c r="G39" s="70">
        <f t="shared" si="3"/>
        <v>0.24947072172005932</v>
      </c>
      <c r="H39" s="196"/>
    </row>
    <row r="40" spans="2:8" ht="24.95" customHeight="1">
      <c r="B40" s="15" t="s">
        <v>243</v>
      </c>
      <c r="C40" s="15" t="s">
        <v>332</v>
      </c>
      <c r="D40" s="15">
        <v>33.42</v>
      </c>
      <c r="E40" s="19">
        <f>'V71 发泡明细 20220712'!O129</f>
        <v>44.668571428571433</v>
      </c>
      <c r="F40" s="19">
        <f t="shared" si="2"/>
        <v>11.248571428571431</v>
      </c>
      <c r="G40" s="70">
        <f t="shared" si="3"/>
        <v>0.25182294998081106</v>
      </c>
      <c r="H40" s="196"/>
    </row>
    <row r="41" spans="2:8" ht="24.95" customHeight="1">
      <c r="B41" s="17" t="s">
        <v>247</v>
      </c>
      <c r="C41" s="15" t="s">
        <v>333</v>
      </c>
      <c r="D41" s="15">
        <v>41.32</v>
      </c>
      <c r="E41" s="19">
        <f>'V71 发泡明细 20220712'!O144</f>
        <v>56.564985714285712</v>
      </c>
      <c r="F41" s="19">
        <f t="shared" si="2"/>
        <v>15.244985714285711</v>
      </c>
      <c r="G41" s="70">
        <f t="shared" si="3"/>
        <v>0.26951276521644252</v>
      </c>
      <c r="H41" s="196"/>
    </row>
    <row r="42" spans="2:8" ht="24.95" customHeight="1">
      <c r="B42" s="15" t="s">
        <v>254</v>
      </c>
      <c r="C42" s="15" t="s">
        <v>334</v>
      </c>
      <c r="D42" s="15">
        <v>40.9</v>
      </c>
      <c r="E42" s="19">
        <f>'V71 发泡明细 20220712'!O159</f>
        <v>54.374000000000002</v>
      </c>
      <c r="F42" s="19">
        <f t="shared" si="2"/>
        <v>13.474000000000004</v>
      </c>
      <c r="G42" s="70">
        <f t="shared" si="3"/>
        <v>0.24780225843233905</v>
      </c>
      <c r="H42" s="196"/>
    </row>
    <row r="43" spans="2:8" ht="24.95" customHeight="1">
      <c r="B43" s="17" t="s">
        <v>258</v>
      </c>
      <c r="C43" s="15" t="s">
        <v>318</v>
      </c>
      <c r="D43" s="15">
        <v>163.92</v>
      </c>
      <c r="E43" s="19">
        <f>'V71 发泡明细 20220712'!O175</f>
        <v>216.56799999999998</v>
      </c>
      <c r="F43" s="19">
        <f t="shared" si="2"/>
        <v>52.647999999999996</v>
      </c>
      <c r="G43" s="70">
        <f t="shared" si="3"/>
        <v>0.24310147390196152</v>
      </c>
      <c r="H43" s="196"/>
    </row>
    <row r="44" spans="2:8" ht="24.95" customHeight="1">
      <c r="B44" s="15" t="s">
        <v>287</v>
      </c>
      <c r="C44" s="15" t="s">
        <v>335</v>
      </c>
      <c r="D44" s="15">
        <v>4.7699999999999996</v>
      </c>
      <c r="E44" s="19">
        <f>'V71 发泡明细 20220712'!O193</f>
        <v>6.3721428571428564</v>
      </c>
      <c r="F44" s="19">
        <f t="shared" si="2"/>
        <v>1.6021428571428569</v>
      </c>
      <c r="G44" s="70">
        <f t="shared" si="3"/>
        <v>0.25142921197175205</v>
      </c>
      <c r="H44" s="196"/>
    </row>
    <row r="45" spans="2:8" ht="24.95" customHeight="1">
      <c r="B45" s="192" t="s">
        <v>319</v>
      </c>
      <c r="C45" s="192"/>
      <c r="D45" s="15">
        <f>SUM(D28:D44)</f>
        <v>628.43999999999994</v>
      </c>
      <c r="E45" s="19">
        <f>SUM(E28:E44)</f>
        <v>832.42755714285727</v>
      </c>
      <c r="F45" s="19">
        <f>SUM(F28:F44)</f>
        <v>203.98755714285716</v>
      </c>
      <c r="G45" s="70">
        <f t="shared" si="3"/>
        <v>0.24505142266433855</v>
      </c>
      <c r="H45" s="196"/>
    </row>
    <row r="46" spans="2:8" ht="22.5">
      <c r="B46" s="22" t="s">
        <v>296</v>
      </c>
      <c r="C46" s="22" t="s">
        <v>297</v>
      </c>
      <c r="D46" s="15">
        <f>D28+D29+D30+D33+D39+D41+D43</f>
        <v>363.42999999999995</v>
      </c>
      <c r="E46" s="19">
        <f>E28+E29+E30+E33+E39+E41+E43</f>
        <v>480.5165571428571</v>
      </c>
      <c r="F46" s="19">
        <f>E46-D46</f>
        <v>117.08655714285715</v>
      </c>
      <c r="G46" s="70">
        <f t="shared" si="3"/>
        <v>0.24366810134296252</v>
      </c>
      <c r="H46" s="15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3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10" workbookViewId="0">
      <selection activeCell="B11" sqref="B11:G20"/>
    </sheetView>
  </sheetViews>
  <sheetFormatPr defaultColWidth="8.75" defaultRowHeight="13.5"/>
  <cols>
    <col min="1" max="1" width="8.75" style="13"/>
    <col min="2" max="2" width="14.5" style="13" customWidth="1"/>
    <col min="3" max="3" width="24.375" style="13" customWidth="1"/>
    <col min="4" max="4" width="17" style="13" customWidth="1"/>
    <col min="5" max="5" width="17.375" style="13" customWidth="1"/>
    <col min="6" max="6" width="16.375" style="13" customWidth="1"/>
    <col min="7" max="7" width="16" style="13" customWidth="1"/>
    <col min="8" max="8" width="15.25" style="13" customWidth="1"/>
    <col min="9" max="9" width="18.25" style="13" customWidth="1"/>
    <col min="10" max="10" width="14" style="13"/>
    <col min="11" max="16383" width="8.75" style="13"/>
  </cols>
  <sheetData>
    <row r="2" spans="2:9" ht="29.1" customHeight="1">
      <c r="B2" s="189" t="s">
        <v>298</v>
      </c>
      <c r="C2" s="189"/>
      <c r="D2" s="189"/>
      <c r="E2" s="189"/>
      <c r="F2" s="189"/>
      <c r="G2" s="189"/>
    </row>
    <row r="3" spans="2:9" ht="30" customHeight="1">
      <c r="B3" s="15" t="s">
        <v>299</v>
      </c>
      <c r="C3" s="15" t="s">
        <v>9</v>
      </c>
      <c r="D3" s="62" t="s">
        <v>300</v>
      </c>
      <c r="E3" s="62" t="s">
        <v>301</v>
      </c>
      <c r="F3" s="15" t="s">
        <v>302</v>
      </c>
      <c r="G3" s="63" t="s">
        <v>303</v>
      </c>
      <c r="H3" s="63" t="s">
        <v>304</v>
      </c>
      <c r="I3" s="63"/>
    </row>
    <row r="4" spans="2:9" ht="30" customHeight="1">
      <c r="B4" s="15" t="s">
        <v>305</v>
      </c>
      <c r="C4" s="19">
        <f>D20</f>
        <v>255.89999999999998</v>
      </c>
      <c r="D4" s="64">
        <f>E20</f>
        <v>353.03000000000003</v>
      </c>
      <c r="E4" s="65">
        <f>(D4-C4)/D4</f>
        <v>0.27513242500637353</v>
      </c>
      <c r="F4" s="19">
        <v>340</v>
      </c>
      <c r="G4" s="66">
        <f>(F4-C4)/F4</f>
        <v>0.24735294117647066</v>
      </c>
      <c r="H4" s="67">
        <f>D4-F4</f>
        <v>13.03000000000003</v>
      </c>
      <c r="I4" s="15"/>
    </row>
    <row r="5" spans="2:9" ht="30" customHeight="1">
      <c r="B5" s="15" t="s">
        <v>306</v>
      </c>
      <c r="C5" s="19">
        <f>D46</f>
        <v>363.42999999999995</v>
      </c>
      <c r="D5" s="64">
        <f>E46</f>
        <v>529.07999999999993</v>
      </c>
      <c r="E5" s="65">
        <f>(D5-C5)/D5</f>
        <v>0.3130906479171392</v>
      </c>
      <c r="F5" s="19">
        <v>514</v>
      </c>
      <c r="G5" s="66">
        <f>(F5-C5)/F5</f>
        <v>0.29293774319066157</v>
      </c>
      <c r="H5" s="67">
        <f>D5-F5</f>
        <v>15.079999999999927</v>
      </c>
      <c r="I5" s="71"/>
    </row>
    <row r="6" spans="2:9" ht="32.450000000000003" customHeight="1">
      <c r="B6" s="190"/>
      <c r="C6" s="190"/>
      <c r="D6" s="190"/>
      <c r="E6" s="190"/>
      <c r="F6" s="190"/>
      <c r="G6" s="190"/>
    </row>
    <row r="11" spans="2:9" ht="18.75">
      <c r="B11" s="191" t="s">
        <v>308</v>
      </c>
      <c r="C11" s="191"/>
      <c r="D11" s="191"/>
      <c r="E11" s="191"/>
      <c r="F11" s="191"/>
      <c r="G11" s="191"/>
    </row>
    <row r="12" spans="2:9" ht="24" customHeight="1">
      <c r="B12" s="15" t="s">
        <v>12</v>
      </c>
      <c r="C12" s="15" t="s">
        <v>11</v>
      </c>
      <c r="D12" s="15" t="s">
        <v>9</v>
      </c>
      <c r="E12" s="15" t="s">
        <v>10</v>
      </c>
      <c r="F12" s="15" t="s">
        <v>309</v>
      </c>
      <c r="G12" s="15" t="s">
        <v>310</v>
      </c>
      <c r="H12" s="15" t="s">
        <v>120</v>
      </c>
    </row>
    <row r="13" spans="2:9" ht="24" customHeight="1">
      <c r="B13" s="15" t="s">
        <v>17</v>
      </c>
      <c r="C13" s="15" t="s">
        <v>311</v>
      </c>
      <c r="D13" s="15">
        <v>26.97</v>
      </c>
      <c r="E13" s="19">
        <v>36.6</v>
      </c>
      <c r="F13" s="19">
        <f t="shared" ref="F13:F20" si="0">E13-D13</f>
        <v>9.6300000000000026</v>
      </c>
      <c r="G13" s="57">
        <f t="shared" ref="G13:G20" si="1">F13/E13</f>
        <v>0.26311475409836071</v>
      </c>
      <c r="H13" s="193" t="s">
        <v>312</v>
      </c>
    </row>
    <row r="14" spans="2:9" ht="24" customHeight="1">
      <c r="B14" s="15" t="s">
        <v>43</v>
      </c>
      <c r="C14" s="15" t="s">
        <v>313</v>
      </c>
      <c r="D14" s="15">
        <v>26.97</v>
      </c>
      <c r="E14" s="19">
        <v>36.549999999999997</v>
      </c>
      <c r="F14" s="19">
        <f t="shared" si="0"/>
        <v>9.5799999999999983</v>
      </c>
      <c r="G14" s="57">
        <f t="shared" si="1"/>
        <v>0.2621067031463748</v>
      </c>
      <c r="H14" s="194"/>
    </row>
    <row r="15" spans="2:9" ht="24" customHeight="1">
      <c r="B15" s="15" t="s">
        <v>49</v>
      </c>
      <c r="C15" s="15" t="s">
        <v>314</v>
      </c>
      <c r="D15" s="15">
        <v>16.79</v>
      </c>
      <c r="E15" s="19">
        <v>25.43</v>
      </c>
      <c r="F15" s="19">
        <f t="shared" si="0"/>
        <v>8.64</v>
      </c>
      <c r="G15" s="57">
        <f t="shared" si="1"/>
        <v>0.33975619347227687</v>
      </c>
      <c r="H15" s="194"/>
    </row>
    <row r="16" spans="2:9" ht="24" customHeight="1">
      <c r="B16" s="15" t="s">
        <v>60</v>
      </c>
      <c r="C16" s="15" t="s">
        <v>315</v>
      </c>
      <c r="D16" s="15">
        <v>16.79</v>
      </c>
      <c r="E16" s="19">
        <v>25.43</v>
      </c>
      <c r="F16" s="19">
        <f t="shared" si="0"/>
        <v>8.64</v>
      </c>
      <c r="G16" s="57">
        <f t="shared" si="1"/>
        <v>0.33975619347227687</v>
      </c>
      <c r="H16" s="194"/>
    </row>
    <row r="17" spans="2:8" ht="24" customHeight="1">
      <c r="B17" s="15" t="s">
        <v>65</v>
      </c>
      <c r="C17" s="15" t="s">
        <v>316</v>
      </c>
      <c r="D17" s="15">
        <v>23.49</v>
      </c>
      <c r="E17" s="19">
        <v>34.54</v>
      </c>
      <c r="F17" s="19">
        <f t="shared" si="0"/>
        <v>11.05</v>
      </c>
      <c r="G17" s="57">
        <f t="shared" si="1"/>
        <v>0.31991893456861614</v>
      </c>
      <c r="H17" s="194"/>
    </row>
    <row r="18" spans="2:8" ht="24" customHeight="1">
      <c r="B18" s="15" t="s">
        <v>81</v>
      </c>
      <c r="C18" s="15" t="s">
        <v>317</v>
      </c>
      <c r="D18" s="15">
        <v>29.41</v>
      </c>
      <c r="E18" s="19">
        <v>43.67</v>
      </c>
      <c r="F18" s="19">
        <f t="shared" si="0"/>
        <v>14.260000000000002</v>
      </c>
      <c r="G18" s="57">
        <f t="shared" si="1"/>
        <v>0.32653995878177239</v>
      </c>
      <c r="H18" s="194"/>
    </row>
    <row r="19" spans="2:8" ht="24" customHeight="1">
      <c r="B19" s="15" t="s">
        <v>92</v>
      </c>
      <c r="C19" s="15" t="s">
        <v>318</v>
      </c>
      <c r="D19" s="15">
        <v>115.48</v>
      </c>
      <c r="E19" s="19">
        <v>150.81</v>
      </c>
      <c r="F19" s="19">
        <f t="shared" si="0"/>
        <v>35.33</v>
      </c>
      <c r="G19" s="57">
        <f t="shared" si="1"/>
        <v>0.23426828459651217</v>
      </c>
      <c r="H19" s="194"/>
    </row>
    <row r="20" spans="2:8" ht="24" customHeight="1">
      <c r="B20" s="192" t="s">
        <v>319</v>
      </c>
      <c r="C20" s="192"/>
      <c r="D20" s="15">
        <f>SUM(D13:D19)</f>
        <v>255.89999999999998</v>
      </c>
      <c r="E20" s="19">
        <f>SUM(E13:E19)</f>
        <v>353.03000000000003</v>
      </c>
      <c r="F20" s="19">
        <f t="shared" si="0"/>
        <v>97.130000000000052</v>
      </c>
      <c r="G20" s="57">
        <f t="shared" si="1"/>
        <v>0.27513242500637353</v>
      </c>
      <c r="H20" s="195"/>
    </row>
    <row r="26" spans="2:8" ht="18.75">
      <c r="B26" s="191" t="s">
        <v>320</v>
      </c>
      <c r="C26" s="191"/>
      <c r="D26" s="191"/>
      <c r="E26" s="191"/>
      <c r="F26" s="191"/>
      <c r="G26" s="191"/>
    </row>
    <row r="27" spans="2:8" ht="24.95" customHeight="1">
      <c r="B27" s="15" t="s">
        <v>12</v>
      </c>
      <c r="C27" s="15" t="s">
        <v>11</v>
      </c>
      <c r="D27" s="15" t="s">
        <v>9</v>
      </c>
      <c r="E27" s="15" t="s">
        <v>336</v>
      </c>
      <c r="F27" s="15" t="s">
        <v>309</v>
      </c>
      <c r="G27" s="69" t="s">
        <v>310</v>
      </c>
      <c r="H27" s="15" t="s">
        <v>120</v>
      </c>
    </row>
    <row r="28" spans="2:8" ht="24.95" customHeight="1">
      <c r="B28" s="17" t="s">
        <v>121</v>
      </c>
      <c r="C28" s="15" t="s">
        <v>321</v>
      </c>
      <c r="D28" s="15">
        <v>32.520000000000003</v>
      </c>
      <c r="E28" s="19">
        <v>49</v>
      </c>
      <c r="F28" s="19">
        <f t="shared" ref="F28:F44" si="2">E28-D28</f>
        <v>16.479999999999997</v>
      </c>
      <c r="G28" s="70">
        <f t="shared" ref="G28:G46" si="3">F28/E28</f>
        <v>0.33632653061224482</v>
      </c>
      <c r="H28" s="196" t="s">
        <v>312</v>
      </c>
    </row>
    <row r="29" spans="2:8" ht="24.95" customHeight="1">
      <c r="B29" s="17" t="s">
        <v>149</v>
      </c>
      <c r="C29" s="15" t="s">
        <v>322</v>
      </c>
      <c r="D29" s="15">
        <v>32.520000000000003</v>
      </c>
      <c r="E29" s="19">
        <v>49</v>
      </c>
      <c r="F29" s="19">
        <f t="shared" si="2"/>
        <v>16.479999999999997</v>
      </c>
      <c r="G29" s="70">
        <f t="shared" si="3"/>
        <v>0.33632653061224482</v>
      </c>
      <c r="H29" s="196"/>
    </row>
    <row r="30" spans="2:8" ht="24.95" customHeight="1">
      <c r="B30" s="17" t="s">
        <v>154</v>
      </c>
      <c r="C30" s="15" t="s">
        <v>323</v>
      </c>
      <c r="D30" s="15">
        <v>31.28</v>
      </c>
      <c r="E30" s="19">
        <v>46.64</v>
      </c>
      <c r="F30" s="19">
        <f t="shared" si="2"/>
        <v>15.36</v>
      </c>
      <c r="G30" s="70">
        <f t="shared" si="3"/>
        <v>0.32933104631217835</v>
      </c>
      <c r="H30" s="196"/>
    </row>
    <row r="31" spans="2:8" ht="24.95" customHeight="1">
      <c r="B31" s="15" t="s">
        <v>175</v>
      </c>
      <c r="C31" s="15" t="s">
        <v>324</v>
      </c>
      <c r="D31" s="15">
        <v>26.62</v>
      </c>
      <c r="E31" s="19">
        <v>40.020000000000003</v>
      </c>
      <c r="F31" s="19">
        <f t="shared" si="2"/>
        <v>13.400000000000002</v>
      </c>
      <c r="G31" s="70">
        <f t="shared" si="3"/>
        <v>0.33483258370814595</v>
      </c>
      <c r="H31" s="196"/>
    </row>
    <row r="32" spans="2:8" ht="24.95" customHeight="1">
      <c r="B32" s="15" t="s">
        <v>182</v>
      </c>
      <c r="C32" s="15" t="s">
        <v>325</v>
      </c>
      <c r="D32" s="15">
        <v>35.28</v>
      </c>
      <c r="E32" s="19">
        <v>46.17</v>
      </c>
      <c r="F32" s="19">
        <f t="shared" si="2"/>
        <v>10.89</v>
      </c>
      <c r="G32" s="70">
        <f t="shared" si="3"/>
        <v>0.2358674463937622</v>
      </c>
      <c r="H32" s="196"/>
    </row>
    <row r="33" spans="2:8" ht="24.95" customHeight="1">
      <c r="B33" s="17" t="s">
        <v>190</v>
      </c>
      <c r="C33" s="15" t="s">
        <v>326</v>
      </c>
      <c r="D33" s="15">
        <v>28.04</v>
      </c>
      <c r="E33" s="19">
        <v>49.11</v>
      </c>
      <c r="F33" s="19">
        <f t="shared" si="2"/>
        <v>21.07</v>
      </c>
      <c r="G33" s="70">
        <f t="shared" si="3"/>
        <v>0.42903685603746694</v>
      </c>
      <c r="H33" s="196"/>
    </row>
    <row r="34" spans="2:8" ht="24.95" customHeight="1">
      <c r="B34" s="15" t="s">
        <v>194</v>
      </c>
      <c r="C34" s="15" t="s">
        <v>327</v>
      </c>
      <c r="D34" s="15">
        <v>29.46</v>
      </c>
      <c r="E34" s="19">
        <v>45.27</v>
      </c>
      <c r="F34" s="19">
        <f t="shared" si="2"/>
        <v>15.810000000000002</v>
      </c>
      <c r="G34" s="70">
        <f t="shared" si="3"/>
        <v>0.34923790589794568</v>
      </c>
      <c r="H34" s="196"/>
    </row>
    <row r="35" spans="2:8" ht="24.95" customHeight="1">
      <c r="B35" s="15" t="s">
        <v>200</v>
      </c>
      <c r="C35" s="15" t="s">
        <v>328</v>
      </c>
      <c r="D35" s="15">
        <v>21</v>
      </c>
      <c r="E35" s="19">
        <v>32.86</v>
      </c>
      <c r="F35" s="19">
        <f t="shared" si="2"/>
        <v>11.86</v>
      </c>
      <c r="G35" s="70">
        <f t="shared" si="3"/>
        <v>0.36092513694461348</v>
      </c>
      <c r="H35" s="196"/>
    </row>
    <row r="36" spans="2:8" ht="24.95" customHeight="1">
      <c r="B36" s="15" t="s">
        <v>213</v>
      </c>
      <c r="C36" s="15" t="s">
        <v>329</v>
      </c>
      <c r="D36" s="15">
        <v>20.9</v>
      </c>
      <c r="E36" s="19">
        <v>32.78</v>
      </c>
      <c r="F36" s="19">
        <f t="shared" si="2"/>
        <v>11.880000000000003</v>
      </c>
      <c r="G36" s="70">
        <f t="shared" si="3"/>
        <v>0.36241610738255042</v>
      </c>
      <c r="H36" s="196"/>
    </row>
    <row r="37" spans="2:8" ht="24.95" customHeight="1">
      <c r="B37" s="15" t="s">
        <v>216</v>
      </c>
      <c r="C37" s="15" t="s">
        <v>330</v>
      </c>
      <c r="D37" s="15">
        <v>20.9</v>
      </c>
      <c r="E37" s="19">
        <v>32.79</v>
      </c>
      <c r="F37" s="19">
        <f t="shared" si="2"/>
        <v>11.89</v>
      </c>
      <c r="G37" s="70">
        <f t="shared" si="3"/>
        <v>0.36261055199756026</v>
      </c>
      <c r="H37" s="196"/>
    </row>
    <row r="38" spans="2:8" ht="24.95" customHeight="1">
      <c r="B38" s="15" t="s">
        <v>220</v>
      </c>
      <c r="C38" s="15" t="s">
        <v>221</v>
      </c>
      <c r="D38" s="15">
        <v>31.76</v>
      </c>
      <c r="E38" s="19">
        <v>44.32</v>
      </c>
      <c r="F38" s="19">
        <f t="shared" si="2"/>
        <v>12.559999999999999</v>
      </c>
      <c r="G38" s="70">
        <f t="shared" si="3"/>
        <v>0.28339350180505413</v>
      </c>
      <c r="H38" s="196"/>
    </row>
    <row r="39" spans="2:8" ht="24.95" customHeight="1">
      <c r="B39" s="17" t="s">
        <v>224</v>
      </c>
      <c r="C39" s="15" t="s">
        <v>331</v>
      </c>
      <c r="D39" s="15">
        <v>33.83</v>
      </c>
      <c r="E39" s="19">
        <v>50.09</v>
      </c>
      <c r="F39" s="19">
        <f t="shared" si="2"/>
        <v>16.260000000000005</v>
      </c>
      <c r="G39" s="70">
        <f t="shared" si="3"/>
        <v>0.32461569175484134</v>
      </c>
      <c r="H39" s="196"/>
    </row>
    <row r="40" spans="2:8" ht="24.95" customHeight="1">
      <c r="B40" s="15" t="s">
        <v>243</v>
      </c>
      <c r="C40" s="15" t="s">
        <v>332</v>
      </c>
      <c r="D40" s="15">
        <v>33.42</v>
      </c>
      <c r="E40" s="19">
        <v>46.13</v>
      </c>
      <c r="F40" s="19">
        <f t="shared" si="2"/>
        <v>12.71</v>
      </c>
      <c r="G40" s="70">
        <f t="shared" si="3"/>
        <v>0.27552568827227403</v>
      </c>
      <c r="H40" s="196"/>
    </row>
    <row r="41" spans="2:8" ht="24.95" customHeight="1">
      <c r="B41" s="17" t="s">
        <v>247</v>
      </c>
      <c r="C41" s="15" t="s">
        <v>333</v>
      </c>
      <c r="D41" s="15">
        <v>41.32</v>
      </c>
      <c r="E41" s="19">
        <v>59.62</v>
      </c>
      <c r="F41" s="19">
        <f t="shared" si="2"/>
        <v>18.299999999999997</v>
      </c>
      <c r="G41" s="70">
        <f t="shared" si="3"/>
        <v>0.30694397853069438</v>
      </c>
      <c r="H41" s="196"/>
    </row>
    <row r="42" spans="2:8" ht="24.95" customHeight="1">
      <c r="B42" s="15" t="s">
        <v>254</v>
      </c>
      <c r="C42" s="15" t="s">
        <v>334</v>
      </c>
      <c r="D42" s="15">
        <v>40.9</v>
      </c>
      <c r="E42" s="19">
        <v>54.04</v>
      </c>
      <c r="F42" s="19">
        <f t="shared" si="2"/>
        <v>13.14</v>
      </c>
      <c r="G42" s="70">
        <f t="shared" si="3"/>
        <v>0.24315321983715768</v>
      </c>
      <c r="H42" s="196"/>
    </row>
    <row r="43" spans="2:8" ht="24.95" customHeight="1">
      <c r="B43" s="17" t="s">
        <v>258</v>
      </c>
      <c r="C43" s="15" t="s">
        <v>318</v>
      </c>
      <c r="D43" s="15">
        <v>163.92</v>
      </c>
      <c r="E43" s="19">
        <v>225.62</v>
      </c>
      <c r="F43" s="19">
        <f t="shared" si="2"/>
        <v>61.700000000000017</v>
      </c>
      <c r="G43" s="70">
        <f t="shared" si="3"/>
        <v>0.27346866412552084</v>
      </c>
      <c r="H43" s="196"/>
    </row>
    <row r="44" spans="2:8" ht="24.95" customHeight="1">
      <c r="B44" s="15" t="s">
        <v>287</v>
      </c>
      <c r="C44" s="15" t="s">
        <v>335</v>
      </c>
      <c r="D44" s="15">
        <v>4.7699999999999996</v>
      </c>
      <c r="E44" s="19">
        <v>9.66</v>
      </c>
      <c r="F44" s="19">
        <f t="shared" si="2"/>
        <v>4.8900000000000006</v>
      </c>
      <c r="G44" s="70">
        <f t="shared" si="3"/>
        <v>0.50621118012422361</v>
      </c>
      <c r="H44" s="196"/>
    </row>
    <row r="45" spans="2:8" ht="24.95" customHeight="1">
      <c r="B45" s="192" t="s">
        <v>319</v>
      </c>
      <c r="C45" s="192"/>
      <c r="D45" s="15">
        <f t="shared" ref="D45:F45" si="4">SUM(D28:D44)</f>
        <v>628.43999999999994</v>
      </c>
      <c r="E45" s="19">
        <f t="shared" si="4"/>
        <v>913.12</v>
      </c>
      <c r="F45" s="19">
        <f t="shared" si="4"/>
        <v>284.67999999999995</v>
      </c>
      <c r="G45" s="70">
        <f t="shared" si="3"/>
        <v>0.31176625197126329</v>
      </c>
      <c r="H45" s="196"/>
    </row>
    <row r="46" spans="2:8" ht="22.5">
      <c r="B46" s="22" t="s">
        <v>296</v>
      </c>
      <c r="C46" s="22" t="s">
        <v>297</v>
      </c>
      <c r="D46" s="15">
        <f>D28+D29+D30+D33+D39+D41+D43</f>
        <v>363.42999999999995</v>
      </c>
      <c r="E46" s="19">
        <f>E28+E29+E30+E33+E39+E41+E43</f>
        <v>529.07999999999993</v>
      </c>
      <c r="F46" s="19">
        <f>E46-D46</f>
        <v>165.64999999999998</v>
      </c>
      <c r="G46" s="70">
        <f t="shared" si="3"/>
        <v>0.3130906479171392</v>
      </c>
      <c r="H46" s="15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3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20" zoomScale="80" zoomScaleNormal="80" workbookViewId="0">
      <selection activeCell="D18" sqref="D18"/>
    </sheetView>
  </sheetViews>
  <sheetFormatPr defaultColWidth="8.75" defaultRowHeight="13.5"/>
  <cols>
    <col min="1" max="1" width="8.75" style="13"/>
    <col min="2" max="2" width="14.5" style="13" customWidth="1"/>
    <col min="3" max="3" width="24.375" style="13" customWidth="1"/>
    <col min="4" max="4" width="18.75" style="13" customWidth="1"/>
    <col min="5" max="5" width="17.375" style="13" customWidth="1"/>
    <col min="6" max="6" width="16.375" style="13" customWidth="1"/>
    <col min="7" max="7" width="16" style="13" customWidth="1"/>
    <col min="8" max="8" width="15.25" style="13" customWidth="1"/>
    <col min="9" max="9" width="18.25" style="13" customWidth="1"/>
    <col min="10" max="10" width="14" style="13"/>
    <col min="11" max="16383" width="8.75" style="13"/>
  </cols>
  <sheetData>
    <row r="2" spans="2:9" ht="29.1" customHeight="1">
      <c r="B2" s="189" t="s">
        <v>298</v>
      </c>
      <c r="C2" s="189"/>
      <c r="D2" s="189"/>
      <c r="E2" s="189"/>
      <c r="F2" s="189"/>
      <c r="G2" s="189"/>
    </row>
    <row r="3" spans="2:9" ht="30" customHeight="1">
      <c r="B3" s="15" t="s">
        <v>299</v>
      </c>
      <c r="C3" s="15" t="s">
        <v>9</v>
      </c>
      <c r="D3" s="62" t="s">
        <v>300</v>
      </c>
      <c r="E3" s="62" t="s">
        <v>301</v>
      </c>
      <c r="F3" s="15" t="s">
        <v>302</v>
      </c>
      <c r="G3" s="63" t="s">
        <v>303</v>
      </c>
      <c r="H3" s="63" t="s">
        <v>304</v>
      </c>
      <c r="I3" s="63"/>
    </row>
    <row r="4" spans="2:9" ht="30" customHeight="1">
      <c r="B4" s="15" t="s">
        <v>305</v>
      </c>
      <c r="C4" s="19">
        <f>D20</f>
        <v>256.88</v>
      </c>
      <c r="D4" s="64">
        <f>E20</f>
        <v>350.03</v>
      </c>
      <c r="E4" s="65">
        <f>(D4-C4)/D4</f>
        <v>0.26612004685312685</v>
      </c>
      <c r="F4" s="19">
        <v>340</v>
      </c>
      <c r="G4" s="66">
        <f>(F4-C4)/F4</f>
        <v>0.24447058823529413</v>
      </c>
      <c r="H4" s="67">
        <f>D4-F4</f>
        <v>10.029999999999973</v>
      </c>
      <c r="I4" s="15"/>
    </row>
    <row r="5" spans="2:9" ht="30" customHeight="1">
      <c r="B5" s="15" t="s">
        <v>306</v>
      </c>
      <c r="C5" s="19">
        <f>D46</f>
        <v>455.68999999999994</v>
      </c>
      <c r="D5" s="64">
        <f>E46</f>
        <v>526.07999999999993</v>
      </c>
      <c r="E5" s="65">
        <f>(D5-C5)/D5</f>
        <v>0.13380094282238442</v>
      </c>
      <c r="F5" s="19">
        <v>514</v>
      </c>
      <c r="G5" s="66">
        <f>(F5-C5)/F5</f>
        <v>0.11344357976653709</v>
      </c>
      <c r="H5" s="67">
        <f>D5-F5</f>
        <v>12.079999999999927</v>
      </c>
      <c r="I5" s="71"/>
    </row>
    <row r="6" spans="2:9" ht="32.450000000000003" customHeight="1">
      <c r="B6" s="190"/>
      <c r="C6" s="190"/>
      <c r="D6" s="190"/>
      <c r="E6" s="190"/>
      <c r="F6" s="190"/>
      <c r="G6" s="190"/>
    </row>
    <row r="11" spans="2:9" ht="18.75">
      <c r="B11" s="191" t="s">
        <v>308</v>
      </c>
      <c r="C11" s="191"/>
      <c r="D11" s="191"/>
      <c r="E11" s="191"/>
      <c r="F11" s="191"/>
      <c r="G11" s="191"/>
    </row>
    <row r="12" spans="2:9" ht="24" customHeight="1">
      <c r="B12" s="15" t="s">
        <v>12</v>
      </c>
      <c r="C12" s="15" t="s">
        <v>11</v>
      </c>
      <c r="D12" s="15" t="s">
        <v>337</v>
      </c>
      <c r="E12" s="15" t="s">
        <v>10</v>
      </c>
      <c r="F12" s="15" t="s">
        <v>309</v>
      </c>
      <c r="G12" s="15" t="s">
        <v>310</v>
      </c>
      <c r="H12" s="15" t="s">
        <v>120</v>
      </c>
    </row>
    <row r="13" spans="2:9" ht="24" customHeight="1">
      <c r="B13" s="15" t="s">
        <v>17</v>
      </c>
      <c r="C13" s="15" t="s">
        <v>311</v>
      </c>
      <c r="D13" s="15">
        <v>23.56</v>
      </c>
      <c r="E13" s="19">
        <v>36.18</v>
      </c>
      <c r="F13" s="19">
        <f t="shared" ref="F13:F20" si="0">E13-D13</f>
        <v>12.620000000000001</v>
      </c>
      <c r="G13" s="57">
        <f t="shared" ref="G13:G20" si="1">F13/E13</f>
        <v>0.34881149806522943</v>
      </c>
      <c r="H13" s="193" t="s">
        <v>312</v>
      </c>
    </row>
    <row r="14" spans="2:9" ht="24" customHeight="1">
      <c r="B14" s="15" t="s">
        <v>43</v>
      </c>
      <c r="C14" s="15" t="s">
        <v>313</v>
      </c>
      <c r="D14" s="15">
        <v>23.56</v>
      </c>
      <c r="E14" s="19">
        <v>36.18</v>
      </c>
      <c r="F14" s="19">
        <f t="shared" si="0"/>
        <v>12.620000000000001</v>
      </c>
      <c r="G14" s="57">
        <f t="shared" si="1"/>
        <v>0.34881149806522943</v>
      </c>
      <c r="H14" s="194"/>
    </row>
    <row r="15" spans="2:9" ht="24" customHeight="1">
      <c r="B15" s="15" t="s">
        <v>49</v>
      </c>
      <c r="C15" s="15" t="s">
        <v>314</v>
      </c>
      <c r="D15" s="15">
        <v>18.64</v>
      </c>
      <c r="E15" s="72">
        <v>25.13</v>
      </c>
      <c r="F15" s="19">
        <f t="shared" si="0"/>
        <v>6.4899999999999984</v>
      </c>
      <c r="G15" s="57">
        <f t="shared" si="1"/>
        <v>0.25825706327099079</v>
      </c>
      <c r="H15" s="194"/>
    </row>
    <row r="16" spans="2:9" ht="24" customHeight="1">
      <c r="B16" s="15" t="s">
        <v>60</v>
      </c>
      <c r="C16" s="15" t="s">
        <v>315</v>
      </c>
      <c r="D16" s="15">
        <v>18.64</v>
      </c>
      <c r="E16" s="72">
        <v>25.13</v>
      </c>
      <c r="F16" s="19">
        <f t="shared" si="0"/>
        <v>6.4899999999999984</v>
      </c>
      <c r="G16" s="57">
        <f t="shared" si="1"/>
        <v>0.25825706327099079</v>
      </c>
      <c r="H16" s="194"/>
    </row>
    <row r="17" spans="2:8" ht="24" customHeight="1">
      <c r="B17" s="15" t="s">
        <v>65</v>
      </c>
      <c r="C17" s="15" t="s">
        <v>316</v>
      </c>
      <c r="D17" s="15">
        <v>24.61</v>
      </c>
      <c r="E17" s="19">
        <v>34.14</v>
      </c>
      <c r="F17" s="19">
        <f t="shared" si="0"/>
        <v>9.5300000000000011</v>
      </c>
      <c r="G17" s="57">
        <f t="shared" si="1"/>
        <v>0.2791446983011131</v>
      </c>
      <c r="H17" s="194"/>
    </row>
    <row r="18" spans="2:8" ht="24" customHeight="1">
      <c r="B18" s="15" t="s">
        <v>81</v>
      </c>
      <c r="C18" s="15" t="s">
        <v>317</v>
      </c>
      <c r="D18" s="15">
        <v>30.41</v>
      </c>
      <c r="E18" s="19">
        <v>43.44</v>
      </c>
      <c r="F18" s="19">
        <f t="shared" si="0"/>
        <v>13.029999999999998</v>
      </c>
      <c r="G18" s="57">
        <f t="shared" si="1"/>
        <v>0.29995395948434617</v>
      </c>
      <c r="H18" s="194"/>
    </row>
    <row r="19" spans="2:8" ht="24" customHeight="1">
      <c r="B19" s="15" t="s">
        <v>92</v>
      </c>
      <c r="C19" s="15" t="s">
        <v>318</v>
      </c>
      <c r="D19" s="15">
        <v>117.46</v>
      </c>
      <c r="E19" s="19">
        <v>149.83000000000001</v>
      </c>
      <c r="F19" s="19">
        <f t="shared" si="0"/>
        <v>32.370000000000019</v>
      </c>
      <c r="G19" s="57">
        <f t="shared" si="1"/>
        <v>0.21604485083094185</v>
      </c>
      <c r="H19" s="194"/>
    </row>
    <row r="20" spans="2:8" ht="24" customHeight="1">
      <c r="B20" s="192" t="s">
        <v>319</v>
      </c>
      <c r="C20" s="192"/>
      <c r="D20" s="15">
        <f>SUM(D13:D19)</f>
        <v>256.88</v>
      </c>
      <c r="E20" s="19">
        <f>SUM(E13:E19)</f>
        <v>350.03</v>
      </c>
      <c r="F20" s="19">
        <f t="shared" si="0"/>
        <v>93.149999999999977</v>
      </c>
      <c r="G20" s="57">
        <f t="shared" si="1"/>
        <v>0.26612004685312685</v>
      </c>
      <c r="H20" s="195"/>
    </row>
    <row r="26" spans="2:8" ht="18.75">
      <c r="B26" s="191" t="s">
        <v>320</v>
      </c>
      <c r="C26" s="191"/>
      <c r="D26" s="191"/>
      <c r="E26" s="191"/>
      <c r="F26" s="191"/>
      <c r="G26" s="191"/>
    </row>
    <row r="27" spans="2:8" ht="24.95" customHeight="1">
      <c r="B27" s="15" t="s">
        <v>12</v>
      </c>
      <c r="C27" s="15" t="s">
        <v>11</v>
      </c>
      <c r="D27" s="15" t="s">
        <v>338</v>
      </c>
      <c r="E27" s="15" t="s">
        <v>336</v>
      </c>
      <c r="F27" s="15" t="s">
        <v>309</v>
      </c>
      <c r="G27" s="69" t="s">
        <v>310</v>
      </c>
      <c r="H27" s="15" t="s">
        <v>120</v>
      </c>
    </row>
    <row r="28" spans="2:8" ht="24.95" customHeight="1">
      <c r="B28" s="17" t="s">
        <v>121</v>
      </c>
      <c r="C28" s="15" t="s">
        <v>321</v>
      </c>
      <c r="D28" s="15">
        <v>44.604999999999997</v>
      </c>
      <c r="E28" s="19">
        <v>48.76</v>
      </c>
      <c r="F28" s="19">
        <f t="shared" ref="F28:F44" si="2">E28-D28</f>
        <v>4.1550000000000011</v>
      </c>
      <c r="G28" s="70">
        <f t="shared" ref="G28:G46" si="3">F28/E28</f>
        <v>8.5213289581624316E-2</v>
      </c>
      <c r="H28" s="196" t="s">
        <v>312</v>
      </c>
    </row>
    <row r="29" spans="2:8" ht="24.95" customHeight="1">
      <c r="B29" s="17" t="s">
        <v>149</v>
      </c>
      <c r="C29" s="15" t="s">
        <v>322</v>
      </c>
      <c r="D29" s="15">
        <v>44.604999999999997</v>
      </c>
      <c r="E29" s="19">
        <v>48.76</v>
      </c>
      <c r="F29" s="19">
        <f t="shared" si="2"/>
        <v>4.1550000000000011</v>
      </c>
      <c r="G29" s="70">
        <f t="shared" si="3"/>
        <v>8.5213289581624316E-2</v>
      </c>
      <c r="H29" s="196"/>
    </row>
    <row r="30" spans="2:8" ht="24.95" customHeight="1">
      <c r="B30" s="17" t="s">
        <v>154</v>
      </c>
      <c r="C30" s="15" t="s">
        <v>323</v>
      </c>
      <c r="D30" s="15">
        <v>43.43</v>
      </c>
      <c r="E30" s="19">
        <v>46.96</v>
      </c>
      <c r="F30" s="19">
        <f t="shared" si="2"/>
        <v>3.5300000000000011</v>
      </c>
      <c r="G30" s="70">
        <f t="shared" si="3"/>
        <v>7.51703577512777E-2</v>
      </c>
      <c r="H30" s="196"/>
    </row>
    <row r="31" spans="2:8" ht="24.95" customHeight="1">
      <c r="B31" s="15" t="s">
        <v>175</v>
      </c>
      <c r="C31" s="15" t="s">
        <v>324</v>
      </c>
      <c r="D31" s="15">
        <v>44.44</v>
      </c>
      <c r="E31" s="19">
        <v>39.51</v>
      </c>
      <c r="F31" s="19">
        <f t="shared" si="2"/>
        <v>-4.93</v>
      </c>
      <c r="G31" s="70">
        <f t="shared" si="3"/>
        <v>-0.12477853707922044</v>
      </c>
      <c r="H31" s="196"/>
    </row>
    <row r="32" spans="2:8" ht="24.95" customHeight="1">
      <c r="B32" s="15" t="s">
        <v>182</v>
      </c>
      <c r="C32" s="15" t="s">
        <v>325</v>
      </c>
      <c r="D32" s="15">
        <v>47.6</v>
      </c>
      <c r="E32" s="19">
        <v>46.21</v>
      </c>
      <c r="F32" s="19">
        <f t="shared" si="2"/>
        <v>-1.3900000000000006</v>
      </c>
      <c r="G32" s="70">
        <f t="shared" si="3"/>
        <v>-3.0080069249080299E-2</v>
      </c>
      <c r="H32" s="196"/>
    </row>
    <row r="33" spans="2:8" ht="24.95" customHeight="1">
      <c r="B33" s="17" t="s">
        <v>190</v>
      </c>
      <c r="C33" s="15" t="s">
        <v>326</v>
      </c>
      <c r="D33" s="15">
        <v>46.7</v>
      </c>
      <c r="E33" s="19">
        <v>48.59</v>
      </c>
      <c r="F33" s="19">
        <f t="shared" si="2"/>
        <v>1.8900000000000006</v>
      </c>
      <c r="G33" s="70">
        <f t="shared" si="3"/>
        <v>3.8896892364684098E-2</v>
      </c>
      <c r="H33" s="196"/>
    </row>
    <row r="34" spans="2:8" ht="24.95" customHeight="1">
      <c r="B34" s="15" t="s">
        <v>194</v>
      </c>
      <c r="C34" s="15" t="s">
        <v>327</v>
      </c>
      <c r="D34" s="15">
        <v>36.68</v>
      </c>
      <c r="E34" s="19">
        <v>44.83</v>
      </c>
      <c r="F34" s="19">
        <f t="shared" si="2"/>
        <v>8.1499999999999986</v>
      </c>
      <c r="G34" s="70">
        <f t="shared" si="3"/>
        <v>0.18179790318982822</v>
      </c>
      <c r="H34" s="196"/>
    </row>
    <row r="35" spans="2:8" ht="24.95" customHeight="1">
      <c r="B35" s="15" t="s">
        <v>200</v>
      </c>
      <c r="C35" s="15" t="s">
        <v>328</v>
      </c>
      <c r="D35" s="15">
        <v>28.34</v>
      </c>
      <c r="E35" s="19">
        <v>32.479999999999997</v>
      </c>
      <c r="F35" s="19">
        <f t="shared" si="2"/>
        <v>4.139999999999997</v>
      </c>
      <c r="G35" s="70">
        <f t="shared" si="3"/>
        <v>0.12746305418719203</v>
      </c>
      <c r="H35" s="196"/>
    </row>
    <row r="36" spans="2:8" ht="24.95" customHeight="1">
      <c r="B36" s="15" t="s">
        <v>213</v>
      </c>
      <c r="C36" s="15" t="s">
        <v>329</v>
      </c>
      <c r="D36" s="15">
        <v>26.24</v>
      </c>
      <c r="E36" s="19">
        <v>32.409999999999997</v>
      </c>
      <c r="F36" s="19">
        <f t="shared" si="2"/>
        <v>6.1699999999999982</v>
      </c>
      <c r="G36" s="70">
        <f t="shared" si="3"/>
        <v>0.1903733415612465</v>
      </c>
      <c r="H36" s="196"/>
    </row>
    <row r="37" spans="2:8" ht="24.95" customHeight="1">
      <c r="B37" s="15" t="s">
        <v>216</v>
      </c>
      <c r="C37" s="15" t="s">
        <v>330</v>
      </c>
      <c r="D37" s="15">
        <v>30.71</v>
      </c>
      <c r="E37" s="19">
        <v>32.409999999999997</v>
      </c>
      <c r="F37" s="19">
        <f t="shared" si="2"/>
        <v>1.6999999999999957</v>
      </c>
      <c r="G37" s="70">
        <f t="shared" si="3"/>
        <v>5.2452946621413019E-2</v>
      </c>
      <c r="H37" s="196"/>
    </row>
    <row r="38" spans="2:8" ht="24.95" customHeight="1">
      <c r="B38" s="15" t="s">
        <v>220</v>
      </c>
      <c r="C38" s="15" t="s">
        <v>221</v>
      </c>
      <c r="D38" s="15">
        <v>44.88</v>
      </c>
      <c r="E38" s="19">
        <v>43.83</v>
      </c>
      <c r="F38" s="19">
        <f t="shared" si="2"/>
        <v>-1.0500000000000043</v>
      </c>
      <c r="G38" s="70">
        <f t="shared" si="3"/>
        <v>-2.3956194387405986E-2</v>
      </c>
      <c r="H38" s="196"/>
    </row>
    <row r="39" spans="2:8" ht="24.95" customHeight="1">
      <c r="B39" s="17" t="s">
        <v>224</v>
      </c>
      <c r="C39" s="15" t="s">
        <v>331</v>
      </c>
      <c r="D39" s="15">
        <v>38.82</v>
      </c>
      <c r="E39" s="19">
        <v>49.49</v>
      </c>
      <c r="F39" s="19">
        <f t="shared" si="2"/>
        <v>10.670000000000002</v>
      </c>
      <c r="G39" s="70">
        <f t="shared" si="3"/>
        <v>0.21559911093150133</v>
      </c>
      <c r="H39" s="196"/>
    </row>
    <row r="40" spans="2:8" ht="24.95" customHeight="1">
      <c r="B40" s="15" t="s">
        <v>243</v>
      </c>
      <c r="C40" s="15" t="s">
        <v>332</v>
      </c>
      <c r="D40" s="15">
        <v>38.42</v>
      </c>
      <c r="E40" s="19">
        <v>45.63</v>
      </c>
      <c r="F40" s="19">
        <f t="shared" si="2"/>
        <v>7.2100000000000009</v>
      </c>
      <c r="G40" s="70">
        <f t="shared" si="3"/>
        <v>0.15801008108700418</v>
      </c>
      <c r="H40" s="196"/>
    </row>
    <row r="41" spans="2:8" ht="24.95" customHeight="1">
      <c r="B41" s="17" t="s">
        <v>247</v>
      </c>
      <c r="C41" s="15" t="s">
        <v>333</v>
      </c>
      <c r="D41" s="15">
        <v>44.18</v>
      </c>
      <c r="E41" s="19">
        <v>59.32</v>
      </c>
      <c r="F41" s="19">
        <f t="shared" si="2"/>
        <v>15.14</v>
      </c>
      <c r="G41" s="70">
        <f t="shared" si="3"/>
        <v>0.25522589345920432</v>
      </c>
      <c r="H41" s="196"/>
    </row>
    <row r="42" spans="2:8" ht="24.95" customHeight="1">
      <c r="B42" s="15" t="s">
        <v>254</v>
      </c>
      <c r="C42" s="15" t="s">
        <v>334</v>
      </c>
      <c r="D42" s="15">
        <v>43.74</v>
      </c>
      <c r="E42" s="19">
        <v>53.48</v>
      </c>
      <c r="F42" s="19">
        <f t="shared" si="2"/>
        <v>9.7399999999999949</v>
      </c>
      <c r="G42" s="70">
        <f t="shared" si="3"/>
        <v>0.18212415856394906</v>
      </c>
      <c r="H42" s="196"/>
    </row>
    <row r="43" spans="2:8" ht="24.95" customHeight="1">
      <c r="B43" s="17" t="s">
        <v>258</v>
      </c>
      <c r="C43" s="15" t="s">
        <v>318</v>
      </c>
      <c r="D43" s="15">
        <v>193.35</v>
      </c>
      <c r="E43" s="19">
        <v>224.2</v>
      </c>
      <c r="F43" s="19">
        <f t="shared" si="2"/>
        <v>30.849999999999994</v>
      </c>
      <c r="G43" s="70">
        <f t="shared" si="3"/>
        <v>0.13760035682426403</v>
      </c>
      <c r="H43" s="196"/>
    </row>
    <row r="44" spans="2:8" ht="24.95" customHeight="1">
      <c r="B44" s="15" t="s">
        <v>287</v>
      </c>
      <c r="C44" s="15" t="s">
        <v>335</v>
      </c>
      <c r="D44" s="15">
        <v>8.35</v>
      </c>
      <c r="E44" s="19">
        <v>9.5399999999999991</v>
      </c>
      <c r="F44" s="19">
        <f t="shared" si="2"/>
        <v>1.1899999999999995</v>
      </c>
      <c r="G44" s="70">
        <f t="shared" si="3"/>
        <v>0.12473794549266243</v>
      </c>
      <c r="H44" s="196"/>
    </row>
    <row r="45" spans="2:8" ht="24.95" customHeight="1">
      <c r="B45" s="192" t="s">
        <v>319</v>
      </c>
      <c r="C45" s="192"/>
      <c r="D45" s="15">
        <f t="shared" ref="D45:F45" si="4">SUM(D28:D44)</f>
        <v>805.08999999999992</v>
      </c>
      <c r="E45" s="19">
        <f t="shared" si="4"/>
        <v>906.40999999999985</v>
      </c>
      <c r="F45" s="19">
        <f t="shared" si="4"/>
        <v>101.31999999999998</v>
      </c>
      <c r="G45" s="70">
        <f t="shared" si="3"/>
        <v>0.11178164406835758</v>
      </c>
      <c r="H45" s="196"/>
    </row>
    <row r="46" spans="2:8" ht="22.5">
      <c r="B46" s="22" t="s">
        <v>296</v>
      </c>
      <c r="C46" s="22" t="s">
        <v>297</v>
      </c>
      <c r="D46" s="15">
        <f>D28+D29+D30+D33+D39+D41+D43</f>
        <v>455.68999999999994</v>
      </c>
      <c r="E46" s="19">
        <f>E28+E29+E30+E33+E39+E41+E43</f>
        <v>526.07999999999993</v>
      </c>
      <c r="F46" s="19">
        <f>E46-D46</f>
        <v>70.389999999999986</v>
      </c>
      <c r="G46" s="70">
        <f t="shared" si="3"/>
        <v>0.13380094282238442</v>
      </c>
      <c r="H46" s="15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3" type="noConversion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38" zoomScale="80" zoomScaleNormal="80" workbookViewId="0">
      <selection activeCell="F15" sqref="F15"/>
    </sheetView>
  </sheetViews>
  <sheetFormatPr defaultColWidth="8.75" defaultRowHeight="13.5"/>
  <cols>
    <col min="1" max="1" width="8.75" style="13"/>
    <col min="2" max="2" width="14.5" style="13" customWidth="1"/>
    <col min="3" max="3" width="24.375" style="13" customWidth="1"/>
    <col min="4" max="4" width="18.75" style="13" customWidth="1"/>
    <col min="5" max="5" width="17.375" style="13" customWidth="1"/>
    <col min="6" max="6" width="16.375" style="13" customWidth="1"/>
    <col min="7" max="7" width="16" style="13" customWidth="1"/>
    <col min="8" max="8" width="15.25" style="13" customWidth="1"/>
    <col min="9" max="9" width="10.875" style="13" customWidth="1"/>
    <col min="10" max="10" width="8.875" style="13" customWidth="1"/>
    <col min="11" max="16383" width="8.75" style="13"/>
  </cols>
  <sheetData>
    <row r="2" spans="2:9" ht="29.1" customHeight="1">
      <c r="B2" s="189" t="s">
        <v>298</v>
      </c>
      <c r="C2" s="189"/>
      <c r="D2" s="189"/>
      <c r="E2" s="189"/>
      <c r="F2" s="189"/>
      <c r="G2" s="189"/>
    </row>
    <row r="3" spans="2:9" ht="30" customHeight="1">
      <c r="B3" s="15" t="s">
        <v>299</v>
      </c>
      <c r="C3" s="15" t="s">
        <v>9</v>
      </c>
      <c r="D3" s="62" t="s">
        <v>300</v>
      </c>
      <c r="E3" s="62" t="s">
        <v>301</v>
      </c>
      <c r="F3" s="15" t="s">
        <v>302</v>
      </c>
      <c r="G3" s="63" t="s">
        <v>303</v>
      </c>
      <c r="H3" s="63" t="s">
        <v>304</v>
      </c>
      <c r="I3" s="63"/>
    </row>
    <row r="4" spans="2:9" ht="30" customHeight="1">
      <c r="B4" s="15" t="s">
        <v>305</v>
      </c>
      <c r="C4" s="19">
        <f>D20</f>
        <v>258.16545500000001</v>
      </c>
      <c r="D4" s="64">
        <f>E20</f>
        <v>350.03</v>
      </c>
      <c r="E4" s="65">
        <f>(D4-C4)/D4</f>
        <v>0.26244763306002333</v>
      </c>
      <c r="F4" s="19">
        <v>340</v>
      </c>
      <c r="G4" s="66">
        <f>(F4-C4)/F4</f>
        <v>0.24068983823529408</v>
      </c>
      <c r="H4" s="67">
        <f>D4-F4</f>
        <v>10.029999999999973</v>
      </c>
      <c r="I4" s="15"/>
    </row>
    <row r="5" spans="2:9" ht="30" customHeight="1">
      <c r="B5" s="15" t="s">
        <v>306</v>
      </c>
      <c r="C5" s="19">
        <f>D46</f>
        <v>449.01332000000002</v>
      </c>
      <c r="D5" s="64">
        <f>E46</f>
        <v>526.07999999999993</v>
      </c>
      <c r="E5" s="65">
        <f>(D5-C5)/D5</f>
        <v>0.14649232055961053</v>
      </c>
      <c r="F5" s="19">
        <v>514</v>
      </c>
      <c r="G5" s="66">
        <f>(F5-C5)/F5</f>
        <v>0.12643322957198438</v>
      </c>
      <c r="H5" s="67">
        <f>D5-F5</f>
        <v>12.079999999999927</v>
      </c>
      <c r="I5" s="71"/>
    </row>
    <row r="6" spans="2:9" ht="32.450000000000003" customHeight="1">
      <c r="B6" s="190"/>
      <c r="C6" s="190"/>
      <c r="D6" s="190"/>
      <c r="E6" s="190"/>
      <c r="F6" s="190"/>
      <c r="G6" s="190"/>
    </row>
    <row r="11" spans="2:9" ht="18.75">
      <c r="B11" s="191" t="s">
        <v>308</v>
      </c>
      <c r="C11" s="191"/>
      <c r="D11" s="191"/>
      <c r="E11" s="191"/>
      <c r="F11" s="191"/>
      <c r="G11" s="191"/>
    </row>
    <row r="12" spans="2:9" ht="24" customHeight="1">
      <c r="B12" s="15" t="s">
        <v>12</v>
      </c>
      <c r="C12" s="15" t="s">
        <v>11</v>
      </c>
      <c r="D12" s="15" t="s">
        <v>337</v>
      </c>
      <c r="E12" s="15" t="s">
        <v>10</v>
      </c>
      <c r="F12" s="15" t="s">
        <v>309</v>
      </c>
      <c r="G12" s="15" t="s">
        <v>310</v>
      </c>
      <c r="H12" s="15" t="s">
        <v>120</v>
      </c>
    </row>
    <row r="13" spans="2:9" ht="24" customHeight="1">
      <c r="B13" s="15" t="s">
        <v>17</v>
      </c>
      <c r="C13" s="15" t="s">
        <v>311</v>
      </c>
      <c r="D13" s="19">
        <v>25.470718399999999</v>
      </c>
      <c r="E13" s="19">
        <v>36.18</v>
      </c>
      <c r="F13" s="19">
        <f t="shared" ref="F13:F20" si="0">E13-D13</f>
        <v>10.709281600000001</v>
      </c>
      <c r="G13" s="57">
        <f t="shared" ref="G13:G20" si="1">F13/E13</f>
        <v>0.29600004422332782</v>
      </c>
      <c r="H13" s="193" t="s">
        <v>312</v>
      </c>
    </row>
    <row r="14" spans="2:9" ht="24" customHeight="1">
      <c r="B14" s="15" t="s">
        <v>43</v>
      </c>
      <c r="C14" s="15" t="s">
        <v>313</v>
      </c>
      <c r="D14" s="19">
        <v>25.470718399999999</v>
      </c>
      <c r="E14" s="19">
        <v>36.18</v>
      </c>
      <c r="F14" s="19">
        <f t="shared" si="0"/>
        <v>10.709281600000001</v>
      </c>
      <c r="G14" s="57">
        <f t="shared" si="1"/>
        <v>0.29600004422332782</v>
      </c>
      <c r="H14" s="194"/>
    </row>
    <row r="15" spans="2:9" ht="24" customHeight="1">
      <c r="B15" s="15" t="s">
        <v>49</v>
      </c>
      <c r="C15" s="15" t="s">
        <v>314</v>
      </c>
      <c r="D15" s="19">
        <v>17.839124000000002</v>
      </c>
      <c r="E15" s="68">
        <v>25.13</v>
      </c>
      <c r="F15" s="19">
        <f t="shared" si="0"/>
        <v>7.2908759999999972</v>
      </c>
      <c r="G15" s="57">
        <f t="shared" si="1"/>
        <v>0.29012638280939107</v>
      </c>
      <c r="H15" s="194"/>
    </row>
    <row r="16" spans="2:9" ht="24" customHeight="1">
      <c r="B16" s="15" t="s">
        <v>60</v>
      </c>
      <c r="C16" s="15" t="s">
        <v>315</v>
      </c>
      <c r="D16" s="19">
        <v>17.839124000000002</v>
      </c>
      <c r="E16" s="68">
        <v>25.13</v>
      </c>
      <c r="F16" s="19">
        <f t="shared" si="0"/>
        <v>7.2908759999999972</v>
      </c>
      <c r="G16" s="57">
        <f t="shared" si="1"/>
        <v>0.29012638280939107</v>
      </c>
      <c r="H16" s="194"/>
    </row>
    <row r="17" spans="2:10" ht="24" customHeight="1">
      <c r="B17" s="15" t="s">
        <v>65</v>
      </c>
      <c r="C17" s="15" t="s">
        <v>316</v>
      </c>
      <c r="D17" s="19">
        <v>24.6141702</v>
      </c>
      <c r="E17" s="19">
        <v>34.14</v>
      </c>
      <c r="F17" s="19">
        <f t="shared" si="0"/>
        <v>9.5258298000000003</v>
      </c>
      <c r="G17" s="57">
        <f t="shared" si="1"/>
        <v>0.27902254833040424</v>
      </c>
      <c r="H17" s="194"/>
    </row>
    <row r="18" spans="2:10" ht="24" customHeight="1">
      <c r="B18" s="15" t="s">
        <v>81</v>
      </c>
      <c r="C18" s="15" t="s">
        <v>317</v>
      </c>
      <c r="D18" s="19">
        <v>30.4102</v>
      </c>
      <c r="E18" s="19">
        <v>43.44</v>
      </c>
      <c r="F18" s="19">
        <f t="shared" si="0"/>
        <v>13.029799999999998</v>
      </c>
      <c r="G18" s="57">
        <f t="shared" si="1"/>
        <v>0.29994935543278084</v>
      </c>
      <c r="H18" s="194"/>
    </row>
    <row r="19" spans="2:10" ht="24" customHeight="1">
      <c r="B19" s="15" t="s">
        <v>92</v>
      </c>
      <c r="C19" s="15" t="s">
        <v>318</v>
      </c>
      <c r="D19" s="19">
        <v>116.5214</v>
      </c>
      <c r="E19" s="19">
        <v>149.83000000000001</v>
      </c>
      <c r="F19" s="19">
        <f t="shared" si="0"/>
        <v>33.308600000000013</v>
      </c>
      <c r="G19" s="57">
        <f t="shared" si="1"/>
        <v>0.22230928385503576</v>
      </c>
      <c r="H19" s="194"/>
    </row>
    <row r="20" spans="2:10" ht="24" customHeight="1">
      <c r="B20" s="192" t="s">
        <v>319</v>
      </c>
      <c r="C20" s="192"/>
      <c r="D20" s="19">
        <f>SUM(D13:D19)</f>
        <v>258.16545500000001</v>
      </c>
      <c r="E20" s="19">
        <f>SUM(E13:E19)</f>
        <v>350.03</v>
      </c>
      <c r="F20" s="19">
        <f t="shared" si="0"/>
        <v>91.864544999999964</v>
      </c>
      <c r="G20" s="57">
        <f t="shared" si="1"/>
        <v>0.26244763306002333</v>
      </c>
      <c r="H20" s="195"/>
    </row>
    <row r="26" spans="2:10" ht="18.75">
      <c r="B26" s="191" t="s">
        <v>320</v>
      </c>
      <c r="C26" s="191"/>
      <c r="D26" s="191"/>
      <c r="E26" s="191"/>
      <c r="F26" s="191"/>
      <c r="G26" s="191"/>
    </row>
    <row r="27" spans="2:10" ht="24.95" customHeight="1">
      <c r="B27" s="15" t="s">
        <v>12</v>
      </c>
      <c r="C27" s="15" t="s">
        <v>11</v>
      </c>
      <c r="D27" s="15" t="s">
        <v>338</v>
      </c>
      <c r="E27" s="15" t="s">
        <v>336</v>
      </c>
      <c r="F27" s="15" t="s">
        <v>309</v>
      </c>
      <c r="G27" s="69" t="s">
        <v>310</v>
      </c>
      <c r="H27" s="15" t="s">
        <v>120</v>
      </c>
      <c r="I27" s="15" t="s">
        <v>339</v>
      </c>
      <c r="J27" s="15" t="s">
        <v>340</v>
      </c>
    </row>
    <row r="28" spans="2:10" ht="24.95" customHeight="1">
      <c r="B28" s="17" t="s">
        <v>121</v>
      </c>
      <c r="C28" s="15" t="s">
        <v>321</v>
      </c>
      <c r="D28" s="19">
        <v>42.945</v>
      </c>
      <c r="E28" s="19">
        <v>48.76</v>
      </c>
      <c r="F28" s="19">
        <f t="shared" ref="F28:F44" si="2">E28-D28</f>
        <v>5.8149999999999977</v>
      </c>
      <c r="G28" s="70">
        <f t="shared" ref="G28:G46" si="3">F28/E28</f>
        <v>0.11925758818703852</v>
      </c>
      <c r="H28" s="196" t="s">
        <v>312</v>
      </c>
      <c r="I28" s="15">
        <v>11.712</v>
      </c>
      <c r="J28" s="15">
        <v>16.920000000000002</v>
      </c>
    </row>
    <row r="29" spans="2:10" ht="24.95" customHeight="1">
      <c r="B29" s="17" t="s">
        <v>149</v>
      </c>
      <c r="C29" s="15" t="s">
        <v>322</v>
      </c>
      <c r="D29" s="19">
        <v>42.945</v>
      </c>
      <c r="E29" s="19">
        <v>48.76</v>
      </c>
      <c r="F29" s="19">
        <f t="shared" si="2"/>
        <v>5.8149999999999977</v>
      </c>
      <c r="G29" s="70">
        <f t="shared" si="3"/>
        <v>0.11925758818703852</v>
      </c>
      <c r="H29" s="196"/>
      <c r="I29" s="15">
        <v>11.712</v>
      </c>
      <c r="J29" s="15">
        <v>16.920000000000002</v>
      </c>
    </row>
    <row r="30" spans="2:10" ht="24.95" customHeight="1">
      <c r="B30" s="17" t="s">
        <v>154</v>
      </c>
      <c r="C30" s="15" t="s">
        <v>323</v>
      </c>
      <c r="D30" s="19">
        <v>41.985979999999998</v>
      </c>
      <c r="E30" s="19">
        <v>46.96</v>
      </c>
      <c r="F30" s="19">
        <f t="shared" si="2"/>
        <v>4.974020000000003</v>
      </c>
      <c r="G30" s="70">
        <f t="shared" si="3"/>
        <v>0.10592035775127774</v>
      </c>
      <c r="H30" s="196"/>
      <c r="I30" s="15">
        <v>12.472</v>
      </c>
      <c r="J30" s="15">
        <v>15.77</v>
      </c>
    </row>
    <row r="31" spans="2:10" ht="24.95" customHeight="1">
      <c r="B31" s="15" t="s">
        <v>175</v>
      </c>
      <c r="C31" s="15" t="s">
        <v>324</v>
      </c>
      <c r="D31" s="19">
        <v>44.18</v>
      </c>
      <c r="E31" s="19">
        <v>39.51</v>
      </c>
      <c r="F31" s="19">
        <f t="shared" si="2"/>
        <v>-4.6700000000000017</v>
      </c>
      <c r="G31" s="70">
        <f t="shared" si="3"/>
        <v>-0.11819792457605674</v>
      </c>
      <c r="H31" s="196"/>
      <c r="I31" s="15"/>
      <c r="J31" s="15"/>
    </row>
    <row r="32" spans="2:10" ht="24.95" customHeight="1">
      <c r="B32" s="15" t="s">
        <v>182</v>
      </c>
      <c r="C32" s="15" t="s">
        <v>325</v>
      </c>
      <c r="D32" s="19">
        <v>44.72</v>
      </c>
      <c r="E32" s="19">
        <v>46.21</v>
      </c>
      <c r="F32" s="19">
        <f t="shared" si="2"/>
        <v>1.490000000000002</v>
      </c>
      <c r="G32" s="70">
        <f t="shared" si="3"/>
        <v>3.2244103008006966E-2</v>
      </c>
      <c r="H32" s="196"/>
      <c r="I32" s="15"/>
      <c r="J32" s="15"/>
    </row>
    <row r="33" spans="2:10" ht="24.95" customHeight="1">
      <c r="B33" s="17" t="s">
        <v>190</v>
      </c>
      <c r="C33" s="15" t="s">
        <v>326</v>
      </c>
      <c r="D33" s="19">
        <v>45.442799999999998</v>
      </c>
      <c r="E33" s="19">
        <v>48.59</v>
      </c>
      <c r="F33" s="19">
        <f t="shared" si="2"/>
        <v>3.1472000000000051</v>
      </c>
      <c r="G33" s="70">
        <f t="shared" si="3"/>
        <v>6.4770528915414793E-2</v>
      </c>
      <c r="H33" s="196"/>
      <c r="I33" s="15">
        <v>12.472</v>
      </c>
      <c r="J33" s="15">
        <v>15.77</v>
      </c>
    </row>
    <row r="34" spans="2:10" ht="24.95" customHeight="1">
      <c r="B34" s="15" t="s">
        <v>194</v>
      </c>
      <c r="C34" s="15" t="s">
        <v>327</v>
      </c>
      <c r="D34" s="19">
        <v>36.603020000000001</v>
      </c>
      <c r="E34" s="19">
        <v>44.83</v>
      </c>
      <c r="F34" s="19">
        <f t="shared" si="2"/>
        <v>8.2269799999999975</v>
      </c>
      <c r="G34" s="70">
        <f t="shared" si="3"/>
        <v>0.18351505688155248</v>
      </c>
      <c r="H34" s="196"/>
      <c r="I34" s="15"/>
      <c r="J34" s="15"/>
    </row>
    <row r="35" spans="2:10" ht="24.95" customHeight="1">
      <c r="B35" s="15" t="s">
        <v>200</v>
      </c>
      <c r="C35" s="15" t="s">
        <v>328</v>
      </c>
      <c r="D35" s="19">
        <v>28.338360000000002</v>
      </c>
      <c r="E35" s="19">
        <v>32.479999999999997</v>
      </c>
      <c r="F35" s="19">
        <f t="shared" si="2"/>
        <v>4.1416399999999953</v>
      </c>
      <c r="G35" s="70">
        <f t="shared" si="3"/>
        <v>0.12751354679802943</v>
      </c>
      <c r="H35" s="196"/>
      <c r="I35" s="15"/>
      <c r="J35" s="15"/>
    </row>
    <row r="36" spans="2:10" ht="24.95" customHeight="1">
      <c r="B36" s="15" t="s">
        <v>213</v>
      </c>
      <c r="C36" s="15" t="s">
        <v>329</v>
      </c>
      <c r="D36" s="19">
        <v>26.235499999999998</v>
      </c>
      <c r="E36" s="19">
        <v>32.409999999999997</v>
      </c>
      <c r="F36" s="19">
        <f t="shared" si="2"/>
        <v>6.1744999999999983</v>
      </c>
      <c r="G36" s="70">
        <f t="shared" si="3"/>
        <v>0.19051218759642083</v>
      </c>
      <c r="H36" s="196"/>
      <c r="I36" s="15"/>
      <c r="J36" s="15"/>
    </row>
    <row r="37" spans="2:10" ht="24.95" customHeight="1">
      <c r="B37" s="15" t="s">
        <v>216</v>
      </c>
      <c r="C37" s="15" t="s">
        <v>330</v>
      </c>
      <c r="D37" s="19">
        <v>30.710979999999999</v>
      </c>
      <c r="E37" s="19">
        <v>32.409999999999997</v>
      </c>
      <c r="F37" s="19">
        <f t="shared" si="2"/>
        <v>1.6990199999999973</v>
      </c>
      <c r="G37" s="70">
        <f t="shared" si="3"/>
        <v>5.2422709040419548E-2</v>
      </c>
      <c r="H37" s="196"/>
      <c r="I37" s="15"/>
      <c r="J37" s="15"/>
    </row>
    <row r="38" spans="2:10" ht="24.95" customHeight="1">
      <c r="B38" s="15" t="s">
        <v>220</v>
      </c>
      <c r="C38" s="15" t="s">
        <v>221</v>
      </c>
      <c r="D38" s="19">
        <v>44.88</v>
      </c>
      <c r="E38" s="19">
        <v>43.83</v>
      </c>
      <c r="F38" s="19">
        <f t="shared" si="2"/>
        <v>-1.0500000000000043</v>
      </c>
      <c r="G38" s="70">
        <f t="shared" si="3"/>
        <v>-2.3956194387405986E-2</v>
      </c>
      <c r="H38" s="196"/>
      <c r="I38" s="15"/>
      <c r="J38" s="15"/>
    </row>
    <row r="39" spans="2:10" ht="24.95" customHeight="1">
      <c r="B39" s="17" t="s">
        <v>224</v>
      </c>
      <c r="C39" s="15" t="s">
        <v>331</v>
      </c>
      <c r="D39" s="19">
        <v>38.663600000000002</v>
      </c>
      <c r="E39" s="19">
        <v>49.49</v>
      </c>
      <c r="F39" s="19">
        <f t="shared" si="2"/>
        <v>10.8264</v>
      </c>
      <c r="G39" s="70">
        <f t="shared" si="3"/>
        <v>0.2187593453222873</v>
      </c>
      <c r="H39" s="196"/>
      <c r="I39" s="15">
        <v>12.09</v>
      </c>
      <c r="J39" s="15">
        <v>20.84</v>
      </c>
    </row>
    <row r="40" spans="2:10" ht="24.95" customHeight="1">
      <c r="B40" s="15" t="s">
        <v>243</v>
      </c>
      <c r="C40" s="15" t="s">
        <v>332</v>
      </c>
      <c r="D40" s="19">
        <v>38.255940000000002</v>
      </c>
      <c r="E40" s="19">
        <v>45.63</v>
      </c>
      <c r="F40" s="19">
        <f t="shared" si="2"/>
        <v>7.3740600000000001</v>
      </c>
      <c r="G40" s="70">
        <f t="shared" si="3"/>
        <v>0.16160552268244574</v>
      </c>
      <c r="H40" s="196"/>
      <c r="I40" s="15"/>
      <c r="J40" s="15"/>
    </row>
    <row r="41" spans="2:10" ht="24.95" customHeight="1">
      <c r="B41" s="17" t="s">
        <v>247</v>
      </c>
      <c r="C41" s="15" t="s">
        <v>333</v>
      </c>
      <c r="D41" s="19">
        <v>43.939540000000001</v>
      </c>
      <c r="E41" s="19">
        <v>59.32</v>
      </c>
      <c r="F41" s="19">
        <f t="shared" si="2"/>
        <v>15.380459999999999</v>
      </c>
      <c r="G41" s="70">
        <f t="shared" si="3"/>
        <v>0.25927950101146324</v>
      </c>
      <c r="H41" s="196"/>
      <c r="I41" s="15">
        <v>12.09</v>
      </c>
      <c r="J41" s="15">
        <v>20.84</v>
      </c>
    </row>
    <row r="42" spans="2:10" ht="24.95" customHeight="1">
      <c r="B42" s="15" t="s">
        <v>254</v>
      </c>
      <c r="C42" s="15" t="s">
        <v>334</v>
      </c>
      <c r="D42" s="19">
        <v>43.496639999999999</v>
      </c>
      <c r="E42" s="19">
        <v>53.48</v>
      </c>
      <c r="F42" s="19">
        <f t="shared" si="2"/>
        <v>9.9833599999999976</v>
      </c>
      <c r="G42" s="70">
        <f t="shared" si="3"/>
        <v>0.18667464472700071</v>
      </c>
      <c r="H42" s="196"/>
      <c r="I42" s="15"/>
      <c r="J42" s="15"/>
    </row>
    <row r="43" spans="2:10" ht="24.95" customHeight="1">
      <c r="B43" s="17" t="s">
        <v>258</v>
      </c>
      <c r="C43" s="15" t="s">
        <v>318</v>
      </c>
      <c r="D43" s="19">
        <v>193.09139999999999</v>
      </c>
      <c r="E43" s="19">
        <v>224.2</v>
      </c>
      <c r="F43" s="19">
        <f t="shared" si="2"/>
        <v>31.108599999999996</v>
      </c>
      <c r="G43" s="70">
        <f t="shared" si="3"/>
        <v>0.13875379125780551</v>
      </c>
      <c r="H43" s="196"/>
      <c r="I43" s="15">
        <v>42.26</v>
      </c>
      <c r="J43" s="15">
        <v>47</v>
      </c>
    </row>
    <row r="44" spans="2:10" ht="24.95" customHeight="1">
      <c r="B44" s="15" t="s">
        <v>287</v>
      </c>
      <c r="C44" s="15" t="s">
        <v>335</v>
      </c>
      <c r="D44" s="19">
        <v>8.3505599999999998</v>
      </c>
      <c r="E44" s="19">
        <v>9.5399999999999991</v>
      </c>
      <c r="F44" s="19">
        <f t="shared" si="2"/>
        <v>1.1894399999999994</v>
      </c>
      <c r="G44" s="70">
        <f t="shared" si="3"/>
        <v>0.12467924528301881</v>
      </c>
      <c r="H44" s="196"/>
      <c r="I44" s="15"/>
      <c r="J44" s="15"/>
    </row>
    <row r="45" spans="2:10" ht="24.95" customHeight="1">
      <c r="B45" s="192" t="s">
        <v>319</v>
      </c>
      <c r="C45" s="192"/>
      <c r="D45" s="19">
        <f t="shared" ref="D45:F45" si="4">SUM(D28:D44)</f>
        <v>794.78431999999998</v>
      </c>
      <c r="E45" s="19">
        <f t="shared" si="4"/>
        <v>906.40999999999985</v>
      </c>
      <c r="F45" s="19">
        <f t="shared" si="4"/>
        <v>111.62568</v>
      </c>
      <c r="G45" s="70">
        <f t="shared" si="3"/>
        <v>0.12315142154212776</v>
      </c>
      <c r="H45" s="196"/>
      <c r="I45" s="15"/>
      <c r="J45" s="15"/>
    </row>
    <row r="46" spans="2:10" ht="22.5">
      <c r="B46" s="22" t="s">
        <v>296</v>
      </c>
      <c r="C46" s="22" t="s">
        <v>297</v>
      </c>
      <c r="D46" s="19">
        <f>D28+D29+D30+D33+D39+D41+D43</f>
        <v>449.01332000000002</v>
      </c>
      <c r="E46" s="19">
        <f>E28+E29+E30+E33+E39+E41+E43</f>
        <v>526.07999999999993</v>
      </c>
      <c r="F46" s="19">
        <f>E46-D46</f>
        <v>77.066679999999906</v>
      </c>
      <c r="G46" s="70">
        <f t="shared" si="3"/>
        <v>0.14649232055961053</v>
      </c>
      <c r="H46" s="15"/>
      <c r="I46" s="15">
        <f>SUM(I28:I45)</f>
        <v>114.80799999999999</v>
      </c>
      <c r="J46" s="15">
        <f>16.92+16.92+15.77+20.84+15.77+20.84+47</f>
        <v>154.06</v>
      </c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3" type="noConversion"/>
  <pageMargins left="0.75" right="0.75" top="1" bottom="1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0" zoomScaleNormal="80" workbookViewId="0">
      <selection activeCell="G17" sqref="G17"/>
    </sheetView>
  </sheetViews>
  <sheetFormatPr defaultColWidth="9" defaultRowHeight="13.5"/>
  <cols>
    <col min="1" max="2" width="16.125" customWidth="1"/>
    <col min="3" max="3" width="18.125" customWidth="1"/>
    <col min="4" max="6" width="16.125" customWidth="1"/>
    <col min="7" max="7" width="18.125" customWidth="1"/>
    <col min="8" max="8" width="18.375" customWidth="1"/>
    <col min="9" max="9" width="16.125" customWidth="1"/>
  </cols>
  <sheetData>
    <row r="1" spans="1:10" ht="24" customHeight="1">
      <c r="A1" s="197" t="s">
        <v>341</v>
      </c>
      <c r="B1" s="197"/>
      <c r="C1" s="197"/>
      <c r="D1" s="197"/>
      <c r="E1" s="197"/>
      <c r="F1" s="1"/>
      <c r="G1" s="1"/>
      <c r="H1" s="2"/>
      <c r="I1" s="2"/>
    </row>
    <row r="2" spans="1:10" ht="24" customHeight="1">
      <c r="A2" s="3" t="s">
        <v>299</v>
      </c>
      <c r="B2" s="3" t="s">
        <v>342</v>
      </c>
      <c r="C2" s="58" t="s">
        <v>343</v>
      </c>
      <c r="D2" s="4" t="s">
        <v>336</v>
      </c>
      <c r="E2" s="4" t="s">
        <v>309</v>
      </c>
      <c r="F2" s="4" t="s">
        <v>301</v>
      </c>
      <c r="G2" s="5"/>
      <c r="H2" s="5"/>
      <c r="I2" s="2"/>
      <c r="J2" s="2"/>
    </row>
    <row r="3" spans="1:10" ht="24" customHeight="1">
      <c r="A3" s="3" t="s">
        <v>305</v>
      </c>
      <c r="B3" s="3">
        <f>附加值汇总表3.24!C4</f>
        <v>256.88</v>
      </c>
      <c r="C3" s="59">
        <f>附加值汇总表4.27!D20</f>
        <v>258.16545500000001</v>
      </c>
      <c r="D3" s="6">
        <v>350.03</v>
      </c>
      <c r="E3" s="6">
        <f>D3-C3</f>
        <v>91.864544999999964</v>
      </c>
      <c r="F3" s="7">
        <f>E3/D3</f>
        <v>0.26244763306002333</v>
      </c>
      <c r="G3" s="8"/>
      <c r="H3" s="8"/>
      <c r="I3" s="2"/>
      <c r="J3" s="2"/>
    </row>
    <row r="4" spans="1:10" ht="24" customHeight="1">
      <c r="A4" s="3" t="s">
        <v>306</v>
      </c>
      <c r="B4" s="3">
        <f>附加值汇总表3.24!C5</f>
        <v>455.68999999999994</v>
      </c>
      <c r="C4" s="59">
        <f>附加值汇总表4.27!D46</f>
        <v>449.01332000000002</v>
      </c>
      <c r="D4" s="6">
        <v>526.08000000000004</v>
      </c>
      <c r="E4" s="6">
        <f>D4-C4</f>
        <v>77.066680000000019</v>
      </c>
      <c r="F4" s="7">
        <f>E4/D4</f>
        <v>0.14649232055961073</v>
      </c>
      <c r="G4" s="8"/>
      <c r="H4" s="8"/>
      <c r="I4" s="2"/>
      <c r="J4" s="2"/>
    </row>
    <row r="5" spans="1:10" ht="15" customHeight="1">
      <c r="A5" s="2"/>
      <c r="B5" s="2"/>
      <c r="C5" s="2"/>
      <c r="D5" s="2"/>
      <c r="E5" s="2"/>
      <c r="F5" s="2"/>
      <c r="G5" s="2"/>
      <c r="H5" s="2"/>
      <c r="I5" s="2"/>
    </row>
    <row r="6" spans="1:10" ht="15" customHeight="1">
      <c r="A6" s="2"/>
      <c r="B6" s="2"/>
      <c r="C6" s="2"/>
      <c r="D6" s="2"/>
      <c r="E6" s="2"/>
      <c r="F6" s="2"/>
      <c r="G6" s="2"/>
      <c r="H6" s="2"/>
      <c r="I6" s="2"/>
    </row>
    <row r="7" spans="1:10" ht="15" customHeight="1">
      <c r="A7" s="2"/>
      <c r="B7" s="2"/>
      <c r="C7" s="2"/>
      <c r="D7" s="2"/>
      <c r="E7" s="2"/>
      <c r="F7" s="2"/>
      <c r="G7" s="2"/>
      <c r="H7" s="2"/>
      <c r="I7" s="2"/>
    </row>
    <row r="8" spans="1:10" ht="24" customHeight="1">
      <c r="A8" s="198" t="s">
        <v>344</v>
      </c>
      <c r="B8" s="198"/>
      <c r="C8" s="198"/>
      <c r="D8" s="198"/>
      <c r="E8" s="198"/>
      <c r="F8" s="198"/>
      <c r="G8" s="198"/>
      <c r="H8" s="198"/>
      <c r="I8" s="198"/>
    </row>
    <row r="9" spans="1:10" ht="24" customHeight="1">
      <c r="A9" s="3" t="s">
        <v>299</v>
      </c>
      <c r="B9" s="3" t="s">
        <v>345</v>
      </c>
      <c r="C9" s="60" t="s">
        <v>346</v>
      </c>
      <c r="D9" s="4" t="s">
        <v>347</v>
      </c>
      <c r="E9" s="4" t="s">
        <v>348</v>
      </c>
      <c r="F9" s="4" t="s">
        <v>349</v>
      </c>
      <c r="G9" s="4" t="s">
        <v>350</v>
      </c>
      <c r="H9" s="3" t="s">
        <v>351</v>
      </c>
      <c r="I9" s="3" t="s">
        <v>352</v>
      </c>
    </row>
    <row r="10" spans="1:10" ht="24" customHeight="1">
      <c r="A10" s="3" t="s">
        <v>305</v>
      </c>
      <c r="B10" s="6">
        <f>C3</f>
        <v>258.16545500000001</v>
      </c>
      <c r="C10" s="59">
        <v>350.03</v>
      </c>
      <c r="D10" s="6">
        <v>71.739999999999995</v>
      </c>
      <c r="E10" s="6">
        <v>11.76</v>
      </c>
      <c r="F10" s="6">
        <v>16.52</v>
      </c>
      <c r="G10" s="6">
        <v>3.68</v>
      </c>
      <c r="H10" s="3">
        <f>C10-B10-D10-E10-F10-G10</f>
        <v>-11.83545500000003</v>
      </c>
      <c r="I10" s="7">
        <f>H10/C10</f>
        <v>-3.3812687483930036E-2</v>
      </c>
    </row>
    <row r="11" spans="1:10" ht="24" customHeight="1">
      <c r="A11" s="3" t="s">
        <v>306</v>
      </c>
      <c r="B11" s="6">
        <f>C4</f>
        <v>449.01332000000002</v>
      </c>
      <c r="C11" s="59">
        <v>526.08000000000004</v>
      </c>
      <c r="D11" s="6">
        <v>71.739999999999995</v>
      </c>
      <c r="E11" s="6">
        <v>11.76</v>
      </c>
      <c r="F11" s="6">
        <v>16.52</v>
      </c>
      <c r="G11" s="6">
        <v>3.68</v>
      </c>
      <c r="H11" s="3">
        <f>C11-B11-D11-E11-F11-G11</f>
        <v>-26.633319999999976</v>
      </c>
      <c r="I11" s="7">
        <f>H11/C11</f>
        <v>-5.0625988442822338E-2</v>
      </c>
    </row>
    <row r="12" spans="1:10" ht="15" customHeight="1">
      <c r="A12" s="2"/>
      <c r="B12" s="2"/>
      <c r="C12" s="2"/>
      <c r="D12" s="2"/>
      <c r="E12" s="2"/>
      <c r="F12" s="2"/>
      <c r="G12" s="2"/>
      <c r="H12" s="2"/>
      <c r="I12" s="2"/>
    </row>
    <row r="15" spans="1:10" ht="23.1" customHeight="1">
      <c r="A15" s="198" t="s">
        <v>344</v>
      </c>
      <c r="B15" s="198"/>
      <c r="C15" s="198"/>
      <c r="D15" s="198"/>
      <c r="E15" s="198"/>
      <c r="F15" s="198"/>
      <c r="G15" s="198"/>
      <c r="H15" s="198"/>
      <c r="I15" s="198"/>
    </row>
    <row r="16" spans="1:10" ht="23.1" customHeight="1">
      <c r="A16" s="3" t="s">
        <v>299</v>
      </c>
      <c r="B16" s="3" t="s">
        <v>345</v>
      </c>
      <c r="C16" s="60" t="s">
        <v>353</v>
      </c>
      <c r="D16" s="4" t="s">
        <v>347</v>
      </c>
      <c r="E16" s="4" t="s">
        <v>348</v>
      </c>
      <c r="F16" s="4" t="s">
        <v>349</v>
      </c>
      <c r="G16" s="4" t="s">
        <v>350</v>
      </c>
      <c r="H16" s="3" t="s">
        <v>351</v>
      </c>
      <c r="I16" s="3" t="s">
        <v>352</v>
      </c>
    </row>
    <row r="17" spans="1:9" ht="23.1" customHeight="1">
      <c r="A17" s="3" t="s">
        <v>305</v>
      </c>
      <c r="B17" s="6">
        <f>B10</f>
        <v>258.16545500000001</v>
      </c>
      <c r="C17" s="59">
        <v>380.9</v>
      </c>
      <c r="D17" s="6">
        <v>71.739999999999995</v>
      </c>
      <c r="E17" s="6">
        <v>11.76</v>
      </c>
      <c r="F17" s="6">
        <v>16.52</v>
      </c>
      <c r="G17" s="6">
        <v>3.68</v>
      </c>
      <c r="H17" s="3">
        <f>C17-B17-D17-E17-F17-G17</f>
        <v>19.034544999999977</v>
      </c>
      <c r="I17" s="7">
        <f>H17/C17</f>
        <v>4.997255185087944E-2</v>
      </c>
    </row>
    <row r="18" spans="1:9" ht="23.1" customHeight="1">
      <c r="A18" s="3" t="s">
        <v>306</v>
      </c>
      <c r="B18" s="6">
        <f>B11</f>
        <v>449.01332000000002</v>
      </c>
      <c r="C18" s="59">
        <v>581.79999999999995</v>
      </c>
      <c r="D18" s="6">
        <v>71.739999999999995</v>
      </c>
      <c r="E18" s="6">
        <v>11.76</v>
      </c>
      <c r="F18" s="6">
        <v>16.52</v>
      </c>
      <c r="G18" s="6">
        <v>3.68</v>
      </c>
      <c r="H18" s="3">
        <f>C18-B18-D18-E18-F18-G18</f>
        <v>29.086679999999937</v>
      </c>
      <c r="I18" s="7">
        <f>H18/C18</f>
        <v>4.9994293571674009E-2</v>
      </c>
    </row>
    <row r="23" spans="1:9" ht="23.1" customHeight="1">
      <c r="A23" s="3" t="s">
        <v>299</v>
      </c>
      <c r="B23" s="3" t="s">
        <v>345</v>
      </c>
      <c r="C23" s="60" t="s">
        <v>346</v>
      </c>
      <c r="D23" s="60" t="s">
        <v>353</v>
      </c>
      <c r="E23" s="3" t="s">
        <v>354</v>
      </c>
      <c r="F23" s="3" t="s">
        <v>355</v>
      </c>
      <c r="G23" s="3" t="s">
        <v>120</v>
      </c>
    </row>
    <row r="24" spans="1:9" ht="23.1" customHeight="1">
      <c r="A24" s="3" t="s">
        <v>305</v>
      </c>
      <c r="B24" s="6">
        <f>B17</f>
        <v>258.16545500000001</v>
      </c>
      <c r="C24" s="59">
        <v>350.03</v>
      </c>
      <c r="D24" s="59">
        <f>C17</f>
        <v>380.9</v>
      </c>
      <c r="E24" s="6">
        <f>D24-C24</f>
        <v>30.870000000000005</v>
      </c>
      <c r="F24" s="61">
        <f>E24/D24</f>
        <v>8.1044893672880036E-2</v>
      </c>
      <c r="G24" s="199" t="s">
        <v>356</v>
      </c>
    </row>
    <row r="25" spans="1:9" ht="23.1" customHeight="1">
      <c r="A25" s="3" t="s">
        <v>306</v>
      </c>
      <c r="B25" s="6">
        <f>B18</f>
        <v>449.01332000000002</v>
      </c>
      <c r="C25" s="59">
        <v>526.08000000000004</v>
      </c>
      <c r="D25" s="59">
        <f>C18</f>
        <v>581.79999999999995</v>
      </c>
      <c r="E25" s="6">
        <f>D25-C25</f>
        <v>55.719999999999914</v>
      </c>
      <c r="F25" s="61">
        <f>E25/D25</f>
        <v>9.5771742866964452E-2</v>
      </c>
      <c r="G25" s="200"/>
    </row>
  </sheetData>
  <mergeCells count="4">
    <mergeCell ref="A1:E1"/>
    <mergeCell ref="A8:I8"/>
    <mergeCell ref="A15:I15"/>
    <mergeCell ref="G24:G25"/>
  </mergeCells>
  <phoneticPr fontId="4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opLeftCell="C1" workbookViewId="0">
      <selection activeCell="I9" sqref="I9"/>
    </sheetView>
  </sheetViews>
  <sheetFormatPr defaultColWidth="9" defaultRowHeight="13.5"/>
  <cols>
    <col min="2" max="2" width="11.5" customWidth="1"/>
    <col min="3" max="3" width="61" customWidth="1"/>
    <col min="4" max="4" width="14.25" customWidth="1"/>
    <col min="5" max="7" width="11.875" customWidth="1"/>
    <col min="8" max="8" width="9" style="13"/>
  </cols>
  <sheetData>
    <row r="2" spans="2:8" ht="27" customHeight="1">
      <c r="B2" s="191" t="s">
        <v>320</v>
      </c>
      <c r="C2" s="191"/>
      <c r="D2" s="191"/>
      <c r="E2" s="191"/>
      <c r="F2" s="191"/>
      <c r="G2" s="191"/>
    </row>
    <row r="3" spans="2:8" ht="33.950000000000003" customHeight="1">
      <c r="B3" s="15" t="s">
        <v>12</v>
      </c>
      <c r="C3" s="15" t="s">
        <v>11</v>
      </c>
      <c r="D3" s="16" t="s">
        <v>338</v>
      </c>
      <c r="E3" s="15" t="s">
        <v>357</v>
      </c>
      <c r="F3" s="15" t="s">
        <v>309</v>
      </c>
      <c r="G3" s="15" t="s">
        <v>310</v>
      </c>
      <c r="H3" s="56"/>
    </row>
    <row r="4" spans="2:8" ht="20.100000000000001" customHeight="1">
      <c r="B4" s="17" t="s">
        <v>121</v>
      </c>
      <c r="C4" s="15" t="s">
        <v>321</v>
      </c>
      <c r="D4" s="19">
        <v>42.945</v>
      </c>
      <c r="E4" s="19">
        <v>53.22</v>
      </c>
      <c r="F4" s="19">
        <f t="shared" ref="F4:F20" si="0">E4-D4</f>
        <v>10.274999999999999</v>
      </c>
      <c r="G4" s="57">
        <f t="shared" ref="G4:G22" si="1">F4/E4</f>
        <v>0.19306651634723787</v>
      </c>
      <c r="H4" s="56"/>
    </row>
    <row r="5" spans="2:8" ht="20.100000000000001" customHeight="1">
      <c r="B5" s="17" t="s">
        <v>149</v>
      </c>
      <c r="C5" s="15" t="s">
        <v>322</v>
      </c>
      <c r="D5" s="19">
        <v>42.945</v>
      </c>
      <c r="E5" s="19">
        <v>53.22</v>
      </c>
      <c r="F5" s="19">
        <f t="shared" si="0"/>
        <v>10.274999999999999</v>
      </c>
      <c r="G5" s="57">
        <f t="shared" si="1"/>
        <v>0.19306651634723787</v>
      </c>
      <c r="H5" s="56"/>
    </row>
    <row r="6" spans="2:8" ht="20.100000000000001" customHeight="1">
      <c r="B6" s="17" t="s">
        <v>154</v>
      </c>
      <c r="C6" s="15" t="s">
        <v>323</v>
      </c>
      <c r="D6" s="19">
        <v>41.985979999999998</v>
      </c>
      <c r="E6" s="19">
        <v>46.97</v>
      </c>
      <c r="F6" s="19">
        <f t="shared" si="0"/>
        <v>4.984020000000001</v>
      </c>
      <c r="G6" s="57">
        <f t="shared" si="1"/>
        <v>0.106110708963168</v>
      </c>
      <c r="H6" s="56"/>
    </row>
    <row r="7" spans="2:8" ht="20.100000000000001" customHeight="1">
      <c r="B7" s="15" t="s">
        <v>175</v>
      </c>
      <c r="C7" s="15" t="s">
        <v>324</v>
      </c>
      <c r="D7" s="19">
        <v>44.18</v>
      </c>
      <c r="E7" s="19">
        <v>39.51</v>
      </c>
      <c r="F7" s="19">
        <f t="shared" si="0"/>
        <v>-4.6700000000000017</v>
      </c>
      <c r="G7" s="57">
        <f t="shared" si="1"/>
        <v>-0.11819792457605674</v>
      </c>
      <c r="H7" s="56"/>
    </row>
    <row r="8" spans="2:8" ht="20.100000000000001" customHeight="1">
      <c r="B8" s="15" t="s">
        <v>182</v>
      </c>
      <c r="C8" s="15" t="s">
        <v>325</v>
      </c>
      <c r="D8" s="19">
        <v>44.72</v>
      </c>
      <c r="E8" s="19">
        <v>46.21</v>
      </c>
      <c r="F8" s="19">
        <f t="shared" si="0"/>
        <v>1.490000000000002</v>
      </c>
      <c r="G8" s="57">
        <f t="shared" si="1"/>
        <v>3.2244103008006966E-2</v>
      </c>
      <c r="H8" s="56"/>
    </row>
    <row r="9" spans="2:8" ht="20.100000000000001" customHeight="1">
      <c r="B9" s="17" t="s">
        <v>190</v>
      </c>
      <c r="C9" s="15" t="s">
        <v>326</v>
      </c>
      <c r="D9" s="19">
        <v>45.442799999999998</v>
      </c>
      <c r="E9" s="19">
        <v>48.58</v>
      </c>
      <c r="F9" s="19">
        <f t="shared" si="0"/>
        <v>3.1372</v>
      </c>
      <c r="G9" s="57">
        <f t="shared" si="1"/>
        <v>6.4578015644298062E-2</v>
      </c>
      <c r="H9" s="56"/>
    </row>
    <row r="10" spans="2:8" ht="20.100000000000001" customHeight="1">
      <c r="B10" s="15" t="s">
        <v>194</v>
      </c>
      <c r="C10" s="15" t="s">
        <v>327</v>
      </c>
      <c r="D10" s="19">
        <v>36.603020000000001</v>
      </c>
      <c r="E10" s="19">
        <v>44.83</v>
      </c>
      <c r="F10" s="19">
        <f t="shared" si="0"/>
        <v>8.2269799999999975</v>
      </c>
      <c r="G10" s="57">
        <f t="shared" si="1"/>
        <v>0.18351505688155248</v>
      </c>
      <c r="H10" s="56"/>
    </row>
    <row r="11" spans="2:8" ht="20.100000000000001" customHeight="1">
      <c r="B11" s="15" t="s">
        <v>200</v>
      </c>
      <c r="C11" s="15" t="s">
        <v>328</v>
      </c>
      <c r="D11" s="19">
        <v>28.338360000000002</v>
      </c>
      <c r="E11" s="19">
        <v>32.49</v>
      </c>
      <c r="F11" s="19">
        <f t="shared" si="0"/>
        <v>4.1516400000000004</v>
      </c>
      <c r="G11" s="57">
        <f t="shared" si="1"/>
        <v>0.12778208679593722</v>
      </c>
      <c r="H11" s="56"/>
    </row>
    <row r="12" spans="2:8" ht="20.100000000000001" customHeight="1">
      <c r="B12" s="15" t="s">
        <v>213</v>
      </c>
      <c r="C12" s="15" t="s">
        <v>329</v>
      </c>
      <c r="D12" s="19">
        <v>26.235499999999998</v>
      </c>
      <c r="E12" s="19">
        <v>32.409999999999997</v>
      </c>
      <c r="F12" s="19">
        <f t="shared" si="0"/>
        <v>6.1744999999999983</v>
      </c>
      <c r="G12" s="57">
        <f t="shared" si="1"/>
        <v>0.19051218759642083</v>
      </c>
      <c r="H12" s="56"/>
    </row>
    <row r="13" spans="2:8" ht="20.100000000000001" customHeight="1">
      <c r="B13" s="15" t="s">
        <v>216</v>
      </c>
      <c r="C13" s="15" t="s">
        <v>330</v>
      </c>
      <c r="D13" s="19">
        <v>30.710979999999999</v>
      </c>
      <c r="E13" s="19">
        <v>32.409999999999997</v>
      </c>
      <c r="F13" s="19">
        <f t="shared" si="0"/>
        <v>1.6990199999999973</v>
      </c>
      <c r="G13" s="57">
        <f t="shared" si="1"/>
        <v>5.2422709040419548E-2</v>
      </c>
      <c r="H13" s="56"/>
    </row>
    <row r="14" spans="2:8" ht="20.100000000000001" customHeight="1">
      <c r="B14" s="15" t="s">
        <v>220</v>
      </c>
      <c r="C14" s="15" t="s">
        <v>221</v>
      </c>
      <c r="D14" s="19">
        <v>44.88</v>
      </c>
      <c r="E14" s="19">
        <v>43.83</v>
      </c>
      <c r="F14" s="19">
        <f t="shared" si="0"/>
        <v>-1.0500000000000043</v>
      </c>
      <c r="G14" s="57">
        <f t="shared" si="1"/>
        <v>-2.3956194387405986E-2</v>
      </c>
      <c r="H14" s="56"/>
    </row>
    <row r="15" spans="2:8" ht="20.100000000000001" customHeight="1">
      <c r="B15" s="17" t="s">
        <v>224</v>
      </c>
      <c r="C15" s="15" t="s">
        <v>331</v>
      </c>
      <c r="D15" s="19">
        <v>38.663600000000002</v>
      </c>
      <c r="E15" s="19">
        <v>49.49</v>
      </c>
      <c r="F15" s="19">
        <f t="shared" si="0"/>
        <v>10.8264</v>
      </c>
      <c r="G15" s="57">
        <f t="shared" si="1"/>
        <v>0.2187593453222873</v>
      </c>
      <c r="H15" s="56"/>
    </row>
    <row r="16" spans="2:8" ht="20.100000000000001" customHeight="1">
      <c r="B16" s="15" t="s">
        <v>243</v>
      </c>
      <c r="C16" s="15" t="s">
        <v>332</v>
      </c>
      <c r="D16" s="19">
        <v>38.255940000000002</v>
      </c>
      <c r="E16" s="19">
        <v>45.64</v>
      </c>
      <c r="F16" s="19">
        <f t="shared" si="0"/>
        <v>7.3840599999999981</v>
      </c>
      <c r="G16" s="57">
        <f t="shared" si="1"/>
        <v>0.16178921998247148</v>
      </c>
      <c r="H16" s="56"/>
    </row>
    <row r="17" spans="2:8" ht="20.100000000000001" customHeight="1">
      <c r="B17" s="17" t="s">
        <v>247</v>
      </c>
      <c r="C17" s="15" t="s">
        <v>333</v>
      </c>
      <c r="D17" s="19">
        <v>43.939540000000001</v>
      </c>
      <c r="E17" s="19">
        <v>59.32</v>
      </c>
      <c r="F17" s="19">
        <f t="shared" si="0"/>
        <v>15.380459999999999</v>
      </c>
      <c r="G17" s="57">
        <f t="shared" si="1"/>
        <v>0.25927950101146324</v>
      </c>
      <c r="H17" s="56"/>
    </row>
    <row r="18" spans="2:8" ht="20.100000000000001" customHeight="1">
      <c r="B18" s="15" t="s">
        <v>254</v>
      </c>
      <c r="C18" s="15" t="s">
        <v>334</v>
      </c>
      <c r="D18" s="19">
        <v>43.496639999999999</v>
      </c>
      <c r="E18" s="19">
        <v>53.48</v>
      </c>
      <c r="F18" s="19">
        <f t="shared" si="0"/>
        <v>9.9833599999999976</v>
      </c>
      <c r="G18" s="57">
        <f t="shared" si="1"/>
        <v>0.18667464472700071</v>
      </c>
      <c r="H18" s="56"/>
    </row>
    <row r="19" spans="2:8" ht="20.100000000000001" customHeight="1">
      <c r="B19" s="17" t="s">
        <v>258</v>
      </c>
      <c r="C19" s="15" t="s">
        <v>318</v>
      </c>
      <c r="D19" s="19">
        <v>193.09139999999999</v>
      </c>
      <c r="E19" s="19">
        <v>224.19</v>
      </c>
      <c r="F19" s="19">
        <f t="shared" si="0"/>
        <v>31.098600000000005</v>
      </c>
      <c r="G19" s="57">
        <f t="shared" si="1"/>
        <v>0.13871537535126457</v>
      </c>
      <c r="H19" s="56"/>
    </row>
    <row r="20" spans="2:8" ht="20.100000000000001" customHeight="1">
      <c r="B20" s="15" t="s">
        <v>287</v>
      </c>
      <c r="C20" s="15" t="s">
        <v>335</v>
      </c>
      <c r="D20" s="19">
        <v>8.3505599999999998</v>
      </c>
      <c r="E20" s="19">
        <v>9.5399999999999991</v>
      </c>
      <c r="F20" s="19">
        <f t="shared" si="0"/>
        <v>1.1894399999999994</v>
      </c>
      <c r="G20" s="57">
        <f t="shared" si="1"/>
        <v>0.12467924528301881</v>
      </c>
      <c r="H20" s="56"/>
    </row>
    <row r="21" spans="2:8" ht="20.100000000000001" customHeight="1">
      <c r="B21" s="192" t="s">
        <v>319</v>
      </c>
      <c r="C21" s="192"/>
      <c r="D21" s="19">
        <f t="shared" ref="D21:F21" si="2">SUM(D4:D20)</f>
        <v>794.78431999999998</v>
      </c>
      <c r="E21" s="19">
        <f t="shared" si="2"/>
        <v>915.33999999999992</v>
      </c>
      <c r="F21" s="19">
        <f t="shared" si="2"/>
        <v>120.55567999999998</v>
      </c>
      <c r="G21" s="57">
        <f t="shared" si="1"/>
        <v>0.13170590163218038</v>
      </c>
      <c r="H21" s="56"/>
    </row>
    <row r="22" spans="2:8" ht="20.100000000000001" customHeight="1">
      <c r="B22" s="22" t="s">
        <v>296</v>
      </c>
      <c r="C22" s="22" t="s">
        <v>297</v>
      </c>
      <c r="D22" s="19">
        <f>D4+D5+D6+D9+D15+D17+D19</f>
        <v>449.01332000000002</v>
      </c>
      <c r="E22" s="19">
        <f>E4+E5+E6+E9+E15+E17+E19</f>
        <v>534.99</v>
      </c>
      <c r="F22" s="19">
        <f>E22-D22</f>
        <v>85.976679999999988</v>
      </c>
      <c r="G22" s="57">
        <f t="shared" si="1"/>
        <v>0.16070707863698383</v>
      </c>
      <c r="H22" s="56"/>
    </row>
  </sheetData>
  <mergeCells count="2">
    <mergeCell ref="B2:G2"/>
    <mergeCell ref="B21:C21"/>
  </mergeCells>
  <phoneticPr fontId="4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A9" workbookViewId="0">
      <selection activeCell="F15" sqref="F15"/>
    </sheetView>
  </sheetViews>
  <sheetFormatPr defaultColWidth="9" defaultRowHeight="13.5"/>
  <cols>
    <col min="1" max="1" width="5.5" customWidth="1"/>
    <col min="2" max="2" width="9.25" customWidth="1"/>
    <col min="3" max="3" width="13.375" customWidth="1"/>
    <col min="4" max="4" width="21.625" customWidth="1"/>
    <col min="5" max="5" width="9.25" customWidth="1"/>
    <col min="6" max="6" width="11.25" customWidth="1"/>
    <col min="7" max="8" width="9.25" customWidth="1"/>
    <col min="9" max="9" width="11.25" customWidth="1"/>
    <col min="10" max="13" width="9.25" customWidth="1"/>
    <col min="14" max="15" width="13.25" customWidth="1"/>
    <col min="16" max="16" width="15.375" customWidth="1"/>
    <col min="17" max="17" width="7.25" customWidth="1"/>
    <col min="18" max="18" width="11.25" customWidth="1"/>
  </cols>
  <sheetData>
    <row r="1" spans="1:18" s="29" customFormat="1" ht="15" hidden="1">
      <c r="A1" s="32" t="s">
        <v>358</v>
      </c>
      <c r="B1" s="32" t="s">
        <v>359</v>
      </c>
      <c r="C1" s="33" t="s">
        <v>360</v>
      </c>
      <c r="D1" s="33" t="s">
        <v>361</v>
      </c>
      <c r="E1" s="33" t="s">
        <v>362</v>
      </c>
      <c r="F1" s="52" t="s">
        <v>363</v>
      </c>
      <c r="G1" s="33" t="s">
        <v>364</v>
      </c>
      <c r="H1" s="35" t="s">
        <v>120</v>
      </c>
      <c r="I1" s="35" t="s">
        <v>365</v>
      </c>
      <c r="J1" s="35" t="s">
        <v>366</v>
      </c>
      <c r="K1" s="35" t="s">
        <v>367</v>
      </c>
      <c r="L1" s="35" t="s">
        <v>368</v>
      </c>
      <c r="M1" s="35" t="s">
        <v>369</v>
      </c>
      <c r="N1" s="35" t="s">
        <v>370</v>
      </c>
      <c r="O1" s="43" t="s">
        <v>371</v>
      </c>
      <c r="P1" s="44" t="s">
        <v>372</v>
      </c>
      <c r="Q1" s="44" t="s">
        <v>347</v>
      </c>
      <c r="R1" s="44" t="s">
        <v>373</v>
      </c>
    </row>
    <row r="2" spans="1:18" s="30" customFormat="1" ht="16.5" hidden="1" customHeight="1">
      <c r="A2" s="36">
        <v>1</v>
      </c>
      <c r="B2" s="37" t="s">
        <v>374</v>
      </c>
      <c r="C2" s="37" t="s">
        <v>375</v>
      </c>
      <c r="D2" s="37" t="s">
        <v>376</v>
      </c>
      <c r="E2" s="37" t="s">
        <v>377</v>
      </c>
      <c r="F2" s="53"/>
      <c r="G2" s="39"/>
      <c r="H2" s="40"/>
      <c r="I2" s="45">
        <v>1.004</v>
      </c>
      <c r="J2" s="45"/>
      <c r="K2" s="46">
        <f>(10.63*2+17.7876*1)/3</f>
        <v>13.015866666666668</v>
      </c>
      <c r="L2" s="46">
        <f t="shared" ref="L2:L8" si="0">I2*K2</f>
        <v>13.067930133333334</v>
      </c>
      <c r="M2" s="45">
        <v>6.3650000000000002</v>
      </c>
      <c r="N2" s="46"/>
      <c r="O2" s="45">
        <f>L2+M2</f>
        <v>19.432930133333336</v>
      </c>
      <c r="P2" s="45">
        <f t="shared" ref="P2:P8" si="1">(22.84*0.98-0.7)/14.57*L2+M2*1.02</f>
        <v>25.940106634666666</v>
      </c>
      <c r="Q2" s="45">
        <v>10.43</v>
      </c>
      <c r="R2" s="50">
        <f t="shared" ref="R2:R8" si="2">P2+Q2</f>
        <v>36.370106634666669</v>
      </c>
    </row>
    <row r="3" spans="1:18" s="30" customFormat="1" ht="16.5" hidden="1" customHeight="1">
      <c r="A3" s="41">
        <v>2</v>
      </c>
      <c r="B3" s="37" t="s">
        <v>374</v>
      </c>
      <c r="C3" s="37" t="s">
        <v>378</v>
      </c>
      <c r="D3" s="37" t="s">
        <v>379</v>
      </c>
      <c r="E3" s="37" t="s">
        <v>377</v>
      </c>
      <c r="F3" s="54"/>
      <c r="G3" s="37"/>
      <c r="H3" s="37"/>
      <c r="I3" s="45">
        <v>1.0009999999999999</v>
      </c>
      <c r="J3" s="45"/>
      <c r="K3" s="45">
        <v>13.02</v>
      </c>
      <c r="L3" s="45">
        <f t="shared" si="0"/>
        <v>13.033019999999999</v>
      </c>
      <c r="M3" s="45">
        <v>6.3650000000000002</v>
      </c>
      <c r="N3" s="47"/>
      <c r="O3" s="45">
        <f t="shared" ref="O3:O8" si="3">L3+M3</f>
        <v>19.398019999999999</v>
      </c>
      <c r="P3" s="45">
        <f t="shared" si="1"/>
        <v>25.888153072340423</v>
      </c>
      <c r="Q3" s="45">
        <v>10.43</v>
      </c>
      <c r="R3" s="50">
        <f t="shared" si="2"/>
        <v>36.318153072340422</v>
      </c>
    </row>
    <row r="4" spans="1:18" s="30" customFormat="1" ht="16.5" hidden="1" customHeight="1">
      <c r="A4" s="41">
        <v>3</v>
      </c>
      <c r="B4" s="37" t="s">
        <v>374</v>
      </c>
      <c r="C4" s="37" t="s">
        <v>380</v>
      </c>
      <c r="D4" s="37" t="s">
        <v>381</v>
      </c>
      <c r="E4" s="37" t="s">
        <v>377</v>
      </c>
      <c r="F4" s="54"/>
      <c r="G4" s="37"/>
      <c r="H4" s="37"/>
      <c r="I4" s="45">
        <v>0.81510000000000005</v>
      </c>
      <c r="J4" s="45"/>
      <c r="K4" s="45">
        <v>13.02</v>
      </c>
      <c r="L4" s="45">
        <f t="shared" si="0"/>
        <v>10.612602000000001</v>
      </c>
      <c r="M4" s="45">
        <v>2.33</v>
      </c>
      <c r="N4" s="47"/>
      <c r="O4" s="45">
        <f t="shared" si="3"/>
        <v>12.942602000000001</v>
      </c>
      <c r="P4" s="45">
        <f t="shared" si="1"/>
        <v>18.170366073191492</v>
      </c>
      <c r="Q4" s="45">
        <v>8.11</v>
      </c>
      <c r="R4" s="50">
        <f t="shared" si="2"/>
        <v>26.280366073191491</v>
      </c>
    </row>
    <row r="5" spans="1:18" s="30" customFormat="1" ht="16.5" hidden="1" customHeight="1">
      <c r="A5" s="41">
        <v>4</v>
      </c>
      <c r="B5" s="37" t="s">
        <v>374</v>
      </c>
      <c r="C5" s="37" t="s">
        <v>382</v>
      </c>
      <c r="D5" s="37" t="s">
        <v>383</v>
      </c>
      <c r="E5" s="37" t="s">
        <v>377</v>
      </c>
      <c r="F5" s="54"/>
      <c r="G5" s="37"/>
      <c r="H5" s="37"/>
      <c r="I5" s="45">
        <v>0.81510000000000005</v>
      </c>
      <c r="J5" s="45"/>
      <c r="K5" s="45">
        <v>13.02</v>
      </c>
      <c r="L5" s="45">
        <f t="shared" si="0"/>
        <v>10.612602000000001</v>
      </c>
      <c r="M5" s="45">
        <v>2.33</v>
      </c>
      <c r="N5" s="47"/>
      <c r="O5" s="45">
        <f t="shared" si="3"/>
        <v>12.942602000000001</v>
      </c>
      <c r="P5" s="45">
        <f t="shared" si="1"/>
        <v>18.170366073191492</v>
      </c>
      <c r="Q5" s="45">
        <v>8.11</v>
      </c>
      <c r="R5" s="50">
        <f t="shared" si="2"/>
        <v>26.280366073191491</v>
      </c>
    </row>
    <row r="6" spans="1:18" s="30" customFormat="1" ht="16.5" hidden="1" customHeight="1">
      <c r="A6" s="41">
        <v>5</v>
      </c>
      <c r="B6" s="37" t="s">
        <v>374</v>
      </c>
      <c r="C6" s="37" t="s">
        <v>384</v>
      </c>
      <c r="D6" s="37" t="s">
        <v>385</v>
      </c>
      <c r="E6" s="37" t="s">
        <v>377</v>
      </c>
      <c r="F6" s="54"/>
      <c r="G6" s="37"/>
      <c r="H6" s="37"/>
      <c r="I6" s="45">
        <v>1.2437</v>
      </c>
      <c r="J6" s="45"/>
      <c r="K6" s="45">
        <v>13.02</v>
      </c>
      <c r="L6" s="45">
        <f t="shared" si="0"/>
        <v>16.192974</v>
      </c>
      <c r="M6" s="45">
        <v>2.7</v>
      </c>
      <c r="N6" s="47"/>
      <c r="O6" s="45">
        <f t="shared" si="3"/>
        <v>18.892973999999999</v>
      </c>
      <c r="P6" s="45">
        <f t="shared" si="1"/>
        <v>26.852523942127657</v>
      </c>
      <c r="Q6" s="45">
        <v>8.11</v>
      </c>
      <c r="R6" s="50">
        <f t="shared" si="2"/>
        <v>34.96252394212766</v>
      </c>
    </row>
    <row r="7" spans="1:18" s="30" customFormat="1" ht="16.5" hidden="1" customHeight="1">
      <c r="A7" s="41">
        <v>6</v>
      </c>
      <c r="B7" s="37" t="s">
        <v>374</v>
      </c>
      <c r="C7" s="37" t="s">
        <v>386</v>
      </c>
      <c r="D7" s="37" t="s">
        <v>387</v>
      </c>
      <c r="E7" s="37" t="s">
        <v>377</v>
      </c>
      <c r="F7" s="54"/>
      <c r="G7" s="37"/>
      <c r="H7" s="37"/>
      <c r="I7" s="45">
        <v>1.46</v>
      </c>
      <c r="J7" s="45"/>
      <c r="K7" s="45">
        <v>13.02</v>
      </c>
      <c r="L7" s="45">
        <f t="shared" si="0"/>
        <v>19.0092</v>
      </c>
      <c r="M7" s="45">
        <v>4.6849999999999996</v>
      </c>
      <c r="N7" s="47"/>
      <c r="O7" s="45">
        <f t="shared" si="3"/>
        <v>23.694199999999999</v>
      </c>
      <c r="P7" s="45">
        <f t="shared" si="1"/>
        <v>33.06835582978723</v>
      </c>
      <c r="Q7" s="45">
        <v>9.1300000000000008</v>
      </c>
      <c r="R7" s="50">
        <f t="shared" si="2"/>
        <v>42.198355829787232</v>
      </c>
    </row>
    <row r="8" spans="1:18" s="30" customFormat="1" ht="16.5" hidden="1" customHeight="1">
      <c r="A8" s="41">
        <v>7</v>
      </c>
      <c r="B8" s="37" t="s">
        <v>374</v>
      </c>
      <c r="C8" s="37" t="s">
        <v>388</v>
      </c>
      <c r="D8" s="37" t="s">
        <v>389</v>
      </c>
      <c r="E8" s="37" t="s">
        <v>377</v>
      </c>
      <c r="F8" s="54"/>
      <c r="G8" s="37"/>
      <c r="H8" s="37"/>
      <c r="I8" s="45">
        <v>3.97</v>
      </c>
      <c r="J8" s="45"/>
      <c r="K8" s="45">
        <v>13.02</v>
      </c>
      <c r="L8" s="45">
        <f t="shared" si="0"/>
        <v>51.689399999999999</v>
      </c>
      <c r="M8" s="45">
        <v>46.57</v>
      </c>
      <c r="N8" s="47"/>
      <c r="O8" s="45">
        <f t="shared" si="3"/>
        <v>98.259399999999999</v>
      </c>
      <c r="P8" s="45">
        <f t="shared" si="1"/>
        <v>124.42601208510638</v>
      </c>
      <c r="Q8" s="45">
        <v>17.420000000000002</v>
      </c>
      <c r="R8" s="50">
        <f t="shared" si="2"/>
        <v>141.84601208510639</v>
      </c>
    </row>
    <row r="9" spans="1:18" s="30" customFormat="1" ht="16.5" customHeight="1">
      <c r="A9" s="32" t="s">
        <v>358</v>
      </c>
      <c r="B9" s="32" t="s">
        <v>359</v>
      </c>
      <c r="C9" s="33" t="s">
        <v>360</v>
      </c>
      <c r="D9" s="33" t="s">
        <v>361</v>
      </c>
      <c r="E9" s="33" t="s">
        <v>362</v>
      </c>
      <c r="F9" s="52" t="s">
        <v>390</v>
      </c>
      <c r="G9" s="33" t="s">
        <v>391</v>
      </c>
      <c r="H9" s="35" t="s">
        <v>392</v>
      </c>
      <c r="I9" s="35" t="s">
        <v>365</v>
      </c>
      <c r="J9" s="35" t="s">
        <v>366</v>
      </c>
      <c r="K9" s="35" t="s">
        <v>367</v>
      </c>
      <c r="L9" s="35" t="s">
        <v>368</v>
      </c>
      <c r="M9" s="35" t="s">
        <v>369</v>
      </c>
      <c r="N9" s="35" t="s">
        <v>370</v>
      </c>
      <c r="O9" s="43" t="s">
        <v>371</v>
      </c>
      <c r="P9" s="44" t="s">
        <v>372</v>
      </c>
      <c r="Q9" s="44" t="s">
        <v>347</v>
      </c>
      <c r="R9" s="44" t="s">
        <v>373</v>
      </c>
    </row>
    <row r="10" spans="1:18" s="30" customFormat="1" ht="16.5" customHeight="1">
      <c r="A10" s="36">
        <v>1</v>
      </c>
      <c r="B10" s="37" t="s">
        <v>374</v>
      </c>
      <c r="C10" s="37" t="s">
        <v>375</v>
      </c>
      <c r="D10" s="37" t="s">
        <v>376</v>
      </c>
      <c r="E10" s="37" t="s">
        <v>377</v>
      </c>
      <c r="F10" s="55">
        <f>11.28/60</f>
        <v>0.188</v>
      </c>
      <c r="G10" s="37">
        <v>23</v>
      </c>
      <c r="H10" s="37">
        <f>F10*G10</f>
        <v>4.3239999999999998</v>
      </c>
      <c r="I10" s="45">
        <v>1.3</v>
      </c>
      <c r="J10" s="45"/>
      <c r="K10" s="45">
        <v>13.0923</v>
      </c>
      <c r="L10" s="45">
        <f>I10*K10</f>
        <v>17.01999</v>
      </c>
      <c r="M10" s="45">
        <v>6.3650000000000002</v>
      </c>
      <c r="N10" s="47"/>
      <c r="O10" s="45">
        <f>L10+M10</f>
        <v>23.384990000000002</v>
      </c>
      <c r="P10" s="45">
        <f>(22.84*0.98-0.7)/14.57*L10+M10*1.02</f>
        <v>31.821596305284832</v>
      </c>
      <c r="Q10" s="45">
        <v>10.43</v>
      </c>
      <c r="R10" s="50">
        <f>P10+Q10</f>
        <v>42.251596305284835</v>
      </c>
    </row>
    <row r="11" spans="1:18" s="30" customFormat="1" ht="16.5" customHeight="1">
      <c r="A11" s="41">
        <v>2</v>
      </c>
      <c r="B11" s="37" t="s">
        <v>374</v>
      </c>
      <c r="C11" s="37" t="s">
        <v>378</v>
      </c>
      <c r="D11" s="37" t="s">
        <v>379</v>
      </c>
      <c r="E11" s="37" t="s">
        <v>377</v>
      </c>
      <c r="F11" s="55">
        <f>11.28/60</f>
        <v>0.188</v>
      </c>
      <c r="G11" s="37">
        <v>23</v>
      </c>
      <c r="H11" s="37">
        <f t="shared" ref="H11:H16" si="4">F11*G11</f>
        <v>4.3239999999999998</v>
      </c>
      <c r="I11" s="45">
        <v>1.3</v>
      </c>
      <c r="J11" s="45"/>
      <c r="K11" s="45">
        <v>13.0923</v>
      </c>
      <c r="L11" s="45">
        <f t="shared" ref="L11:L16" si="5">I11*K11</f>
        <v>17.01999</v>
      </c>
      <c r="M11" s="45">
        <v>6.3650000000000002</v>
      </c>
      <c r="N11" s="47"/>
      <c r="O11" s="45">
        <f t="shared" ref="O11:O16" si="6">L11+M11</f>
        <v>23.384990000000002</v>
      </c>
      <c r="P11" s="45">
        <f t="shared" ref="P11:P16" si="7">(22.84*0.98-0.7)/14.57*L11+M11*1.02</f>
        <v>31.821596305284832</v>
      </c>
      <c r="Q11" s="45">
        <v>10.43</v>
      </c>
      <c r="R11" s="50">
        <f t="shared" ref="R11:R16" si="8">P11+Q11</f>
        <v>42.251596305284835</v>
      </c>
    </row>
    <row r="12" spans="1:18" s="30" customFormat="1" ht="16.5" customHeight="1">
      <c r="A12" s="41">
        <v>3</v>
      </c>
      <c r="B12" s="37" t="s">
        <v>374</v>
      </c>
      <c r="C12" s="37" t="s">
        <v>380</v>
      </c>
      <c r="D12" s="37" t="s">
        <v>381</v>
      </c>
      <c r="E12" s="37" t="s">
        <v>377</v>
      </c>
      <c r="F12" s="55">
        <f>11.12/60</f>
        <v>0.18533333333333332</v>
      </c>
      <c r="G12" s="37">
        <v>23</v>
      </c>
      <c r="H12" s="37">
        <f t="shared" si="4"/>
        <v>4.2626666666666662</v>
      </c>
      <c r="I12" s="45">
        <v>1.1000000000000001</v>
      </c>
      <c r="J12" s="45"/>
      <c r="K12" s="45">
        <v>12.991</v>
      </c>
      <c r="L12" s="45">
        <f t="shared" si="5"/>
        <v>14.290100000000001</v>
      </c>
      <c r="M12" s="45">
        <v>2.33</v>
      </c>
      <c r="N12" s="47"/>
      <c r="O12" s="45">
        <f t="shared" si="6"/>
        <v>16.620100000000001</v>
      </c>
      <c r="P12" s="45">
        <f t="shared" si="7"/>
        <v>23.643250399450928</v>
      </c>
      <c r="Q12" s="45">
        <v>8.11</v>
      </c>
      <c r="R12" s="50">
        <f t="shared" si="8"/>
        <v>31.753250399450927</v>
      </c>
    </row>
    <row r="13" spans="1:18" s="30" customFormat="1" ht="16.5" customHeight="1">
      <c r="A13" s="41">
        <v>4</v>
      </c>
      <c r="B13" s="37" t="s">
        <v>374</v>
      </c>
      <c r="C13" s="37" t="s">
        <v>382</v>
      </c>
      <c r="D13" s="37" t="s">
        <v>383</v>
      </c>
      <c r="E13" s="37" t="s">
        <v>377</v>
      </c>
      <c r="F13" s="55">
        <f>11.12/60</f>
        <v>0.18533333333333332</v>
      </c>
      <c r="G13" s="37">
        <v>23</v>
      </c>
      <c r="H13" s="37">
        <f t="shared" si="4"/>
        <v>4.2626666666666662</v>
      </c>
      <c r="I13" s="45">
        <v>1.1000000000000001</v>
      </c>
      <c r="J13" s="45"/>
      <c r="K13" s="45">
        <v>13.0364</v>
      </c>
      <c r="L13" s="45">
        <f t="shared" si="5"/>
        <v>14.340040000000002</v>
      </c>
      <c r="M13" s="45">
        <v>2.33</v>
      </c>
      <c r="N13" s="47"/>
      <c r="O13" s="45">
        <f t="shared" si="6"/>
        <v>16.67004</v>
      </c>
      <c r="P13" s="45">
        <f t="shared" si="7"/>
        <v>23.717571539327388</v>
      </c>
      <c r="Q13" s="45">
        <v>8.11</v>
      </c>
      <c r="R13" s="50">
        <f t="shared" si="8"/>
        <v>31.827571539327387</v>
      </c>
    </row>
    <row r="14" spans="1:18" s="30" customFormat="1" ht="16.5" customHeight="1">
      <c r="A14" s="41">
        <v>5</v>
      </c>
      <c r="B14" s="37" t="s">
        <v>374</v>
      </c>
      <c r="C14" s="37" t="s">
        <v>384</v>
      </c>
      <c r="D14" s="37" t="s">
        <v>385</v>
      </c>
      <c r="E14" s="37" t="s">
        <v>377</v>
      </c>
      <c r="F14" s="55">
        <f>11.21/60</f>
        <v>0.18683333333333335</v>
      </c>
      <c r="G14" s="37">
        <v>23</v>
      </c>
      <c r="H14" s="37">
        <f t="shared" si="4"/>
        <v>4.2971666666666675</v>
      </c>
      <c r="I14" s="45">
        <v>1.35</v>
      </c>
      <c r="J14" s="45"/>
      <c r="K14" s="45">
        <v>12.926</v>
      </c>
      <c r="L14" s="45">
        <f t="shared" si="5"/>
        <v>17.450100000000003</v>
      </c>
      <c r="M14" s="45">
        <v>2.7</v>
      </c>
      <c r="N14" s="47"/>
      <c r="O14" s="45">
        <f t="shared" si="6"/>
        <v>20.150100000000002</v>
      </c>
      <c r="P14" s="45">
        <f t="shared" si="7"/>
        <v>28.723389726835968</v>
      </c>
      <c r="Q14" s="45">
        <v>8.11</v>
      </c>
      <c r="R14" s="50">
        <f t="shared" si="8"/>
        <v>36.833389726835968</v>
      </c>
    </row>
    <row r="15" spans="1:18" s="30" customFormat="1" ht="16.5" customHeight="1">
      <c r="A15" s="41">
        <v>6</v>
      </c>
      <c r="B15" s="37" t="s">
        <v>374</v>
      </c>
      <c r="C15" s="37" t="s">
        <v>386</v>
      </c>
      <c r="D15" s="37" t="s">
        <v>387</v>
      </c>
      <c r="E15" s="37" t="s">
        <v>377</v>
      </c>
      <c r="F15" s="55">
        <f>11.27/60</f>
        <v>0.18783333333333332</v>
      </c>
      <c r="G15" s="37">
        <v>23</v>
      </c>
      <c r="H15" s="37">
        <f t="shared" si="4"/>
        <v>4.3201666666666663</v>
      </c>
      <c r="I15" s="45">
        <v>1.95</v>
      </c>
      <c r="J15" s="45"/>
      <c r="K15" s="45">
        <v>13.025639999999999</v>
      </c>
      <c r="L15" s="45">
        <f t="shared" si="5"/>
        <v>25.399997999999997</v>
      </c>
      <c r="M15" s="45">
        <v>4.6849999999999996</v>
      </c>
      <c r="N15" s="47"/>
      <c r="O15" s="45">
        <f t="shared" si="6"/>
        <v>30.084997999999995</v>
      </c>
      <c r="P15" s="45">
        <f t="shared" si="7"/>
        <v>42.579196680411798</v>
      </c>
      <c r="Q15" s="45">
        <v>9.1300000000000008</v>
      </c>
      <c r="R15" s="50">
        <f t="shared" si="8"/>
        <v>51.7091966804118</v>
      </c>
    </row>
    <row r="16" spans="1:18" s="30" customFormat="1" ht="16.5" customHeight="1">
      <c r="A16" s="41">
        <v>7</v>
      </c>
      <c r="B16" s="37" t="s">
        <v>374</v>
      </c>
      <c r="C16" s="37" t="s">
        <v>388</v>
      </c>
      <c r="D16" s="37" t="s">
        <v>389</v>
      </c>
      <c r="E16" s="37" t="s">
        <v>377</v>
      </c>
      <c r="F16" s="55">
        <f>11.17/60</f>
        <v>0.18616666666666667</v>
      </c>
      <c r="G16" s="37">
        <v>23</v>
      </c>
      <c r="H16" s="37">
        <f t="shared" si="4"/>
        <v>4.2818333333333332</v>
      </c>
      <c r="I16" s="45">
        <v>4.5</v>
      </c>
      <c r="J16" s="45"/>
      <c r="K16" s="45">
        <v>13.02</v>
      </c>
      <c r="L16" s="45">
        <f t="shared" si="5"/>
        <v>58.589999999999996</v>
      </c>
      <c r="M16" s="45">
        <v>46.57</v>
      </c>
      <c r="N16" s="47"/>
      <c r="O16" s="45">
        <f t="shared" si="6"/>
        <v>105.16</v>
      </c>
      <c r="P16" s="45">
        <f t="shared" si="7"/>
        <v>134.69554468085107</v>
      </c>
      <c r="Q16" s="45">
        <v>17.420000000000002</v>
      </c>
      <c r="R16" s="50">
        <f t="shared" si="8"/>
        <v>152.11554468085109</v>
      </c>
    </row>
    <row r="17" spans="1:18" s="30" customFormat="1" ht="16.5" customHeight="1">
      <c r="A17" s="41"/>
      <c r="B17" s="37"/>
      <c r="C17" s="37"/>
      <c r="D17" s="37"/>
      <c r="E17" s="37"/>
      <c r="F17" s="54"/>
      <c r="G17" s="37"/>
      <c r="H17" s="37"/>
      <c r="I17" s="45"/>
      <c r="J17" s="45"/>
      <c r="K17" s="45"/>
      <c r="L17" s="45"/>
      <c r="M17" s="45"/>
      <c r="N17" s="47"/>
      <c r="O17" s="45"/>
      <c r="P17" s="45"/>
      <c r="Q17" s="45"/>
      <c r="R17" s="50"/>
    </row>
  </sheetData>
  <phoneticPr fontId="43" type="noConversion"/>
  <conditionalFormatting sqref="F9">
    <cfRule type="cellIs" dxfId="3" priority="1" operator="equal">
      <formula>0</formula>
    </cfRule>
  </conditionalFormatting>
  <conditionalFormatting sqref="F1:F2">
    <cfRule type="cellIs" dxfId="2" priority="2" operator="equal">
      <formula>0</formula>
    </cfRule>
  </conditionalFormatting>
  <dataValidations count="2">
    <dataValidation allowBlank="1" showInputMessage="1" showErrorMessage="1" sqref="E1 E9:F9 F1:F3"/>
    <dataValidation type="list" allowBlank="1" showInputMessage="1" showErrorMessage="1" sqref="E2:E8 E10:E17">
      <formula1>"外部,内部,地点间,模块内"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B01 发泡明细20220712</vt:lpstr>
      <vt:lpstr>V71 发泡明细 20220712</vt:lpstr>
      <vt:lpstr>附加值汇总表(不含运费）</vt:lpstr>
      <vt:lpstr>附加值汇总表（含运费）</vt:lpstr>
      <vt:lpstr>附加值汇总表3.24</vt:lpstr>
      <vt:lpstr>附加值汇总表4.27</vt:lpstr>
      <vt:lpstr>成本汇总</vt:lpstr>
      <vt:lpstr>李尔附加值V71</vt:lpstr>
      <vt:lpstr>B01</vt:lpstr>
      <vt:lpstr>V71</vt:lpstr>
      <vt:lpstr>李尔附加值B01(2)</vt:lpstr>
      <vt:lpstr>李尔附加值V71 (2)</vt:lpstr>
      <vt:lpstr>成本汇总 (2)</vt:lpstr>
      <vt:lpstr>'B01 发泡明细20220712'!Print_Area</vt:lpstr>
      <vt:lpstr>'V71 发泡明细 20220712'!Print_Area</vt:lpstr>
      <vt:lpstr>'B01 发泡明细20220712'!Print_Titles</vt:lpstr>
      <vt:lpstr>'V71 发泡明细 20220712'!Print_Titles</vt:lpstr>
    </vt:vector>
  </TitlesOfParts>
  <Company>HMGC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zzf</cp:lastModifiedBy>
  <cp:lastPrinted>2022-02-20T23:57:00Z</cp:lastPrinted>
  <dcterms:created xsi:type="dcterms:W3CDTF">2017-02-08T02:05:00Z</dcterms:created>
  <dcterms:modified xsi:type="dcterms:W3CDTF">2023-07-07T05:31:48Z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4C2483259E7D4AC1A166F139188F92D9</vt:lpwstr>
  </property>
</Properties>
</file>