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J6F及虎V车型座椅更换面料及塑料件颜色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E33" i="56" l="1"/>
  <c r="E33" i="58" s="1"/>
  <c r="E33" i="59" s="1"/>
  <c r="E33" i="57" s="1"/>
  <c r="F33" i="56"/>
  <c r="G33" i="56"/>
  <c r="G33" i="58" s="1"/>
  <c r="G33" i="59" s="1"/>
  <c r="G33" i="57" s="1"/>
  <c r="H33" i="56"/>
  <c r="H33" i="58" s="1"/>
  <c r="H33" i="59" s="1"/>
  <c r="H33" i="57" s="1"/>
  <c r="I33" i="56"/>
  <c r="J33" i="56"/>
  <c r="D33" i="56"/>
  <c r="C33" i="56"/>
  <c r="C33" i="58" s="1"/>
  <c r="C33" i="59" s="1"/>
  <c r="C33" i="57" s="1"/>
  <c r="G21" i="2"/>
  <c r="F21" i="2"/>
  <c r="G15" i="2"/>
  <c r="G16" i="2"/>
  <c r="F15" i="2"/>
  <c r="F16" i="2"/>
  <c r="G28" i="51"/>
  <c r="F27" i="51"/>
  <c r="G27" i="51" s="1"/>
  <c r="H27" i="51" s="1"/>
  <c r="E27" i="51"/>
  <c r="D27" i="51"/>
  <c r="D33" i="58"/>
  <c r="D33" i="59" s="1"/>
  <c r="D33" i="57" s="1"/>
  <c r="F33" i="58"/>
  <c r="F33" i="59" s="1"/>
  <c r="F33" i="57" s="1"/>
  <c r="I33" i="58"/>
  <c r="I33" i="59" s="1"/>
  <c r="I33" i="57" s="1"/>
  <c r="J33" i="58"/>
  <c r="J33" i="59" s="1"/>
  <c r="J33" i="57" s="1"/>
  <c r="J33" i="43"/>
  <c r="I33" i="43"/>
  <c r="H33" i="43"/>
  <c r="H10" i="43" s="1"/>
  <c r="G33" i="43"/>
  <c r="G10" i="43" s="1"/>
  <c r="F33" i="43"/>
  <c r="F10" i="43" s="1"/>
  <c r="I10" i="43"/>
  <c r="J10" i="43"/>
  <c r="C108" i="50" l="1"/>
  <c r="C95" i="50"/>
  <c r="C82" i="50"/>
  <c r="C69" i="50"/>
  <c r="C56" i="50"/>
  <c r="C43" i="50"/>
  <c r="C30" i="50"/>
  <c r="C16" i="50"/>
  <c r="F21" i="53"/>
  <c r="G21" i="53" s="1"/>
  <c r="H21" i="53" s="1"/>
  <c r="I21" i="53" s="1"/>
  <c r="F22" i="53"/>
  <c r="G22" i="53"/>
  <c r="H22" i="53"/>
  <c r="I22" i="53" s="1"/>
  <c r="F23" i="53"/>
  <c r="G23" i="53"/>
  <c r="H23" i="53" s="1"/>
  <c r="I23" i="53" s="1"/>
  <c r="F24" i="53"/>
  <c r="G24" i="53" s="1"/>
  <c r="H24" i="53" s="1"/>
  <c r="I24" i="53" s="1"/>
  <c r="F25" i="53"/>
  <c r="G25" i="53"/>
  <c r="H25" i="53"/>
  <c r="I25" i="53" s="1"/>
  <c r="F26" i="53"/>
  <c r="G26" i="53"/>
  <c r="H26" i="53" s="1"/>
  <c r="I26" i="53" s="1"/>
  <c r="F27" i="53"/>
  <c r="G27" i="53" s="1"/>
  <c r="H27" i="53" s="1"/>
  <c r="I27" i="53" s="1"/>
  <c r="G20" i="53"/>
  <c r="H20" i="53" s="1"/>
  <c r="I20" i="53" s="1"/>
  <c r="F20" i="53"/>
  <c r="E27" i="53"/>
  <c r="D27" i="53"/>
  <c r="C27" i="53"/>
  <c r="E26" i="53"/>
  <c r="D26" i="53"/>
  <c r="C26" i="53"/>
  <c r="E25" i="53"/>
  <c r="D25" i="53"/>
  <c r="C25" i="53"/>
  <c r="E24" i="53"/>
  <c r="D24" i="53"/>
  <c r="C24" i="53"/>
  <c r="E23" i="53"/>
  <c r="D23" i="53"/>
  <c r="C23" i="53"/>
  <c r="E22" i="53"/>
  <c r="D22" i="53"/>
  <c r="C22" i="53"/>
  <c r="E21" i="53"/>
  <c r="D21" i="53"/>
  <c r="C21" i="53"/>
  <c r="J21" i="55"/>
  <c r="I21" i="55"/>
  <c r="H21" i="55"/>
  <c r="G21" i="55"/>
  <c r="F21" i="55"/>
  <c r="J22" i="55"/>
  <c r="G22" i="55"/>
  <c r="E21" i="55"/>
  <c r="E22" i="55" s="1"/>
  <c r="C21" i="55"/>
  <c r="D21" i="55"/>
  <c r="D22" i="55" s="1"/>
  <c r="F22" i="55"/>
  <c r="H22" i="55"/>
  <c r="I22" i="55"/>
  <c r="N10" i="55"/>
  <c r="O10" i="55" s="1"/>
  <c r="D3" i="53" l="1"/>
  <c r="A1" i="34"/>
  <c r="D12" i="53" l="1"/>
  <c r="E20" i="53" s="1"/>
  <c r="E33" i="43"/>
  <c r="D33" i="43"/>
  <c r="E12" i="53"/>
  <c r="D18" i="55"/>
  <c r="D19" i="55" s="1"/>
  <c r="K21" i="57"/>
  <c r="B9" i="51"/>
  <c r="B27" i="51" s="1"/>
  <c r="F12" i="53"/>
  <c r="M8" i="55"/>
  <c r="B8" i="51"/>
  <c r="B26" i="51"/>
  <c r="D26" i="51" s="1"/>
  <c r="H31" i="50"/>
  <c r="H3" i="50"/>
  <c r="D7" i="50" s="1"/>
  <c r="H17" i="50"/>
  <c r="H44" i="50"/>
  <c r="D52" i="50"/>
  <c r="F47" i="43" s="1"/>
  <c r="H57" i="50"/>
  <c r="H70" i="50"/>
  <c r="H83" i="50"/>
  <c r="D91" i="50"/>
  <c r="I47" i="43" s="1"/>
  <c r="H96" i="50"/>
  <c r="D99" i="50" s="1"/>
  <c r="J37" i="43" s="1"/>
  <c r="J12" i="43" s="1"/>
  <c r="D49" i="50"/>
  <c r="F45" i="43" s="1"/>
  <c r="D50" i="50"/>
  <c r="F44" i="43"/>
  <c r="D76" i="50"/>
  <c r="H44" i="43" s="1"/>
  <c r="D46" i="50"/>
  <c r="F43" i="43" s="1"/>
  <c r="D45" i="50"/>
  <c r="F36" i="43" s="1"/>
  <c r="D47" i="50"/>
  <c r="F37" i="43"/>
  <c r="D51" i="50"/>
  <c r="F38" i="43" s="1"/>
  <c r="D90" i="50"/>
  <c r="I38" i="43" s="1"/>
  <c r="I38" i="56" s="1"/>
  <c r="F10" i="56"/>
  <c r="J10" i="58"/>
  <c r="C6" i="57"/>
  <c r="D6" i="57"/>
  <c r="D7" i="57" s="1"/>
  <c r="E6" i="57"/>
  <c r="F6" i="57"/>
  <c r="G6" i="57"/>
  <c r="H6" i="57"/>
  <c r="H7" i="57"/>
  <c r="I6" i="57"/>
  <c r="J6" i="57"/>
  <c r="C6" i="59"/>
  <c r="C7" i="59" s="1"/>
  <c r="D6" i="59"/>
  <c r="D7" i="59" s="1"/>
  <c r="E6" i="59"/>
  <c r="F6" i="59"/>
  <c r="G6" i="59"/>
  <c r="H6" i="59"/>
  <c r="I6" i="59"/>
  <c r="I7" i="59" s="1"/>
  <c r="J6" i="59"/>
  <c r="J7" i="59"/>
  <c r="C6" i="58"/>
  <c r="D6" i="58"/>
  <c r="D7" i="58"/>
  <c r="E6" i="58"/>
  <c r="F6" i="58"/>
  <c r="G6" i="58"/>
  <c r="G7" i="58" s="1"/>
  <c r="H6" i="58"/>
  <c r="I6" i="58"/>
  <c r="I7" i="58" s="1"/>
  <c r="J6" i="58"/>
  <c r="C6" i="56"/>
  <c r="C7" i="56" s="1"/>
  <c r="D6" i="56"/>
  <c r="E6" i="56"/>
  <c r="E7" i="56" s="1"/>
  <c r="F6" i="56"/>
  <c r="G6" i="56"/>
  <c r="H6" i="56"/>
  <c r="H7" i="56" s="1"/>
  <c r="I6" i="56"/>
  <c r="J6" i="56"/>
  <c r="J10" i="56" s="1"/>
  <c r="G12" i="53"/>
  <c r="H12" i="53"/>
  <c r="I12" i="53"/>
  <c r="J12" i="53"/>
  <c r="K12" i="53"/>
  <c r="E18" i="55"/>
  <c r="F18" i="55"/>
  <c r="G18" i="55"/>
  <c r="G19" i="55" s="1"/>
  <c r="H18" i="55"/>
  <c r="H19" i="55" s="1"/>
  <c r="I18" i="55"/>
  <c r="I19" i="55" s="1"/>
  <c r="J18" i="55"/>
  <c r="J19" i="55" s="1"/>
  <c r="E19" i="55"/>
  <c r="F19" i="55"/>
  <c r="D31" i="43"/>
  <c r="E31" i="43"/>
  <c r="E31" i="59"/>
  <c r="F31" i="43"/>
  <c r="F31" i="59" s="1"/>
  <c r="G31" i="43"/>
  <c r="H31" i="43"/>
  <c r="H32" i="43" s="1"/>
  <c r="H34" i="43" s="1"/>
  <c r="I31" i="43"/>
  <c r="J31" i="43"/>
  <c r="J31" i="57"/>
  <c r="D6" i="43"/>
  <c r="E6" i="43"/>
  <c r="F6" i="43"/>
  <c r="G6" i="43"/>
  <c r="H6" i="43"/>
  <c r="I6" i="43"/>
  <c r="J6" i="43"/>
  <c r="D3" i="43"/>
  <c r="D3" i="59" s="1"/>
  <c r="E3" i="43"/>
  <c r="F3" i="43"/>
  <c r="F3" i="59" s="1"/>
  <c r="G3" i="43"/>
  <c r="H3" i="43"/>
  <c r="I3" i="43"/>
  <c r="I3" i="57"/>
  <c r="J3" i="43"/>
  <c r="J3" i="59" s="1"/>
  <c r="D4" i="43"/>
  <c r="E4" i="43"/>
  <c r="F4" i="43"/>
  <c r="F4" i="57"/>
  <c r="G4" i="43"/>
  <c r="G4" i="57" s="1"/>
  <c r="H4" i="43"/>
  <c r="I4" i="43"/>
  <c r="I4" i="57"/>
  <c r="J4" i="43"/>
  <c r="J4" i="59" s="1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E21" i="50"/>
  <c r="F7" i="50"/>
  <c r="H109" i="50"/>
  <c r="D114" i="50" s="1"/>
  <c r="D4" i="53"/>
  <c r="C20" i="53" s="1"/>
  <c r="E4" i="53"/>
  <c r="F4" i="53"/>
  <c r="G4" i="53"/>
  <c r="H4" i="53"/>
  <c r="I4" i="53"/>
  <c r="J4" i="53"/>
  <c r="K4" i="53"/>
  <c r="D5" i="53"/>
  <c r="D20" i="53" s="1"/>
  <c r="E5" i="53"/>
  <c r="F5" i="53"/>
  <c r="G5" i="53"/>
  <c r="H5" i="53"/>
  <c r="I5" i="53"/>
  <c r="J5" i="53"/>
  <c r="K5" i="53"/>
  <c r="D61" i="50"/>
  <c r="D48" i="50"/>
  <c r="K8" i="43"/>
  <c r="C6" i="2"/>
  <c r="D15" i="55"/>
  <c r="E15" i="55"/>
  <c r="F15" i="55"/>
  <c r="G15" i="55"/>
  <c r="H15" i="55"/>
  <c r="I15" i="55"/>
  <c r="J15" i="55"/>
  <c r="K15" i="55"/>
  <c r="E7" i="50"/>
  <c r="L12" i="53"/>
  <c r="N7" i="55"/>
  <c r="N8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9" s="1"/>
  <c r="C4" i="43"/>
  <c r="C4" i="59" s="1"/>
  <c r="C7" i="57"/>
  <c r="B5" i="51"/>
  <c r="L9" i="55"/>
  <c r="G22" i="51"/>
  <c r="B7" i="51"/>
  <c r="C31" i="43"/>
  <c r="C31" i="59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/>
  <c r="L13" i="36"/>
  <c r="K13" i="36"/>
  <c r="J13" i="36"/>
  <c r="J10" i="36"/>
  <c r="I13" i="36"/>
  <c r="H13" i="36"/>
  <c r="G13" i="36"/>
  <c r="F13" i="36"/>
  <c r="E13" i="36"/>
  <c r="D13" i="36"/>
  <c r="D10" i="36"/>
  <c r="D17" i="36"/>
  <c r="D19" i="36"/>
  <c r="C13" i="36"/>
  <c r="L12" i="36"/>
  <c r="K12" i="36"/>
  <c r="K10" i="36"/>
  <c r="J12" i="36"/>
  <c r="I12" i="36"/>
  <c r="H12" i="36"/>
  <c r="G12" i="36"/>
  <c r="F12" i="36"/>
  <c r="E12" i="36"/>
  <c r="M12" i="36"/>
  <c r="D12" i="36"/>
  <c r="C12" i="36"/>
  <c r="L11" i="36"/>
  <c r="K11" i="36"/>
  <c r="J11" i="36"/>
  <c r="I11" i="36"/>
  <c r="H11" i="36"/>
  <c r="G11" i="36"/>
  <c r="F11" i="36"/>
  <c r="F10" i="36"/>
  <c r="E11" i="36"/>
  <c r="D11" i="36"/>
  <c r="C11" i="36"/>
  <c r="C10" i="36"/>
  <c r="M9" i="36"/>
  <c r="M8" i="36"/>
  <c r="L7" i="36"/>
  <c r="K7" i="36"/>
  <c r="J7" i="36"/>
  <c r="I7" i="36"/>
  <c r="H7" i="36"/>
  <c r="G7" i="36"/>
  <c r="F7" i="36"/>
  <c r="M7" i="36"/>
  <c r="E7" i="36"/>
  <c r="K6" i="36"/>
  <c r="J6" i="36"/>
  <c r="I6" i="36"/>
  <c r="I5" i="36"/>
  <c r="E6" i="36"/>
  <c r="K5" i="36"/>
  <c r="K17" i="36" s="1"/>
  <c r="K19" i="36" s="1"/>
  <c r="J5" i="36"/>
  <c r="J17" i="36" s="1"/>
  <c r="J19" i="36" s="1"/>
  <c r="D5" i="36"/>
  <c r="C5" i="36"/>
  <c r="D4" i="36"/>
  <c r="E4" i="36"/>
  <c r="F4" i="36"/>
  <c r="G4" i="36"/>
  <c r="H4" i="36"/>
  <c r="I4" i="36"/>
  <c r="J4" i="36"/>
  <c r="K4" i="36"/>
  <c r="L4" i="36"/>
  <c r="G10" i="36"/>
  <c r="M15" i="36"/>
  <c r="H10" i="36"/>
  <c r="I10" i="36"/>
  <c r="I17" i="36"/>
  <c r="I19" i="36"/>
  <c r="L10" i="36"/>
  <c r="I4" i="58"/>
  <c r="I13" i="43"/>
  <c r="D6" i="50"/>
  <c r="C37" i="43" s="1"/>
  <c r="C37" i="57" s="1"/>
  <c r="C12" i="57" s="1"/>
  <c r="J7" i="56"/>
  <c r="G7" i="59"/>
  <c r="D88" i="50"/>
  <c r="I45" i="43"/>
  <c r="F31" i="57"/>
  <c r="F38" i="57"/>
  <c r="F13" i="43"/>
  <c r="C7" i="43"/>
  <c r="G3" i="59"/>
  <c r="G3" i="57"/>
  <c r="G3" i="56"/>
  <c r="H7" i="43"/>
  <c r="H9" i="43" s="1"/>
  <c r="E7" i="43"/>
  <c r="E9" i="43"/>
  <c r="E10" i="43"/>
  <c r="D3" i="56"/>
  <c r="I31" i="56"/>
  <c r="D87" i="50"/>
  <c r="I3" i="58"/>
  <c r="F44" i="59"/>
  <c r="F19" i="59" s="1"/>
  <c r="D84" i="50"/>
  <c r="I36" i="43"/>
  <c r="D100" i="50"/>
  <c r="G7" i="56"/>
  <c r="D86" i="50"/>
  <c r="I37" i="43" s="1"/>
  <c r="D97" i="50"/>
  <c r="J36" i="43" s="1"/>
  <c r="J11" i="43" s="1"/>
  <c r="D85" i="50"/>
  <c r="I43" i="43"/>
  <c r="I43" i="58" s="1"/>
  <c r="D89" i="50"/>
  <c r="I44" i="43" s="1"/>
  <c r="I19" i="43"/>
  <c r="C17" i="36"/>
  <c r="M13" i="36"/>
  <c r="M11" i="36"/>
  <c r="E10" i="36"/>
  <c r="J26" i="51"/>
  <c r="G19" i="2"/>
  <c r="B10" i="51"/>
  <c r="G4" i="58"/>
  <c r="J4" i="58"/>
  <c r="F4" i="58"/>
  <c r="E32" i="43"/>
  <c r="E34" i="43" s="1"/>
  <c r="D3" i="57"/>
  <c r="C3" i="58"/>
  <c r="H4" i="57"/>
  <c r="I3" i="59"/>
  <c r="I3" i="56"/>
  <c r="F3" i="57"/>
  <c r="F3" i="56"/>
  <c r="J7" i="43"/>
  <c r="J9" i="43" s="1"/>
  <c r="G7" i="43"/>
  <c r="G9" i="43" s="1"/>
  <c r="D10" i="43"/>
  <c r="K6" i="43"/>
  <c r="D7" i="43"/>
  <c r="J31" i="58"/>
  <c r="J31" i="56"/>
  <c r="J31" i="59"/>
  <c r="J32" i="43"/>
  <c r="J34" i="43" s="1"/>
  <c r="G31" i="58"/>
  <c r="G32" i="43"/>
  <c r="G34" i="43" s="1"/>
  <c r="D31" i="58"/>
  <c r="D31" i="59"/>
  <c r="D31" i="57"/>
  <c r="D32" i="43"/>
  <c r="D34" i="43" s="1"/>
  <c r="F3" i="58"/>
  <c r="I10" i="58"/>
  <c r="F7" i="58"/>
  <c r="C7" i="58"/>
  <c r="H7" i="59"/>
  <c r="J7" i="57"/>
  <c r="J8" i="57" s="1"/>
  <c r="G7" i="57"/>
  <c r="D31" i="56"/>
  <c r="F37" i="56"/>
  <c r="F12" i="56" s="1"/>
  <c r="I36" i="59"/>
  <c r="I11" i="59" s="1"/>
  <c r="F47" i="58"/>
  <c r="F22" i="58" s="1"/>
  <c r="I10" i="56"/>
  <c r="I7" i="56"/>
  <c r="F7" i="56"/>
  <c r="H8" i="57"/>
  <c r="H9" i="57" s="1"/>
  <c r="H32" i="57" s="1"/>
  <c r="K6" i="57"/>
  <c r="I38" i="57"/>
  <c r="F36" i="59"/>
  <c r="F11" i="59" s="1"/>
  <c r="D75" i="50"/>
  <c r="H45" i="43" s="1"/>
  <c r="H20" i="43"/>
  <c r="D71" i="50"/>
  <c r="H36" i="43" s="1"/>
  <c r="D73" i="50"/>
  <c r="H37" i="43" s="1"/>
  <c r="H12" i="43" s="1"/>
  <c r="D77" i="50"/>
  <c r="H38" i="43" s="1"/>
  <c r="H13" i="43" s="1"/>
  <c r="D78" i="50"/>
  <c r="H47" i="43"/>
  <c r="D72" i="50"/>
  <c r="H43" i="43" s="1"/>
  <c r="H43" i="57" s="1"/>
  <c r="D74" i="50"/>
  <c r="I45" i="59"/>
  <c r="I45" i="56"/>
  <c r="I20" i="56" s="1"/>
  <c r="D37" i="50"/>
  <c r="E44" i="43" s="1"/>
  <c r="D35" i="50"/>
  <c r="F20" i="43"/>
  <c r="G4" i="56"/>
  <c r="D4" i="56"/>
  <c r="C3" i="56"/>
  <c r="E3" i="58"/>
  <c r="G4" i="59"/>
  <c r="C3" i="57"/>
  <c r="F31" i="58"/>
  <c r="H10" i="56"/>
  <c r="F43" i="59"/>
  <c r="D11" i="50"/>
  <c r="C47" i="43" s="1"/>
  <c r="D5" i="50"/>
  <c r="C43" i="43" s="1"/>
  <c r="D10" i="50"/>
  <c r="C38" i="43" s="1"/>
  <c r="C38" i="56" s="1"/>
  <c r="C13" i="56" s="1"/>
  <c r="D4" i="50"/>
  <c r="C36" i="43" s="1"/>
  <c r="D8" i="50"/>
  <c r="C45" i="43" s="1"/>
  <c r="I7" i="43"/>
  <c r="I9" i="43" s="1"/>
  <c r="F7" i="43"/>
  <c r="F9" i="43" s="1"/>
  <c r="F22" i="43"/>
  <c r="H31" i="57"/>
  <c r="H31" i="56"/>
  <c r="E31" i="57"/>
  <c r="E31" i="56"/>
  <c r="I32" i="43"/>
  <c r="I34" i="43" s="1"/>
  <c r="F32" i="43"/>
  <c r="F34" i="43" s="1"/>
  <c r="I4" i="56"/>
  <c r="F4" i="56"/>
  <c r="E3" i="56"/>
  <c r="G3" i="58"/>
  <c r="D3" i="58"/>
  <c r="I4" i="59"/>
  <c r="F4" i="59"/>
  <c r="H3" i="59"/>
  <c r="F31" i="56"/>
  <c r="E31" i="58"/>
  <c r="H31" i="59"/>
  <c r="E10" i="56"/>
  <c r="J7" i="58"/>
  <c r="F7" i="59"/>
  <c r="E7" i="57"/>
  <c r="I20" i="59"/>
  <c r="D9" i="50"/>
  <c r="C44" i="43" s="1"/>
  <c r="I47" i="56"/>
  <c r="I22" i="56" s="1"/>
  <c r="I13" i="57"/>
  <c r="F13" i="57"/>
  <c r="H7" i="58"/>
  <c r="H10" i="58"/>
  <c r="I7" i="57"/>
  <c r="I8" i="57" s="1"/>
  <c r="I9" i="57" s="1"/>
  <c r="I32" i="57" s="1"/>
  <c r="F7" i="57"/>
  <c r="D60" i="50"/>
  <c r="G37" i="43" s="1"/>
  <c r="D22" i="50"/>
  <c r="D45" i="43" s="1"/>
  <c r="D45" i="56" s="1"/>
  <c r="D25" i="50"/>
  <c r="D47" i="43" s="1"/>
  <c r="D24" i="50"/>
  <c r="D38" i="43" s="1"/>
  <c r="D104" i="50"/>
  <c r="J47" i="43" s="1"/>
  <c r="D98" i="50"/>
  <c r="J43" i="43" s="1"/>
  <c r="J43" i="59" s="1"/>
  <c r="I44" i="57"/>
  <c r="I19" i="57"/>
  <c r="I44" i="59"/>
  <c r="I19" i="59" s="1"/>
  <c r="I44" i="56"/>
  <c r="I19" i="56" s="1"/>
  <c r="I44" i="58"/>
  <c r="I19" i="58"/>
  <c r="J36" i="59"/>
  <c r="J11" i="59" s="1"/>
  <c r="M10" i="36"/>
  <c r="C18" i="36"/>
  <c r="D18" i="36"/>
  <c r="C19" i="36"/>
  <c r="G37" i="56"/>
  <c r="G12" i="56" s="1"/>
  <c r="C36" i="57"/>
  <c r="C11" i="57" s="1"/>
  <c r="C36" i="59"/>
  <c r="C47" i="57"/>
  <c r="C22" i="57" s="1"/>
  <c r="E44" i="59"/>
  <c r="E44" i="57"/>
  <c r="E19" i="57" s="1"/>
  <c r="E19" i="43"/>
  <c r="H47" i="58"/>
  <c r="H22" i="58" s="1"/>
  <c r="H47" i="57"/>
  <c r="H22" i="57" s="1"/>
  <c r="H47" i="56"/>
  <c r="H22" i="56"/>
  <c r="H47" i="59"/>
  <c r="H22" i="59" s="1"/>
  <c r="H22" i="43"/>
  <c r="H36" i="57"/>
  <c r="H11" i="57" s="1"/>
  <c r="H36" i="59"/>
  <c r="H11" i="59" s="1"/>
  <c r="H36" i="58"/>
  <c r="H11" i="58"/>
  <c r="H36" i="56"/>
  <c r="H11" i="56" s="1"/>
  <c r="H11" i="43"/>
  <c r="G4" i="2"/>
  <c r="G42" i="2" s="1"/>
  <c r="F21" i="57"/>
  <c r="F46" i="57" s="1"/>
  <c r="I21" i="57"/>
  <c r="I46" i="57" s="1"/>
  <c r="G21" i="57"/>
  <c r="G46" i="57"/>
  <c r="D21" i="57"/>
  <c r="D46" i="57" s="1"/>
  <c r="H21" i="57"/>
  <c r="H46" i="57" s="1"/>
  <c r="E21" i="57"/>
  <c r="E46" i="57" s="1"/>
  <c r="J21" i="57"/>
  <c r="J46" i="57" s="1"/>
  <c r="C21" i="57"/>
  <c r="C46" i="57" s="1"/>
  <c r="J47" i="56"/>
  <c r="J22" i="56" s="1"/>
  <c r="E8" i="57"/>
  <c r="H38" i="57"/>
  <c r="H13" i="57" s="1"/>
  <c r="H45" i="58"/>
  <c r="H20" i="58" s="1"/>
  <c r="H45" i="57"/>
  <c r="H20" i="57" s="1"/>
  <c r="H45" i="59"/>
  <c r="H20" i="59"/>
  <c r="H45" i="56"/>
  <c r="H20" i="56" s="1"/>
  <c r="G8" i="57"/>
  <c r="D9" i="43"/>
  <c r="C4" i="2"/>
  <c r="F8" i="57"/>
  <c r="F9" i="57" s="1"/>
  <c r="F32" i="57" s="1"/>
  <c r="C45" i="57"/>
  <c r="C20" i="57" s="1"/>
  <c r="C43" i="57"/>
  <c r="H43" i="58"/>
  <c r="H43" i="59"/>
  <c r="H43" i="56"/>
  <c r="H37" i="57"/>
  <c r="H12" i="57"/>
  <c r="H37" i="59"/>
  <c r="H12" i="59" s="1"/>
  <c r="H37" i="58"/>
  <c r="H12" i="58"/>
  <c r="H37" i="56"/>
  <c r="H12" i="56"/>
  <c r="C20" i="36"/>
  <c r="D20" i="36"/>
  <c r="C11" i="59"/>
  <c r="E9" i="57"/>
  <c r="E32" i="57" s="1"/>
  <c r="H28" i="51"/>
  <c r="H14" i="57" l="1"/>
  <c r="H40" i="43"/>
  <c r="J10" i="57"/>
  <c r="H10" i="57"/>
  <c r="H15" i="57" s="1"/>
  <c r="H16" i="57" s="1"/>
  <c r="H10" i="59"/>
  <c r="J10" i="59"/>
  <c r="I10" i="59"/>
  <c r="I10" i="57"/>
  <c r="G10" i="58"/>
  <c r="G10" i="56"/>
  <c r="J9" i="57"/>
  <c r="J32" i="57" s="1"/>
  <c r="J34" i="57" s="1"/>
  <c r="J43" i="57"/>
  <c r="J36" i="57"/>
  <c r="J11" i="57" s="1"/>
  <c r="J36" i="56"/>
  <c r="J11" i="56" s="1"/>
  <c r="J36" i="58"/>
  <c r="J11" i="58" s="1"/>
  <c r="J4" i="56"/>
  <c r="J4" i="57"/>
  <c r="J3" i="56"/>
  <c r="J3" i="58"/>
  <c r="J3" i="57"/>
  <c r="H14" i="43"/>
  <c r="H15" i="43" s="1"/>
  <c r="H16" i="43" s="1"/>
  <c r="I13" i="56"/>
  <c r="D47" i="58"/>
  <c r="D22" i="58" s="1"/>
  <c r="D47" i="59"/>
  <c r="D22" i="59" s="1"/>
  <c r="D47" i="56"/>
  <c r="D47" i="57"/>
  <c r="D22" i="57" s="1"/>
  <c r="D22" i="43"/>
  <c r="I40" i="43"/>
  <c r="F37" i="58"/>
  <c r="F12" i="58" s="1"/>
  <c r="F37" i="57"/>
  <c r="F12" i="57" s="1"/>
  <c r="F12" i="43"/>
  <c r="F37" i="59"/>
  <c r="F12" i="59" s="1"/>
  <c r="I47" i="57"/>
  <c r="I22" i="57" s="1"/>
  <c r="I22" i="43"/>
  <c r="I47" i="59"/>
  <c r="I22" i="59" s="1"/>
  <c r="I47" i="58"/>
  <c r="I22" i="58" s="1"/>
  <c r="D63" i="50"/>
  <c r="G44" i="43" s="1"/>
  <c r="D58" i="50"/>
  <c r="G36" i="43" s="1"/>
  <c r="D65" i="50"/>
  <c r="G47" i="43" s="1"/>
  <c r="D59" i="50"/>
  <c r="G43" i="43" s="1"/>
  <c r="D64" i="50"/>
  <c r="G38" i="43" s="1"/>
  <c r="D62" i="50"/>
  <c r="G45" i="43" s="1"/>
  <c r="D23" i="50"/>
  <c r="D44" i="43" s="1"/>
  <c r="D19" i="50"/>
  <c r="D43" i="43" s="1"/>
  <c r="D21" i="50"/>
  <c r="D20" i="50"/>
  <c r="D37" i="43" s="1"/>
  <c r="D18" i="50"/>
  <c r="D36" i="43" s="1"/>
  <c r="J43" i="58"/>
  <c r="J43" i="56"/>
  <c r="G37" i="59"/>
  <c r="G12" i="59" s="1"/>
  <c r="G37" i="58"/>
  <c r="G12" i="58" s="1"/>
  <c r="G12" i="43"/>
  <c r="I43" i="59"/>
  <c r="I43" i="56"/>
  <c r="I43" i="57"/>
  <c r="I12" i="43"/>
  <c r="I37" i="56"/>
  <c r="I12" i="56" s="1"/>
  <c r="I37" i="57"/>
  <c r="I12" i="57" s="1"/>
  <c r="I37" i="59"/>
  <c r="I12" i="59" s="1"/>
  <c r="I37" i="58"/>
  <c r="I12" i="58" s="1"/>
  <c r="H44" i="57"/>
  <c r="H44" i="58"/>
  <c r="H19" i="58" s="1"/>
  <c r="H44" i="56"/>
  <c r="H19" i="56" s="1"/>
  <c r="H44" i="59"/>
  <c r="H19" i="59" s="1"/>
  <c r="G37" i="57"/>
  <c r="G12" i="57" s="1"/>
  <c r="J37" i="59"/>
  <c r="J12" i="59" s="1"/>
  <c r="J37" i="58"/>
  <c r="J12" i="58" s="1"/>
  <c r="J37" i="56"/>
  <c r="J12" i="56" s="1"/>
  <c r="J37" i="57"/>
  <c r="J47" i="57"/>
  <c r="J22" i="57" s="1"/>
  <c r="J47" i="59"/>
  <c r="J22" i="59" s="1"/>
  <c r="J47" i="58"/>
  <c r="J22" i="58" s="1"/>
  <c r="J22" i="43"/>
  <c r="H38" i="59"/>
  <c r="H13" i="59" s="1"/>
  <c r="H14" i="59" s="1"/>
  <c r="H38" i="56"/>
  <c r="H13" i="56" s="1"/>
  <c r="H14" i="56" s="1"/>
  <c r="H38" i="58"/>
  <c r="H13" i="58" s="1"/>
  <c r="H14" i="58" s="1"/>
  <c r="H19" i="43"/>
  <c r="G9" i="57"/>
  <c r="F11" i="43"/>
  <c r="F14" i="43" s="1"/>
  <c r="F15" i="43" s="1"/>
  <c r="F16" i="43" s="1"/>
  <c r="F36" i="58"/>
  <c r="F11" i="58" s="1"/>
  <c r="F36" i="57"/>
  <c r="F11" i="57" s="1"/>
  <c r="F14" i="57" s="1"/>
  <c r="F36" i="56"/>
  <c r="F11" i="56" s="1"/>
  <c r="I36" i="58"/>
  <c r="I11" i="58" s="1"/>
  <c r="I11" i="43"/>
  <c r="I36" i="57"/>
  <c r="I11" i="57" s="1"/>
  <c r="I14" i="57" s="1"/>
  <c r="I36" i="56"/>
  <c r="I11" i="56" s="1"/>
  <c r="I45" i="58"/>
  <c r="I20" i="58" s="1"/>
  <c r="I45" i="57"/>
  <c r="I20" i="57" s="1"/>
  <c r="I20" i="43"/>
  <c r="H4" i="59"/>
  <c r="H4" i="56"/>
  <c r="H4" i="58"/>
  <c r="H3" i="57"/>
  <c r="H3" i="58"/>
  <c r="H3" i="56"/>
  <c r="E3" i="57"/>
  <c r="E3" i="59"/>
  <c r="G31" i="57"/>
  <c r="G31" i="56"/>
  <c r="G31" i="59"/>
  <c r="I38" i="58"/>
  <c r="I13" i="58" s="1"/>
  <c r="I38" i="59"/>
  <c r="I13" i="59" s="1"/>
  <c r="F43" i="57"/>
  <c r="F43" i="58"/>
  <c r="F43" i="56"/>
  <c r="F45" i="59"/>
  <c r="F20" i="59" s="1"/>
  <c r="F45" i="56"/>
  <c r="F20" i="56" s="1"/>
  <c r="F45" i="58"/>
  <c r="F20" i="58" s="1"/>
  <c r="F45" i="57"/>
  <c r="F20" i="57" s="1"/>
  <c r="F47" i="57"/>
  <c r="F22" i="57" s="1"/>
  <c r="F47" i="59"/>
  <c r="F22" i="59" s="1"/>
  <c r="F47" i="56"/>
  <c r="F22" i="56" s="1"/>
  <c r="F40" i="43"/>
  <c r="E4" i="58"/>
  <c r="E4" i="59"/>
  <c r="E4" i="57"/>
  <c r="E4" i="56"/>
  <c r="I31" i="59"/>
  <c r="I31" i="57"/>
  <c r="I31" i="58"/>
  <c r="F38" i="59"/>
  <c r="F13" i="59" s="1"/>
  <c r="F38" i="56"/>
  <c r="F13" i="56" s="1"/>
  <c r="F38" i="58"/>
  <c r="F13" i="58" s="1"/>
  <c r="F44" i="58"/>
  <c r="F19" i="58" s="1"/>
  <c r="F44" i="56"/>
  <c r="F19" i="56" s="1"/>
  <c r="F19" i="43"/>
  <c r="F44" i="57"/>
  <c r="F19" i="57" s="1"/>
  <c r="D101" i="50"/>
  <c r="J45" i="43" s="1"/>
  <c r="D103" i="50"/>
  <c r="J38" i="43" s="1"/>
  <c r="D102" i="50"/>
  <c r="J44" i="43" s="1"/>
  <c r="D33" i="50"/>
  <c r="E43" i="43" s="1"/>
  <c r="E43" i="56" s="1"/>
  <c r="D38" i="50"/>
  <c r="E38" i="43" s="1"/>
  <c r="D36" i="50"/>
  <c r="E45" i="43" s="1"/>
  <c r="D34" i="50"/>
  <c r="E37" i="43" s="1"/>
  <c r="E37" i="59" s="1"/>
  <c r="E12" i="59" s="1"/>
  <c r="D39" i="50"/>
  <c r="E47" i="43" s="1"/>
  <c r="D32" i="50"/>
  <c r="E36" i="43" s="1"/>
  <c r="H31" i="58"/>
  <c r="C33" i="43"/>
  <c r="C10" i="43" s="1"/>
  <c r="K10" i="43" s="1"/>
  <c r="C8" i="2" s="1"/>
  <c r="C31" i="2" s="1"/>
  <c r="E10" i="57"/>
  <c r="E34" i="57"/>
  <c r="D10" i="58"/>
  <c r="N9" i="55"/>
  <c r="O9" i="55" s="1"/>
  <c r="O8" i="55"/>
  <c r="O7" i="55"/>
  <c r="C8" i="59"/>
  <c r="C9" i="59" s="1"/>
  <c r="K18" i="57"/>
  <c r="E26" i="51"/>
  <c r="K18" i="56"/>
  <c r="D61" i="2" s="1"/>
  <c r="K18" i="43"/>
  <c r="K18" i="58"/>
  <c r="K18" i="59"/>
  <c r="C57" i="2"/>
  <c r="C58" i="2"/>
  <c r="D113" i="50"/>
  <c r="D112" i="50"/>
  <c r="D111" i="50"/>
  <c r="D116" i="50"/>
  <c r="D110" i="50"/>
  <c r="D117" i="50"/>
  <c r="D115" i="50"/>
  <c r="L15" i="55"/>
  <c r="D7" i="56"/>
  <c r="D10" i="56"/>
  <c r="D20" i="56"/>
  <c r="D22" i="56"/>
  <c r="K6" i="56"/>
  <c r="K6" i="58"/>
  <c r="E10" i="58"/>
  <c r="K6" i="59"/>
  <c r="E7" i="59"/>
  <c r="E19" i="59"/>
  <c r="E10" i="59"/>
  <c r="D8" i="57"/>
  <c r="D9" i="57" s="1"/>
  <c r="D38" i="58"/>
  <c r="D13" i="58" s="1"/>
  <c r="D38" i="57"/>
  <c r="D13" i="57" s="1"/>
  <c r="D13" i="43"/>
  <c r="D38" i="59"/>
  <c r="D13" i="59" s="1"/>
  <c r="D45" i="58"/>
  <c r="D20" i="58" s="1"/>
  <c r="D20" i="43"/>
  <c r="D45" i="59"/>
  <c r="D20" i="59" s="1"/>
  <c r="D38" i="56"/>
  <c r="D13" i="56" s="1"/>
  <c r="D45" i="57"/>
  <c r="D20" i="57" s="1"/>
  <c r="E7" i="58"/>
  <c r="E37" i="57"/>
  <c r="E12" i="57" s="1"/>
  <c r="E37" i="58"/>
  <c r="E12" i="58" s="1"/>
  <c r="E37" i="56"/>
  <c r="E12" i="56" s="1"/>
  <c r="E12" i="43"/>
  <c r="E43" i="58"/>
  <c r="E43" i="57"/>
  <c r="E43" i="59"/>
  <c r="D36" i="59"/>
  <c r="D37" i="58"/>
  <c r="D12" i="43"/>
  <c r="E44" i="58"/>
  <c r="E19" i="58" s="1"/>
  <c r="E44" i="56"/>
  <c r="E19" i="56" s="1"/>
  <c r="E36" i="59"/>
  <c r="E11" i="59" s="1"/>
  <c r="E36" i="58"/>
  <c r="E11" i="58" s="1"/>
  <c r="E8" i="56"/>
  <c r="E9" i="56" s="1"/>
  <c r="D44" i="58"/>
  <c r="D19" i="58" s="1"/>
  <c r="D44" i="59"/>
  <c r="D19" i="59" s="1"/>
  <c r="D44" i="56"/>
  <c r="D19" i="56" s="1"/>
  <c r="E20" i="43"/>
  <c r="E45" i="56"/>
  <c r="E20" i="56" s="1"/>
  <c r="D4" i="57"/>
  <c r="D4" i="58"/>
  <c r="D4" i="59"/>
  <c r="E22" i="43"/>
  <c r="C44" i="59"/>
  <c r="C19" i="59" s="1"/>
  <c r="C19" i="43"/>
  <c r="C44" i="58"/>
  <c r="C19" i="58" s="1"/>
  <c r="C44" i="56"/>
  <c r="C19" i="56" s="1"/>
  <c r="C47" i="56"/>
  <c r="C22" i="56" s="1"/>
  <c r="C22" i="43"/>
  <c r="C47" i="58"/>
  <c r="C22" i="58" s="1"/>
  <c r="C31" i="58"/>
  <c r="C31" i="56"/>
  <c r="C32" i="43"/>
  <c r="C31" i="57"/>
  <c r="C36" i="58"/>
  <c r="C11" i="58" s="1"/>
  <c r="C36" i="56"/>
  <c r="C11" i="56" s="1"/>
  <c r="C11" i="43"/>
  <c r="C43" i="56"/>
  <c r="C43" i="59"/>
  <c r="C43" i="58"/>
  <c r="K7" i="57"/>
  <c r="G5" i="2" s="1"/>
  <c r="H6" i="36" s="1"/>
  <c r="H5" i="36" s="1"/>
  <c r="H17" i="36" s="1"/>
  <c r="H19" i="36" s="1"/>
  <c r="C8" i="57"/>
  <c r="C4" i="57"/>
  <c r="C4" i="58"/>
  <c r="C4" i="56"/>
  <c r="C13" i="43"/>
  <c r="C38" i="59"/>
  <c r="C13" i="59" s="1"/>
  <c r="C38" i="58"/>
  <c r="C13" i="58" s="1"/>
  <c r="C44" i="57"/>
  <c r="C19" i="57" s="1"/>
  <c r="C38" i="57"/>
  <c r="C13" i="57" s="1"/>
  <c r="C47" i="59"/>
  <c r="C22" i="59" s="1"/>
  <c r="C20" i="43"/>
  <c r="C45" i="59"/>
  <c r="C20" i="59" s="1"/>
  <c r="C45" i="56"/>
  <c r="C20" i="56" s="1"/>
  <c r="C45" i="58"/>
  <c r="C20" i="58" s="1"/>
  <c r="K7" i="43"/>
  <c r="C5" i="2" s="1"/>
  <c r="F6" i="36" s="1"/>
  <c r="F5" i="36" s="1"/>
  <c r="F17" i="36" s="1"/>
  <c r="F19" i="36" s="1"/>
  <c r="C9" i="43"/>
  <c r="C12" i="43"/>
  <c r="C37" i="58"/>
  <c r="C12" i="58" s="1"/>
  <c r="C37" i="56"/>
  <c r="C12" i="56" s="1"/>
  <c r="C37" i="59"/>
  <c r="C12" i="59" s="1"/>
  <c r="E5" i="36"/>
  <c r="M6" i="36"/>
  <c r="I14" i="59" l="1"/>
  <c r="F14" i="59"/>
  <c r="H34" i="57"/>
  <c r="H40" i="57" s="1"/>
  <c r="I15" i="57"/>
  <c r="I16" i="57" s="1"/>
  <c r="I34" i="57"/>
  <c r="I40" i="57" s="1"/>
  <c r="I48" i="57" s="1"/>
  <c r="G10" i="59"/>
  <c r="G10" i="57"/>
  <c r="F10" i="58"/>
  <c r="I14" i="43"/>
  <c r="I15" i="43" s="1"/>
  <c r="I16" i="43" s="1"/>
  <c r="F14" i="56"/>
  <c r="E38" i="58"/>
  <c r="E13" i="58" s="1"/>
  <c r="E14" i="58" s="1"/>
  <c r="E38" i="57"/>
  <c r="E13" i="57" s="1"/>
  <c r="E38" i="56"/>
  <c r="E13" i="56" s="1"/>
  <c r="E38" i="59"/>
  <c r="E13" i="59" s="1"/>
  <c r="E14" i="59" s="1"/>
  <c r="D36" i="58"/>
  <c r="D11" i="58" s="1"/>
  <c r="D11" i="43"/>
  <c r="D36" i="56"/>
  <c r="D11" i="56" s="1"/>
  <c r="G38" i="57"/>
  <c r="G13" i="57" s="1"/>
  <c r="K13" i="57" s="1"/>
  <c r="G11" i="2" s="1"/>
  <c r="G38" i="56"/>
  <c r="G13" i="56" s="1"/>
  <c r="G38" i="58"/>
  <c r="G13" i="58" s="1"/>
  <c r="G13" i="43"/>
  <c r="G38" i="59"/>
  <c r="G13" i="59" s="1"/>
  <c r="D14" i="43"/>
  <c r="D15" i="43" s="1"/>
  <c r="D36" i="57"/>
  <c r="D11" i="57" s="1"/>
  <c r="J45" i="56"/>
  <c r="J20" i="56" s="1"/>
  <c r="J20" i="43"/>
  <c r="J45" i="59"/>
  <c r="J20" i="59" s="1"/>
  <c r="J45" i="57"/>
  <c r="J20" i="57" s="1"/>
  <c r="J45" i="58"/>
  <c r="J20" i="58" s="1"/>
  <c r="G32" i="57"/>
  <c r="D37" i="56"/>
  <c r="D12" i="56" s="1"/>
  <c r="K12" i="56" s="1"/>
  <c r="D10" i="2" s="1"/>
  <c r="D37" i="59"/>
  <c r="D12" i="59" s="1"/>
  <c r="D37" i="57"/>
  <c r="D12" i="57" s="1"/>
  <c r="D19" i="43"/>
  <c r="D44" i="57"/>
  <c r="D19" i="57" s="1"/>
  <c r="G43" i="57"/>
  <c r="G43" i="59"/>
  <c r="G43" i="58"/>
  <c r="G43" i="56"/>
  <c r="G44" i="56"/>
  <c r="G19" i="56" s="1"/>
  <c r="G44" i="59"/>
  <c r="G19" i="59" s="1"/>
  <c r="G44" i="57"/>
  <c r="G19" i="57" s="1"/>
  <c r="G19" i="43"/>
  <c r="G44" i="58"/>
  <c r="G19" i="58" s="1"/>
  <c r="E47" i="58"/>
  <c r="E22" i="58" s="1"/>
  <c r="E47" i="59"/>
  <c r="E22" i="59" s="1"/>
  <c r="E47" i="57"/>
  <c r="E22" i="57" s="1"/>
  <c r="E47" i="56"/>
  <c r="E22" i="56" s="1"/>
  <c r="J38" i="57"/>
  <c r="J13" i="57" s="1"/>
  <c r="J13" i="43"/>
  <c r="J14" i="43" s="1"/>
  <c r="J15" i="43" s="1"/>
  <c r="J16" i="43" s="1"/>
  <c r="J38" i="58"/>
  <c r="J13" i="58" s="1"/>
  <c r="J14" i="58" s="1"/>
  <c r="J38" i="56"/>
  <c r="J13" i="56" s="1"/>
  <c r="K13" i="56" s="1"/>
  <c r="D11" i="2" s="1"/>
  <c r="J38" i="59"/>
  <c r="J13" i="59" s="1"/>
  <c r="J14" i="59" s="1"/>
  <c r="D43" i="57"/>
  <c r="D43" i="56"/>
  <c r="D43" i="59"/>
  <c r="D43" i="58"/>
  <c r="G36" i="57"/>
  <c r="G11" i="57" s="1"/>
  <c r="G14" i="57" s="1"/>
  <c r="G36" i="58"/>
  <c r="G11" i="58" s="1"/>
  <c r="G36" i="56"/>
  <c r="G11" i="56" s="1"/>
  <c r="G11" i="43"/>
  <c r="G14" i="43" s="1"/>
  <c r="G15" i="43" s="1"/>
  <c r="G16" i="43" s="1"/>
  <c r="G36" i="59"/>
  <c r="G11" i="59" s="1"/>
  <c r="K12" i="43"/>
  <c r="C10" i="2" s="1"/>
  <c r="C36" i="2" s="1"/>
  <c r="E13" i="43"/>
  <c r="K13" i="43" s="1"/>
  <c r="C11" i="2" s="1"/>
  <c r="C37" i="2" s="1"/>
  <c r="D40" i="43"/>
  <c r="E40" i="43"/>
  <c r="E36" i="56"/>
  <c r="E11" i="56" s="1"/>
  <c r="E14" i="56" s="1"/>
  <c r="E15" i="56" s="1"/>
  <c r="E36" i="57"/>
  <c r="E11" i="57" s="1"/>
  <c r="E14" i="57" s="1"/>
  <c r="E15" i="57" s="1"/>
  <c r="E16" i="57" s="1"/>
  <c r="E11" i="43"/>
  <c r="K11" i="43" s="1"/>
  <c r="C9" i="2" s="1"/>
  <c r="E45" i="57"/>
  <c r="E20" i="57" s="1"/>
  <c r="E45" i="59"/>
  <c r="E20" i="59" s="1"/>
  <c r="E45" i="58"/>
  <c r="E20" i="58" s="1"/>
  <c r="J19" i="43"/>
  <c r="J44" i="59"/>
  <c r="J19" i="59" s="1"/>
  <c r="K19" i="59" s="1"/>
  <c r="F17" i="2" s="1"/>
  <c r="J44" i="58"/>
  <c r="J19" i="58" s="1"/>
  <c r="K19" i="58" s="1"/>
  <c r="E17" i="2" s="1"/>
  <c r="J44" i="56"/>
  <c r="J19" i="56" s="1"/>
  <c r="J44" i="57"/>
  <c r="J19" i="57" s="1"/>
  <c r="K19" i="57" s="1"/>
  <c r="I14" i="56"/>
  <c r="I14" i="58"/>
  <c r="F14" i="58"/>
  <c r="J12" i="57"/>
  <c r="J40" i="43"/>
  <c r="H19" i="57"/>
  <c r="H48" i="57"/>
  <c r="G45" i="58"/>
  <c r="G20" i="58" s="1"/>
  <c r="G20" i="43"/>
  <c r="K20" i="43" s="1"/>
  <c r="C18" i="2" s="1"/>
  <c r="G45" i="57"/>
  <c r="G20" i="57" s="1"/>
  <c r="G45" i="56"/>
  <c r="G20" i="56" s="1"/>
  <c r="G45" i="59"/>
  <c r="G20" i="59" s="1"/>
  <c r="G47" i="59"/>
  <c r="G22" i="59" s="1"/>
  <c r="G47" i="58"/>
  <c r="G22" i="58" s="1"/>
  <c r="G47" i="56"/>
  <c r="G22" i="56" s="1"/>
  <c r="K22" i="56" s="1"/>
  <c r="G22" i="43"/>
  <c r="G47" i="57"/>
  <c r="G22" i="57" s="1"/>
  <c r="G40" i="43"/>
  <c r="C34" i="43"/>
  <c r="C40" i="43" s="1"/>
  <c r="C22" i="55"/>
  <c r="C18" i="55"/>
  <c r="C19" i="55" s="1"/>
  <c r="D10" i="57"/>
  <c r="D10" i="59"/>
  <c r="H8" i="56"/>
  <c r="H9" i="56" s="1"/>
  <c r="J8" i="56"/>
  <c r="J9" i="56" s="1"/>
  <c r="G8" i="56"/>
  <c r="G9" i="56" s="1"/>
  <c r="I8" i="56"/>
  <c r="I9" i="56" s="1"/>
  <c r="F8" i="56"/>
  <c r="F9" i="56" s="1"/>
  <c r="C8" i="56"/>
  <c r="C9" i="56" s="1"/>
  <c r="C32" i="56" s="1"/>
  <c r="G8" i="58"/>
  <c r="G9" i="58" s="1"/>
  <c r="D8" i="58"/>
  <c r="D9" i="58" s="1"/>
  <c r="D32" i="58" s="1"/>
  <c r="D34" i="58" s="1"/>
  <c r="D40" i="58" s="1"/>
  <c r="I8" i="58"/>
  <c r="I9" i="58" s="1"/>
  <c r="H8" i="58"/>
  <c r="H9" i="58" s="1"/>
  <c r="C8" i="58"/>
  <c r="C9" i="58" s="1"/>
  <c r="C32" i="58" s="1"/>
  <c r="F8" i="58"/>
  <c r="F9" i="58" s="1"/>
  <c r="J8" i="58"/>
  <c r="J9" i="58" s="1"/>
  <c r="J8" i="59"/>
  <c r="J9" i="59" s="1"/>
  <c r="G8" i="59"/>
  <c r="G9" i="59" s="1"/>
  <c r="F8" i="59"/>
  <c r="F9" i="59" s="1"/>
  <c r="I8" i="59"/>
  <c r="I9" i="59" s="1"/>
  <c r="H8" i="59"/>
  <c r="H9" i="59" s="1"/>
  <c r="D8" i="59"/>
  <c r="D9" i="59" s="1"/>
  <c r="D32" i="59" s="1"/>
  <c r="D34" i="59" s="1"/>
  <c r="D40" i="59" s="1"/>
  <c r="K21" i="43"/>
  <c r="H18" i="43"/>
  <c r="H17" i="43" s="1"/>
  <c r="D18" i="43"/>
  <c r="D17" i="43" s="1"/>
  <c r="G18" i="43"/>
  <c r="G17" i="43" s="1"/>
  <c r="C61" i="2"/>
  <c r="E18" i="43"/>
  <c r="E17" i="43" s="1"/>
  <c r="F18" i="43"/>
  <c r="F17" i="43" s="1"/>
  <c r="C18" i="43"/>
  <c r="C17" i="43" s="1"/>
  <c r="J18" i="43"/>
  <c r="J17" i="43" s="1"/>
  <c r="I18" i="43"/>
  <c r="I17" i="43" s="1"/>
  <c r="F26" i="51"/>
  <c r="E28" i="51"/>
  <c r="C56" i="2"/>
  <c r="D28" i="51"/>
  <c r="J18" i="57"/>
  <c r="J17" i="57" s="1"/>
  <c r="J23" i="57" s="1"/>
  <c r="H18" i="57"/>
  <c r="H17" i="57" s="1"/>
  <c r="E18" i="57"/>
  <c r="E17" i="57" s="1"/>
  <c r="E23" i="57" s="1"/>
  <c r="F18" i="57"/>
  <c r="F17" i="57" s="1"/>
  <c r="F23" i="57" s="1"/>
  <c r="I18" i="57"/>
  <c r="I17" i="57" s="1"/>
  <c r="I23" i="57" s="1"/>
  <c r="I24" i="57" s="1"/>
  <c r="D18" i="57"/>
  <c r="G61" i="2"/>
  <c r="C18" i="57"/>
  <c r="C17" i="57" s="1"/>
  <c r="G18" i="57"/>
  <c r="G17" i="57" s="1"/>
  <c r="G23" i="57" s="1"/>
  <c r="D16" i="43"/>
  <c r="D32" i="57"/>
  <c r="D11" i="59"/>
  <c r="K7" i="58"/>
  <c r="E5" i="2" s="1"/>
  <c r="E8" i="58"/>
  <c r="K7" i="59"/>
  <c r="F5" i="2" s="1"/>
  <c r="E8" i="59"/>
  <c r="F18" i="58"/>
  <c r="F17" i="58" s="1"/>
  <c r="G18" i="58"/>
  <c r="G17" i="58" s="1"/>
  <c r="E18" i="58"/>
  <c r="E17" i="58" s="1"/>
  <c r="E4" i="2"/>
  <c r="H18" i="58"/>
  <c r="H17" i="58" s="1"/>
  <c r="I18" i="58"/>
  <c r="I17" i="58" s="1"/>
  <c r="C18" i="58"/>
  <c r="C17" i="58" s="1"/>
  <c r="D18" i="58"/>
  <c r="D17" i="58" s="1"/>
  <c r="J18" i="58"/>
  <c r="J17" i="58" s="1"/>
  <c r="K7" i="56"/>
  <c r="D5" i="2" s="1"/>
  <c r="G6" i="36" s="1"/>
  <c r="G5" i="36" s="1"/>
  <c r="G17" i="36" s="1"/>
  <c r="G19" i="36" s="1"/>
  <c r="D8" i="56"/>
  <c r="E32" i="56"/>
  <c r="E34" i="56" s="1"/>
  <c r="E40" i="56" s="1"/>
  <c r="E40" i="57"/>
  <c r="E48" i="57" s="1"/>
  <c r="F4" i="2"/>
  <c r="H18" i="59"/>
  <c r="H17" i="59" s="1"/>
  <c r="I18" i="59"/>
  <c r="I17" i="59" s="1"/>
  <c r="D18" i="59"/>
  <c r="D17" i="59" s="1"/>
  <c r="E18" i="59"/>
  <c r="E17" i="59" s="1"/>
  <c r="G18" i="59"/>
  <c r="C18" i="59"/>
  <c r="C17" i="59" s="1"/>
  <c r="J18" i="59"/>
  <c r="J17" i="59" s="1"/>
  <c r="F18" i="59"/>
  <c r="F17" i="59" s="1"/>
  <c r="G18" i="56"/>
  <c r="G17" i="56" s="1"/>
  <c r="F18" i="56"/>
  <c r="F17" i="56" s="1"/>
  <c r="D18" i="56"/>
  <c r="D17" i="56" s="1"/>
  <c r="I18" i="56"/>
  <c r="I17" i="56" s="1"/>
  <c r="H18" i="56"/>
  <c r="H17" i="56" s="1"/>
  <c r="C18" i="56"/>
  <c r="C17" i="56" s="1"/>
  <c r="D4" i="2"/>
  <c r="H4" i="2" s="1"/>
  <c r="E18" i="56"/>
  <c r="E17" i="56" s="1"/>
  <c r="J18" i="56"/>
  <c r="J17" i="56" s="1"/>
  <c r="D12" i="58"/>
  <c r="D14" i="58" s="1"/>
  <c r="C14" i="57"/>
  <c r="C7" i="2"/>
  <c r="C30" i="2" s="1"/>
  <c r="C32" i="2" s="1"/>
  <c r="C33" i="2" s="1"/>
  <c r="K9" i="43"/>
  <c r="K11" i="58"/>
  <c r="E9" i="2" s="1"/>
  <c r="E35" i="2" s="1"/>
  <c r="C14" i="58"/>
  <c r="C32" i="59"/>
  <c r="C14" i="43"/>
  <c r="K22" i="58"/>
  <c r="K12" i="59"/>
  <c r="F10" i="2" s="1"/>
  <c r="F36" i="2" s="1"/>
  <c r="C14" i="59"/>
  <c r="C23" i="57"/>
  <c r="K8" i="57"/>
  <c r="G6" i="2" s="1"/>
  <c r="C9" i="57"/>
  <c r="C14" i="56"/>
  <c r="K22" i="43"/>
  <c r="E17" i="36"/>
  <c r="M5" i="36"/>
  <c r="G14" i="56" l="1"/>
  <c r="G14" i="59"/>
  <c r="G34" i="57"/>
  <c r="G40" i="57" s="1"/>
  <c r="G48" i="57" s="1"/>
  <c r="G15" i="57"/>
  <c r="G16" i="57" s="1"/>
  <c r="F10" i="59"/>
  <c r="F15" i="59" s="1"/>
  <c r="F16" i="59" s="1"/>
  <c r="E24" i="57"/>
  <c r="D34" i="57"/>
  <c r="D40" i="57" s="1"/>
  <c r="D48" i="57" s="1"/>
  <c r="D15" i="58"/>
  <c r="K20" i="56"/>
  <c r="D18" i="2" s="1"/>
  <c r="H18" i="2" s="1"/>
  <c r="H44" i="2" s="1"/>
  <c r="K8" i="56"/>
  <c r="D6" i="2" s="1"/>
  <c r="H5" i="2"/>
  <c r="L6" i="36" s="1"/>
  <c r="L5" i="36" s="1"/>
  <c r="L17" i="36" s="1"/>
  <c r="L19" i="36" s="1"/>
  <c r="J14" i="57"/>
  <c r="J15" i="57" s="1"/>
  <c r="J16" i="57" s="1"/>
  <c r="K13" i="58"/>
  <c r="E11" i="2" s="1"/>
  <c r="E37" i="2" s="1"/>
  <c r="K20" i="57"/>
  <c r="G18" i="2" s="1"/>
  <c r="G44" i="2" s="1"/>
  <c r="K22" i="59"/>
  <c r="D14" i="56"/>
  <c r="K20" i="58"/>
  <c r="E18" i="2" s="1"/>
  <c r="K19" i="56"/>
  <c r="D17" i="2" s="1"/>
  <c r="D43" i="2" s="1"/>
  <c r="K19" i="43"/>
  <c r="C17" i="2" s="1"/>
  <c r="C43" i="2" s="1"/>
  <c r="K20" i="59"/>
  <c r="F18" i="2" s="1"/>
  <c r="K13" i="59"/>
  <c r="F11" i="2" s="1"/>
  <c r="F37" i="2" s="1"/>
  <c r="C44" i="2"/>
  <c r="E14" i="43"/>
  <c r="E15" i="43" s="1"/>
  <c r="E16" i="43" s="1"/>
  <c r="D14" i="57"/>
  <c r="D15" i="57" s="1"/>
  <c r="D16" i="57" s="1"/>
  <c r="K11" i="57"/>
  <c r="G9" i="2" s="1"/>
  <c r="G35" i="2" s="1"/>
  <c r="J14" i="56"/>
  <c r="K11" i="56"/>
  <c r="D9" i="2" s="1"/>
  <c r="D35" i="2" s="1"/>
  <c r="G17" i="59"/>
  <c r="K8" i="58"/>
  <c r="E6" i="2" s="1"/>
  <c r="D17" i="57"/>
  <c r="D23" i="57" s="1"/>
  <c r="G14" i="58"/>
  <c r="G15" i="58" s="1"/>
  <c r="G16" i="58" s="1"/>
  <c r="K12" i="57"/>
  <c r="G10" i="2" s="1"/>
  <c r="G36" i="2" s="1"/>
  <c r="K8" i="59"/>
  <c r="F6" i="2" s="1"/>
  <c r="H23" i="57"/>
  <c r="H24" i="57" s="1"/>
  <c r="H25" i="57" s="1"/>
  <c r="H26" i="57" s="1"/>
  <c r="H27" i="57" s="1"/>
  <c r="J40" i="57"/>
  <c r="J48" i="57" s="1"/>
  <c r="K22" i="57"/>
  <c r="G20" i="2" s="1"/>
  <c r="C10" i="56"/>
  <c r="K10" i="56" s="1"/>
  <c r="D8" i="2" s="1"/>
  <c r="D31" i="2" s="1"/>
  <c r="C34" i="56"/>
  <c r="C40" i="56" s="1"/>
  <c r="H15" i="59"/>
  <c r="H16" i="59" s="1"/>
  <c r="H32" i="59"/>
  <c r="H34" i="59" s="1"/>
  <c r="H40" i="59" s="1"/>
  <c r="G32" i="59"/>
  <c r="G34" i="59" s="1"/>
  <c r="G40" i="59" s="1"/>
  <c r="G15" i="59"/>
  <c r="G16" i="59" s="1"/>
  <c r="F32" i="58"/>
  <c r="F34" i="58" s="1"/>
  <c r="F40" i="58" s="1"/>
  <c r="F15" i="58"/>
  <c r="F16" i="58" s="1"/>
  <c r="I15" i="58"/>
  <c r="I16" i="58" s="1"/>
  <c r="I32" i="58"/>
  <c r="I34" i="58" s="1"/>
  <c r="I40" i="58" s="1"/>
  <c r="G32" i="56"/>
  <c r="G34" i="56" s="1"/>
  <c r="G40" i="56" s="1"/>
  <c r="G15" i="56"/>
  <c r="G16" i="56" s="1"/>
  <c r="I15" i="59"/>
  <c r="I16" i="59" s="1"/>
  <c r="I32" i="59"/>
  <c r="I34" i="59" s="1"/>
  <c r="I40" i="59" s="1"/>
  <c r="J32" i="59"/>
  <c r="J34" i="59" s="1"/>
  <c r="J40" i="59" s="1"/>
  <c r="J15" i="59"/>
  <c r="J16" i="59" s="1"/>
  <c r="F32" i="56"/>
  <c r="F34" i="56" s="1"/>
  <c r="F40" i="56" s="1"/>
  <c r="F15" i="56"/>
  <c r="F16" i="56" s="1"/>
  <c r="J15" i="56"/>
  <c r="J16" i="56" s="1"/>
  <c r="J32" i="56"/>
  <c r="J34" i="56" s="1"/>
  <c r="J40" i="56" s="1"/>
  <c r="F32" i="59"/>
  <c r="F34" i="59" s="1"/>
  <c r="F40" i="59" s="1"/>
  <c r="J15" i="58"/>
  <c r="J16" i="58" s="1"/>
  <c r="J32" i="58"/>
  <c r="J34" i="58" s="1"/>
  <c r="J40" i="58" s="1"/>
  <c r="H15" i="58"/>
  <c r="H16" i="58" s="1"/>
  <c r="H32" i="58"/>
  <c r="H34" i="58" s="1"/>
  <c r="H40" i="58" s="1"/>
  <c r="G32" i="58"/>
  <c r="G34" i="58" s="1"/>
  <c r="G40" i="58" s="1"/>
  <c r="I32" i="56"/>
  <c r="I34" i="56" s="1"/>
  <c r="I40" i="56" s="1"/>
  <c r="I15" i="56"/>
  <c r="I16" i="56" s="1"/>
  <c r="H15" i="56"/>
  <c r="H16" i="56" s="1"/>
  <c r="H32" i="56"/>
  <c r="H34" i="56" s="1"/>
  <c r="H40" i="56" s="1"/>
  <c r="I25" i="57"/>
  <c r="I26" i="57" s="1"/>
  <c r="I27" i="57" s="1"/>
  <c r="K17" i="43"/>
  <c r="C15" i="2" s="1"/>
  <c r="C42" i="2" s="1"/>
  <c r="G26" i="51"/>
  <c r="D21" i="43"/>
  <c r="J21" i="43"/>
  <c r="J46" i="43" s="1"/>
  <c r="J48" i="43" s="1"/>
  <c r="H21" i="43"/>
  <c r="G21" i="43"/>
  <c r="G46" i="43" s="1"/>
  <c r="G48" i="43" s="1"/>
  <c r="E21" i="43"/>
  <c r="I21" i="43"/>
  <c r="I46" i="43" s="1"/>
  <c r="I48" i="43" s="1"/>
  <c r="C19" i="2"/>
  <c r="C51" i="2" s="1"/>
  <c r="C21" i="43"/>
  <c r="F21" i="43"/>
  <c r="G23" i="43"/>
  <c r="G24" i="43" s="1"/>
  <c r="K21" i="56"/>
  <c r="K17" i="59"/>
  <c r="E16" i="56"/>
  <c r="K17" i="58"/>
  <c r="E15" i="2" s="1"/>
  <c r="D37" i="2"/>
  <c r="E25" i="57"/>
  <c r="E26" i="57" s="1"/>
  <c r="E27" i="57" s="1"/>
  <c r="D44" i="2"/>
  <c r="D16" i="58"/>
  <c r="K12" i="58"/>
  <c r="E10" i="2" s="1"/>
  <c r="D36" i="2"/>
  <c r="E9" i="59"/>
  <c r="E9" i="58"/>
  <c r="K11" i="59"/>
  <c r="F9" i="2" s="1"/>
  <c r="F35" i="2" s="1"/>
  <c r="D14" i="59"/>
  <c r="D15" i="59" s="1"/>
  <c r="K17" i="56"/>
  <c r="D15" i="2" s="1"/>
  <c r="D9" i="56"/>
  <c r="K14" i="56"/>
  <c r="D12" i="2" s="1"/>
  <c r="K14" i="58"/>
  <c r="E12" i="2" s="1"/>
  <c r="C15" i="43"/>
  <c r="G37" i="2"/>
  <c r="C48" i="2"/>
  <c r="C50" i="2"/>
  <c r="G17" i="2"/>
  <c r="C35" i="2"/>
  <c r="F20" i="2"/>
  <c r="C20" i="2"/>
  <c r="C32" i="57"/>
  <c r="K9" i="57"/>
  <c r="G7" i="2" s="1"/>
  <c r="E20" i="2"/>
  <c r="D20" i="2"/>
  <c r="E18" i="36"/>
  <c r="F18" i="36" s="1"/>
  <c r="G18" i="36" s="1"/>
  <c r="H18" i="36" s="1"/>
  <c r="E23" i="36"/>
  <c r="E19" i="36"/>
  <c r="M17" i="36"/>
  <c r="E22" i="36"/>
  <c r="K14" i="43" l="1"/>
  <c r="C12" i="2" s="1"/>
  <c r="H11" i="2"/>
  <c r="H37" i="2" s="1"/>
  <c r="G24" i="57"/>
  <c r="G25" i="57" s="1"/>
  <c r="G26" i="57" s="1"/>
  <c r="G27" i="57" s="1"/>
  <c r="F10" i="57"/>
  <c r="F15" i="57" s="1"/>
  <c r="F34" i="57"/>
  <c r="F40" i="57" s="1"/>
  <c r="F48" i="57" s="1"/>
  <c r="J24" i="57"/>
  <c r="J25" i="57" s="1"/>
  <c r="J26" i="57" s="1"/>
  <c r="J27" i="57" s="1"/>
  <c r="K23" i="43"/>
  <c r="C49" i="2"/>
  <c r="H6" i="2"/>
  <c r="K17" i="57"/>
  <c r="K23" i="57" s="1"/>
  <c r="K23" i="56"/>
  <c r="D21" i="2" s="1"/>
  <c r="D24" i="57"/>
  <c r="D25" i="57" s="1"/>
  <c r="D26" i="57" s="1"/>
  <c r="D27" i="57" s="1"/>
  <c r="K14" i="57"/>
  <c r="G12" i="2" s="1"/>
  <c r="I23" i="43"/>
  <c r="I24" i="43" s="1"/>
  <c r="I25" i="43" s="1"/>
  <c r="I26" i="43" s="1"/>
  <c r="I27" i="43" s="1"/>
  <c r="C15" i="56"/>
  <c r="C16" i="56" s="1"/>
  <c r="C10" i="58"/>
  <c r="C34" i="58"/>
  <c r="C40" i="58" s="1"/>
  <c r="G25" i="43"/>
  <c r="G26" i="43" s="1"/>
  <c r="G27" i="43" s="1"/>
  <c r="D19" i="2"/>
  <c r="H21" i="56"/>
  <c r="C21" i="56"/>
  <c r="F21" i="56"/>
  <c r="E21" i="56"/>
  <c r="J21" i="56"/>
  <c r="G21" i="56"/>
  <c r="I21" i="56"/>
  <c r="D21" i="56"/>
  <c r="C46" i="43"/>
  <c r="C48" i="43" s="1"/>
  <c r="C23" i="43"/>
  <c r="C24" i="43" s="1"/>
  <c r="E46" i="43"/>
  <c r="E48" i="43" s="1"/>
  <c r="E23" i="43"/>
  <c r="E24" i="43" s="1"/>
  <c r="E25" i="43" s="1"/>
  <c r="E26" i="43" s="1"/>
  <c r="E27" i="43" s="1"/>
  <c r="I26" i="51"/>
  <c r="H61" i="2" s="1"/>
  <c r="D46" i="43"/>
  <c r="D48" i="43" s="1"/>
  <c r="D23" i="43"/>
  <c r="D24" i="43" s="1"/>
  <c r="D25" i="43" s="1"/>
  <c r="D26" i="43" s="1"/>
  <c r="D27" i="43" s="1"/>
  <c r="K21" i="59"/>
  <c r="K21" i="58"/>
  <c r="F46" i="43"/>
  <c r="F48" i="43" s="1"/>
  <c r="F23" i="43"/>
  <c r="F24" i="43" s="1"/>
  <c r="H46" i="43"/>
  <c r="H48" i="43" s="1"/>
  <c r="H23" i="43"/>
  <c r="H24" i="43" s="1"/>
  <c r="H25" i="43" s="1"/>
  <c r="H26" i="43" s="1"/>
  <c r="H27" i="43" s="1"/>
  <c r="J23" i="43"/>
  <c r="J24" i="43" s="1"/>
  <c r="F28" i="51"/>
  <c r="D42" i="2"/>
  <c r="H15" i="2"/>
  <c r="H42" i="2" s="1"/>
  <c r="K9" i="58"/>
  <c r="E7" i="2" s="1"/>
  <c r="E30" i="2" s="1"/>
  <c r="E32" i="58"/>
  <c r="E34" i="58" s="1"/>
  <c r="E40" i="58" s="1"/>
  <c r="E15" i="58"/>
  <c r="K14" i="59"/>
  <c r="F12" i="2" s="1"/>
  <c r="H9" i="2"/>
  <c r="H35" i="2" s="1"/>
  <c r="D32" i="56"/>
  <c r="D34" i="56" s="1"/>
  <c r="D40" i="56" s="1"/>
  <c r="D15" i="56"/>
  <c r="K9" i="56"/>
  <c r="D7" i="2" s="1"/>
  <c r="D49" i="2" s="1"/>
  <c r="D16" i="59"/>
  <c r="E15" i="59"/>
  <c r="E32" i="59"/>
  <c r="E34" i="59" s="1"/>
  <c r="E40" i="59" s="1"/>
  <c r="K9" i="59"/>
  <c r="F7" i="2" s="1"/>
  <c r="F30" i="2" s="1"/>
  <c r="E36" i="2"/>
  <c r="H10" i="2"/>
  <c r="H36" i="2" s="1"/>
  <c r="G51" i="2"/>
  <c r="G30" i="2"/>
  <c r="G52" i="2"/>
  <c r="G49" i="2"/>
  <c r="G50" i="2"/>
  <c r="K15" i="43"/>
  <c r="C16" i="43"/>
  <c r="G43" i="2"/>
  <c r="H17" i="2"/>
  <c r="G48" i="2"/>
  <c r="C21" i="2"/>
  <c r="H20" i="2"/>
  <c r="C52" i="2"/>
  <c r="I18" i="36"/>
  <c r="J18" i="36" s="1"/>
  <c r="K18" i="36" s="1"/>
  <c r="L18" i="36" s="1"/>
  <c r="E24" i="36"/>
  <c r="I22" i="36"/>
  <c r="I23" i="36"/>
  <c r="M19" i="36"/>
  <c r="E20" i="36"/>
  <c r="F20" i="36" s="1"/>
  <c r="G20" i="36" s="1"/>
  <c r="H20" i="36" s="1"/>
  <c r="H12" i="2" l="1"/>
  <c r="F16" i="57"/>
  <c r="F24" i="57"/>
  <c r="F25" i="57" s="1"/>
  <c r="F26" i="57" s="1"/>
  <c r="F27" i="57" s="1"/>
  <c r="K15" i="56"/>
  <c r="D13" i="2" s="1"/>
  <c r="D39" i="2" s="1"/>
  <c r="D40" i="2" s="1"/>
  <c r="I27" i="51"/>
  <c r="C10" i="59"/>
  <c r="C34" i="59"/>
  <c r="C40" i="59" s="1"/>
  <c r="K10" i="58"/>
  <c r="E8" i="2" s="1"/>
  <c r="E31" i="2" s="1"/>
  <c r="E32" i="2" s="1"/>
  <c r="E33" i="2" s="1"/>
  <c r="C15" i="58"/>
  <c r="H23" i="56"/>
  <c r="H24" i="56" s="1"/>
  <c r="H25" i="56" s="1"/>
  <c r="H26" i="56" s="1"/>
  <c r="H27" i="56" s="1"/>
  <c r="H46" i="56"/>
  <c r="H48" i="56" s="1"/>
  <c r="J25" i="43"/>
  <c r="J26" i="43" s="1"/>
  <c r="J27" i="43" s="1"/>
  <c r="F25" i="43"/>
  <c r="F26" i="43" s="1"/>
  <c r="F27" i="43" s="1"/>
  <c r="F19" i="2"/>
  <c r="I21" i="59"/>
  <c r="E21" i="59"/>
  <c r="C21" i="59"/>
  <c r="F21" i="59"/>
  <c r="J21" i="59"/>
  <c r="H21" i="59"/>
  <c r="D21" i="59"/>
  <c r="G21" i="59"/>
  <c r="K23" i="59"/>
  <c r="D46" i="56"/>
  <c r="D48" i="56" s="1"/>
  <c r="D23" i="56"/>
  <c r="D24" i="56" s="1"/>
  <c r="J46" i="56"/>
  <c r="J48" i="56" s="1"/>
  <c r="J23" i="56"/>
  <c r="J24" i="56" s="1"/>
  <c r="J25" i="56" s="1"/>
  <c r="J26" i="56" s="1"/>
  <c r="J27" i="56" s="1"/>
  <c r="C46" i="56"/>
  <c r="C48" i="56" s="1"/>
  <c r="C23" i="56"/>
  <c r="C24" i="56" s="1"/>
  <c r="C25" i="56" s="1"/>
  <c r="I46" i="56"/>
  <c r="I48" i="56" s="1"/>
  <c r="I23" i="56"/>
  <c r="I24" i="56" s="1"/>
  <c r="I25" i="56" s="1"/>
  <c r="I26" i="56" s="1"/>
  <c r="I27" i="56" s="1"/>
  <c r="E46" i="56"/>
  <c r="E48" i="56" s="1"/>
  <c r="E23" i="56"/>
  <c r="E24" i="56" s="1"/>
  <c r="E25" i="56" s="1"/>
  <c r="E26" i="56" s="1"/>
  <c r="E27" i="56" s="1"/>
  <c r="E19" i="2"/>
  <c r="F21" i="58"/>
  <c r="E21" i="58"/>
  <c r="C21" i="58"/>
  <c r="H21" i="58"/>
  <c r="G21" i="58"/>
  <c r="D21" i="58"/>
  <c r="I21" i="58"/>
  <c r="J21" i="58"/>
  <c r="K23" i="58"/>
  <c r="E21" i="2" s="1"/>
  <c r="H21" i="2" s="1"/>
  <c r="G46" i="56"/>
  <c r="G48" i="56" s="1"/>
  <c r="G23" i="56"/>
  <c r="G24" i="56" s="1"/>
  <c r="F46" i="56"/>
  <c r="F48" i="56" s="1"/>
  <c r="F23" i="56"/>
  <c r="F24" i="56" s="1"/>
  <c r="F25" i="56" s="1"/>
  <c r="F26" i="56" s="1"/>
  <c r="F27" i="56" s="1"/>
  <c r="D51" i="2"/>
  <c r="D30" i="2"/>
  <c r="D32" i="2" s="1"/>
  <c r="D33" i="2" s="1"/>
  <c r="D50" i="2"/>
  <c r="H7" i="2"/>
  <c r="H52" i="2" s="1"/>
  <c r="D48" i="2"/>
  <c r="E16" i="58"/>
  <c r="D52" i="2"/>
  <c r="E16" i="59"/>
  <c r="D16" i="56"/>
  <c r="C25" i="43"/>
  <c r="C26" i="43" s="1"/>
  <c r="C27" i="43" s="1"/>
  <c r="C13" i="2"/>
  <c r="K24" i="43"/>
  <c r="K16" i="43"/>
  <c r="H43" i="2"/>
  <c r="I24" i="36"/>
  <c r="I20" i="36"/>
  <c r="J20" i="36" s="1"/>
  <c r="K20" i="36" s="1"/>
  <c r="L20" i="36" s="1"/>
  <c r="H19" i="2" l="1"/>
  <c r="K24" i="56"/>
  <c r="K25" i="56" s="1"/>
  <c r="D23" i="2" s="1"/>
  <c r="K16" i="56"/>
  <c r="D14" i="2" s="1"/>
  <c r="C10" i="57"/>
  <c r="C34" i="57"/>
  <c r="C40" i="57" s="1"/>
  <c r="C48" i="57" s="1"/>
  <c r="K15" i="58"/>
  <c r="K24" i="58" s="1"/>
  <c r="C16" i="58"/>
  <c r="K10" i="59"/>
  <c r="F8" i="2" s="1"/>
  <c r="C15" i="59"/>
  <c r="C26" i="56"/>
  <c r="C27" i="56" s="1"/>
  <c r="D46" i="58"/>
  <c r="D48" i="58" s="1"/>
  <c r="D23" i="58"/>
  <c r="D24" i="58" s="1"/>
  <c r="D25" i="58" s="1"/>
  <c r="D26" i="58" s="1"/>
  <c r="D27" i="58" s="1"/>
  <c r="H23" i="59"/>
  <c r="H24" i="59" s="1"/>
  <c r="H25" i="59" s="1"/>
  <c r="H26" i="59" s="1"/>
  <c r="H27" i="59" s="1"/>
  <c r="H46" i="59"/>
  <c r="H48" i="59" s="1"/>
  <c r="I46" i="58"/>
  <c r="I48" i="58" s="1"/>
  <c r="I23" i="58"/>
  <c r="I24" i="58" s="1"/>
  <c r="H46" i="58"/>
  <c r="H48" i="58" s="1"/>
  <c r="H23" i="58"/>
  <c r="H24" i="58" s="1"/>
  <c r="H25" i="58" s="1"/>
  <c r="H26" i="58" s="1"/>
  <c r="H27" i="58" s="1"/>
  <c r="F46" i="58"/>
  <c r="F48" i="58" s="1"/>
  <c r="F23" i="58"/>
  <c r="F24" i="58" s="1"/>
  <c r="D46" i="59"/>
  <c r="D48" i="59" s="1"/>
  <c r="D23" i="59"/>
  <c r="D24" i="59" s="1"/>
  <c r="D25" i="59" s="1"/>
  <c r="D26" i="59" s="1"/>
  <c r="D27" i="59" s="1"/>
  <c r="F23" i="59"/>
  <c r="F24" i="59" s="1"/>
  <c r="F46" i="59"/>
  <c r="F48" i="59" s="1"/>
  <c r="I46" i="59"/>
  <c r="I48" i="59" s="1"/>
  <c r="I23" i="59"/>
  <c r="I24" i="59" s="1"/>
  <c r="I25" i="59" s="1"/>
  <c r="I26" i="59" s="1"/>
  <c r="I27" i="59" s="1"/>
  <c r="C46" i="58"/>
  <c r="C48" i="58" s="1"/>
  <c r="C23" i="58"/>
  <c r="C24" i="58" s="1"/>
  <c r="C25" i="58" s="1"/>
  <c r="C26" i="58" s="1"/>
  <c r="C27" i="58" s="1"/>
  <c r="C46" i="59"/>
  <c r="C48" i="59" s="1"/>
  <c r="C23" i="59"/>
  <c r="G25" i="56"/>
  <c r="G26" i="56" s="1"/>
  <c r="G27" i="56" s="1"/>
  <c r="J23" i="58"/>
  <c r="J24" i="58" s="1"/>
  <c r="J25" i="58" s="1"/>
  <c r="J26" i="58" s="1"/>
  <c r="J27" i="58" s="1"/>
  <c r="J46" i="58"/>
  <c r="J48" i="58" s="1"/>
  <c r="G46" i="58"/>
  <c r="G48" i="58" s="1"/>
  <c r="G23" i="58"/>
  <c r="G24" i="58" s="1"/>
  <c r="E46" i="58"/>
  <c r="E48" i="58" s="1"/>
  <c r="E23" i="58"/>
  <c r="E24" i="58" s="1"/>
  <c r="G23" i="59"/>
  <c r="G24" i="59" s="1"/>
  <c r="G25" i="59" s="1"/>
  <c r="G26" i="59" s="1"/>
  <c r="G27" i="59" s="1"/>
  <c r="G46" i="59"/>
  <c r="G48" i="59" s="1"/>
  <c r="J23" i="59"/>
  <c r="J24" i="59" s="1"/>
  <c r="J25" i="59" s="1"/>
  <c r="J26" i="59" s="1"/>
  <c r="J27" i="59" s="1"/>
  <c r="J46" i="59"/>
  <c r="J48" i="59" s="1"/>
  <c r="E46" i="59"/>
  <c r="E48" i="59" s="1"/>
  <c r="E23" i="59"/>
  <c r="E24" i="59" s="1"/>
  <c r="E25" i="59" s="1"/>
  <c r="E26" i="59" s="1"/>
  <c r="H48" i="2"/>
  <c r="D25" i="56"/>
  <c r="D26" i="56" s="1"/>
  <c r="D27" i="56" s="1"/>
  <c r="E25" i="58"/>
  <c r="E26" i="58" s="1"/>
  <c r="H30" i="2"/>
  <c r="H50" i="2"/>
  <c r="H51" i="2"/>
  <c r="H49" i="2"/>
  <c r="K25" i="43"/>
  <c r="K26" i="43" s="1"/>
  <c r="K27" i="43" s="1"/>
  <c r="C22" i="2"/>
  <c r="C39" i="2"/>
  <c r="C40" i="2" s="1"/>
  <c r="C14" i="2"/>
  <c r="D22" i="2" l="1"/>
  <c r="D54" i="2" s="1"/>
  <c r="K25" i="58"/>
  <c r="E23" i="2" s="1"/>
  <c r="E22" i="2"/>
  <c r="C16" i="59"/>
  <c r="K15" i="59"/>
  <c r="E13" i="2"/>
  <c r="E39" i="2" s="1"/>
  <c r="E40" i="2" s="1"/>
  <c r="K16" i="58"/>
  <c r="E14" i="2" s="1"/>
  <c r="F31" i="2"/>
  <c r="F32" i="2" s="1"/>
  <c r="F33" i="2" s="1"/>
  <c r="C24" i="59"/>
  <c r="C25" i="59" s="1"/>
  <c r="C26" i="59" s="1"/>
  <c r="C27" i="59" s="1"/>
  <c r="K10" i="57"/>
  <c r="G8" i="2" s="1"/>
  <c r="G31" i="2" s="1"/>
  <c r="G32" i="2" s="1"/>
  <c r="G33" i="2" s="1"/>
  <c r="C15" i="57"/>
  <c r="F25" i="59"/>
  <c r="F26" i="59" s="1"/>
  <c r="F27" i="59" s="1"/>
  <c r="F25" i="58"/>
  <c r="F26" i="58" s="1"/>
  <c r="G25" i="58"/>
  <c r="G26" i="58" s="1"/>
  <c r="G27" i="58" s="1"/>
  <c r="I25" i="58"/>
  <c r="I26" i="58" s="1"/>
  <c r="I27" i="58" s="1"/>
  <c r="E27" i="58"/>
  <c r="E27" i="59"/>
  <c r="K26" i="56"/>
  <c r="C54" i="2"/>
  <c r="C23" i="2"/>
  <c r="C24" i="2" s="1"/>
  <c r="K26" i="59" l="1"/>
  <c r="F24" i="2" s="1"/>
  <c r="H8" i="2"/>
  <c r="H13" i="2" s="1"/>
  <c r="F13" i="2"/>
  <c r="F39" i="2" s="1"/>
  <c r="F40" i="2" s="1"/>
  <c r="K16" i="59"/>
  <c r="F14" i="2" s="1"/>
  <c r="K24" i="59"/>
  <c r="C24" i="57"/>
  <c r="C25" i="57" s="1"/>
  <c r="C26" i="57" s="1"/>
  <c r="C27" i="57" s="1"/>
  <c r="K15" i="57"/>
  <c r="C16" i="57"/>
  <c r="F27" i="58"/>
  <c r="K26" i="58"/>
  <c r="C53" i="2"/>
  <c r="C60" i="2"/>
  <c r="C59" i="2" s="1"/>
  <c r="C25" i="2"/>
  <c r="D24" i="2"/>
  <c r="K27" i="56"/>
  <c r="D25" i="2" s="1"/>
  <c r="K27" i="59" l="1"/>
  <c r="F25" i="2" s="1"/>
  <c r="H31" i="2"/>
  <c r="H32" i="2" s="1"/>
  <c r="H33" i="2" s="1"/>
  <c r="H22" i="2"/>
  <c r="H39" i="2"/>
  <c r="H40" i="2" s="1"/>
  <c r="H14" i="2"/>
  <c r="K25" i="59"/>
  <c r="F23" i="2" s="1"/>
  <c r="F22" i="2"/>
  <c r="G13" i="2"/>
  <c r="G39" i="2" s="1"/>
  <c r="G40" i="2" s="1"/>
  <c r="K16" i="57"/>
  <c r="G14" i="2" s="1"/>
  <c r="K24" i="57"/>
  <c r="E24" i="2"/>
  <c r="K27" i="58"/>
  <c r="E25" i="2" s="1"/>
  <c r="D53" i="2"/>
  <c r="D60" i="2"/>
  <c r="D59" i="2" s="1"/>
  <c r="K25" i="57" l="1"/>
  <c r="G23" i="2" s="1"/>
  <c r="G22" i="2"/>
  <c r="G54" i="2" s="1"/>
  <c r="H54" i="2"/>
  <c r="H23" i="2"/>
  <c r="H24" i="2" s="1"/>
  <c r="K26" i="57" l="1"/>
  <c r="H53" i="2"/>
  <c r="H60" i="2"/>
  <c r="H59" i="2" s="1"/>
  <c r="H25" i="2"/>
  <c r="G24" i="2" l="1"/>
  <c r="K27" i="57"/>
  <c r="G25" i="2" s="1"/>
  <c r="G53" i="2" l="1"/>
  <c r="G60" i="2"/>
  <c r="G59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<sst xmlns="http://schemas.openxmlformats.org/spreadsheetml/2006/main" count="1428" uniqueCount="305">
  <si>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</si>
  <si>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</si>
  <si>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</si>
  <si>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</si>
  <si>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</si>
  <si>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</si>
  <si>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</si>
  <si>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</si>
  <si>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</si>
  <si>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</si>
  <si>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</si>
  <si>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</si>
  <si>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</si>
  <si>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</si>
  <si>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</si>
  <si>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</si>
  <si>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</si>
  <si>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</si>
  <si>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</si>
  <si>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</si>
  <si>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</si>
  <si>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</si>
  <si>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</si>
  <si>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</si>
  <si>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</si>
  <si>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</si>
  <si>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</si>
  <si>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</si>
  <si>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</si>
  <si>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</si>
  <si>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</si>
  <si>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</si>
  <si>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</si>
  <si>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</si>
  <si>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</si>
  <si>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</si>
  <si>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</si>
  <si>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</si>
  <si>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</si>
  <si>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</si>
  <si>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</si>
  <si>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</si>
  <si>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</si>
  <si>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</si>
  <si>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</si>
  <si>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</si>
  <si>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</si>
  <si>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</si>
  <si>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</si>
  <si>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</si>
  <si>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</si>
  <si>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</si>
  <si>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</si>
  <si>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</si>
  <si>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</si>
  <si>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</si>
  <si>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</si>
  <si>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</si>
  <si>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</si>
  <si>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</si>
  <si>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</si>
  <si>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</si>
  <si>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</si>
  <si>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</si>
  <si>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</si>
  <si>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</si>
  <si>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</si>
  <si>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</si>
  <si>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</si>
  <si>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</si>
  <si>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</si>
  <si>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</si>
  <si>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</si>
  <si>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</si>
  <si>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</si>
  <si>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</si>
  <si>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</si>
  <si>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</si>
  <si>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</si>
  <si>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</si>
  <si>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</si>
  <si>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</si>
  <si>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</si>
  <si>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</si>
  <si>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</si>
  <si>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</si>
  <si>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</si>
  <si>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</si>
  <si>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</si>
  <si>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</si>
  <si>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</si>
  <si>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</si>
  <si>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</si>
  <si>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</si>
  <si>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</si>
  <si>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</si>
  <si>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</si>
  <si>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</si>
  <si>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</si>
  <si>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</si>
  <si>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</si>
  <si>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</si>
  <si>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</si>
  <si>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</si>
  <si>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</si>
  <si>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</si>
  <si>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</si>
  <si>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</si>
  <si>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</si>
  <si>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</si>
  <si>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</si>
  <si>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</si>
  <si>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</si>
  <si>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</si>
  <si>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</si>
  <si>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</si>
  <si>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</si>
  <si>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</si>
  <si>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</si>
  <si>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</si>
  <si>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</si>
  <si>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</si>
  <si>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</si>
  <si>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</si>
  <si>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</si>
  <si>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</si>
  <si>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</si>
  <si>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</si>
  <si>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</si>
  <si>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</si>
  <si>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</si>
  <si>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</si>
  <si>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</si>
  <si>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</si>
  <si>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</si>
  <si>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</si>
  <si>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</si>
  <si>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</si>
  <si>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</si>
  <si>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</si>
  <si>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</si>
  <si>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</si>
  <si>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</si>
  <si>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</si>
  <si>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</si>
  <si>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</si>
  <si>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</si>
  <si>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</si>
  <si>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</si>
  <si>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</si>
  <si>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</si>
  <si>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</si>
  <si>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</si>
  <si>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</si>
  <si>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</si>
  <si>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</si>
  <si>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</si>
  <si>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</si>
  <si>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</si>
  <si>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</si>
  <si>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</si>
  <si>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</si>
  <si>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</si>
  <si>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</si>
  <si>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</si>
  <si>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</si>
  <si>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</si>
  <si>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</si>
  <si>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</si>
  <si>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</si>
  <si>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</si>
  <si>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</si>
  <si>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</si>
  <si>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</si>
  <si>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</si>
  <si>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</si>
  <si>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</si>
  <si>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</si>
  <si>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</si>
  <si>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</si>
  <si>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</si>
  <si>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</si>
  <si>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</si>
  <si>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</si>
  <si>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</si>
  <si>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</si>
  <si>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</si>
  <si>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</si>
  <si>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</si>
  <si>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</si>
  <si>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</si>
  <si>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</si>
  <si>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</si>
  <si>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</si>
  <si>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</si>
  <si>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</si>
  <si>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</si>
  <si>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</si>
  <si>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</si>
  <si>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</si>
  <si>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</si>
  <si>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</si>
  <si>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</si>
  <si>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</si>
  <si>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</si>
  <si>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</si>
  <si>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</si>
  <si>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</si>
  <si>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</si>
  <si>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</si>
  <si>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</si>
  <si>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</si>
  <si>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</si>
  <si>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</si>
  <si>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</si>
  <si>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</si>
  <si>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</si>
  <si>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</si>
  <si>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</si>
  <si>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</si>
  <si>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</si>
  <si>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</si>
  <si>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</si>
  <si>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</si>
  <si>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</si>
  <si>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</si>
  <si>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</si>
  <si>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</si>
  <si>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</si>
  <si>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</si>
  <si>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</si>
  <si>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</si>
  <si>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</si>
  <si>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</si>
  <si>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</si>
  <si>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</si>
  <si>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</si>
  <si>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</si>
  <si>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</si>
  <si>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</si>
  <si>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</si>
  <si>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</si>
  <si>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</si>
  <si>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</si>
  <si>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</si>
  <si>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</si>
  <si>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</si>
  <si>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</si>
  <si>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</si>
  <si>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</si>
  <si>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</si>
  <si>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</si>
  <si>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2026年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</si>
  <si>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</si>
  <si>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</si>
  <si>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</si>
  <si>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</si>
  <si>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 xml:space="preserve">  单位：元</t>
    <phoneticPr fontId="37" type="noConversion"/>
  </si>
  <si>
    <t>2023年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</si>
  <si>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</si>
  <si>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2024</t>
    </r>
    <r>
      <rPr>
        <b/>
        <sz val="10"/>
        <rFont val="宋体"/>
        <family val="3"/>
        <charset val="134"/>
      </rPr>
      <t>年</t>
    </r>
    <phoneticPr fontId="37" type="noConversion"/>
  </si>
  <si>
    <r>
      <t>2025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</si>
  <si>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</si>
  <si>
    <t>2030年</t>
  </si>
  <si>
    <t>一汽解放青岛汽车有限公司</t>
    <phoneticPr fontId="37" type="noConversion"/>
  </si>
  <si>
    <t>送货地点</t>
  </si>
  <si>
    <t>现汇或承兑的比例</t>
  </si>
  <si>
    <t>无</t>
  </si>
  <si>
    <t>包含所有的主、辅料</t>
  </si>
  <si>
    <t>涂红色处为必填项</t>
  </si>
  <si>
    <t>无</t>
    <phoneticPr fontId="34" type="noConversion"/>
  </si>
  <si>
    <t>自承担/分摊</t>
    <phoneticPr fontId="34" type="noConversion"/>
  </si>
  <si>
    <t>载货</t>
    <phoneticPr fontId="34" type="noConversion"/>
  </si>
  <si>
    <t>河北光华荣昌</t>
    <phoneticPr fontId="34" type="noConversion"/>
  </si>
  <si>
    <t>青岛即墨</t>
    <phoneticPr fontId="34" type="noConversion"/>
  </si>
  <si>
    <t>银行电子承兑</t>
    <phoneticPr fontId="34" type="noConversion"/>
  </si>
  <si>
    <t>周转箱</t>
    <phoneticPr fontId="34" type="noConversion"/>
  </si>
  <si>
    <t>同现有供货收费标准</t>
    <phoneticPr fontId="34" type="noConversion"/>
  </si>
  <si>
    <t>2023年</t>
    <phoneticPr fontId="37" type="noConversion"/>
  </si>
  <si>
    <t>成本预估根据项目经理提供资料估算。供应商年度降价与销价降价同步。</t>
    <phoneticPr fontId="37" type="noConversion"/>
  </si>
  <si>
    <t>驾驶员座总成</t>
  </si>
  <si>
    <t>座垫总成-前座</t>
  </si>
  <si>
    <t>主靠背总成-前座</t>
  </si>
  <si>
    <t>副靠背总成</t>
  </si>
  <si>
    <t>6800010MA96</t>
  </si>
  <si>
    <t>6800010MA98</t>
  </si>
  <si>
    <t>6903010MA96</t>
  </si>
  <si>
    <t>6903010MA98</t>
  </si>
  <si>
    <t>6905020MA96</t>
  </si>
  <si>
    <t>6905100MA96</t>
  </si>
  <si>
    <t>6905100MA98</t>
  </si>
  <si>
    <t>气囊减震、扶手</t>
  </si>
  <si>
    <t>气囊减震、窄扶手</t>
  </si>
  <si>
    <t>宽体</t>
  </si>
  <si>
    <t>窄体</t>
  </si>
  <si>
    <t>虎V副司机</t>
    <phoneticPr fontId="37" type="noConversion"/>
  </si>
  <si>
    <t>6903010AE411、6905020AE411、6905100AE411</t>
    <phoneticPr fontId="37" type="noConversion"/>
  </si>
  <si>
    <t>供应商年降：    连降2.5%</t>
    <phoneticPr fontId="37" type="noConversion"/>
  </si>
  <si>
    <t>材料成本（连降2.5%）</t>
    <phoneticPr fontId="37" type="noConversion"/>
  </si>
  <si>
    <t xml:space="preserve">J6F及虎V车型座椅更换面料及塑料件颜色座椅项目投资收益分析 </t>
    <phoneticPr fontId="37" type="noConversion"/>
  </si>
  <si>
    <t>ZY2337</t>
    <phoneticPr fontId="37" type="noConversion"/>
  </si>
  <si>
    <t>预计</t>
    <phoneticPr fontId="37" type="noConversion"/>
  </si>
  <si>
    <t>销售价格（未税）：由营销部门提供，包括年降2.5%。</t>
    <phoneticPr fontId="37" type="noConversion"/>
  </si>
  <si>
    <t>单台材料成本为未税价格。注塑件颜色变更不影响成本。</t>
    <phoneticPr fontId="37" type="noConversion"/>
  </si>
  <si>
    <t>一汽轻卡减震司机座椅、虎威副司机座椅   河北黄骅--青岛即墨  9.6每车能装72套，36箱，每车运费3200元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</si>
</sst>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rgb="FF0D0D0D"/>
      <name val="宋体"/>
      <family val="3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0" fontId="56" fillId="0" borderId="0" xfId="0" applyFont="1">
      <alignment vertical="center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0" xfId="0" applyFont="1" applyAlignment="1">
      <alignment horizontal="center" vertical="center"/>
    </xf>
    <xf numFmtId="0" fontId="49" fillId="0" borderId="13" xfId="0" applyFont="1" applyFill="1" applyBorder="1" applyAlignment="1">
      <alignment horizontal="center" vertical="center" wrapText="1"/>
    </xf>
    <xf numFmtId="0" fontId="53" fillId="9" borderId="1" xfId="0" applyFont="1" applyFill="1" applyBorder="1" applyAlignment="1">
      <alignment horizontal="center" vertical="center"/>
    </xf>
    <xf numFmtId="0" fontId="53" fillId="9" borderId="2" xfId="0" applyFont="1" applyFill="1" applyBorder="1" applyAlignment="1">
      <alignment horizontal="center" vertical="center" wrapText="1" readingOrder="1"/>
    </xf>
    <xf numFmtId="0" fontId="53" fillId="9" borderId="1" xfId="0" applyFont="1" applyFill="1" applyBorder="1" applyAlignment="1">
      <alignment horizontal="center" vertical="center" wrapText="1" readingOrder="1"/>
    </xf>
    <xf numFmtId="0" fontId="49" fillId="0" borderId="1" xfId="0" applyFont="1" applyFill="1" applyBorder="1" applyAlignment="1">
      <alignment horizontal="center" vertical="center" wrapText="1"/>
    </xf>
    <xf numFmtId="43" fontId="51" fillId="0" borderId="1" xfId="1" applyFont="1" applyBorder="1" applyAlignment="1" applyProtection="1">
      <alignment vertical="center"/>
      <protection locked="0"/>
    </xf>
    <xf numFmtId="178" fontId="51" fillId="0" borderId="1" xfId="1" applyNumberFormat="1" applyFont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43" fontId="48" fillId="7" borderId="0" xfId="0" applyNumberFormat="1" applyFont="1" applyFill="1">
      <alignment vertical="center"/>
    </xf>
    <xf numFmtId="0" fontId="25" fillId="0" borderId="1" xfId="0" applyFont="1" applyFill="1" applyBorder="1" applyAlignment="1">
      <alignment vertical="center" wrapText="1"/>
    </xf>
    <xf numFmtId="178" fontId="14" fillId="0" borderId="1" xfId="3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47" t="str">
        <f>损益表!A1</f>
        <v xml:space="preserve">J6F及虎V车型座椅更换面料及塑料件颜色座椅项目投资收益分析 </v>
      </c>
      <c r="B1" s="248"/>
      <c r="C1" s="248"/>
    </row>
    <row r="2" spans="1:4" s="127" customFormat="1" ht="35.25" customHeight="1">
      <c r="A2" s="128" t="s">
        <v>0</v>
      </c>
      <c r="B2" s="128" t="s">
        <v>1</v>
      </c>
      <c r="C2" s="128" t="s">
        <v>2</v>
      </c>
      <c r="D2" s="129"/>
    </row>
    <row r="3" spans="1:4" s="127" customFormat="1" ht="33.75" customHeight="1">
      <c r="A3" s="130">
        <v>1</v>
      </c>
      <c r="B3" s="130" t="s">
        <v>3</v>
      </c>
      <c r="C3" s="131" t="s">
        <v>4</v>
      </c>
      <c r="D3" s="129"/>
    </row>
    <row r="4" spans="1:4" s="127" customFormat="1" ht="33.75" customHeight="1">
      <c r="A4" s="130">
        <v>2</v>
      </c>
      <c r="B4" s="130" t="s">
        <v>5</v>
      </c>
      <c r="C4" s="131" t="s">
        <v>302</v>
      </c>
    </row>
    <row r="5" spans="1:4" s="127" customFormat="1" ht="33.75" customHeight="1">
      <c r="A5" s="130">
        <v>3</v>
      </c>
      <c r="B5" s="245" t="s">
        <v>6</v>
      </c>
      <c r="C5" s="132" t="s">
        <v>279</v>
      </c>
    </row>
    <row r="6" spans="1:4" s="127" customFormat="1" ht="33.75" customHeight="1">
      <c r="A6" s="130">
        <v>4</v>
      </c>
      <c r="B6" s="246"/>
      <c r="C6" s="131" t="s">
        <v>303</v>
      </c>
    </row>
    <row r="7" spans="1:4" s="127" customFormat="1" ht="33.75" customHeight="1">
      <c r="A7" s="130">
        <v>5</v>
      </c>
      <c r="B7" s="133" t="s">
        <v>7</v>
      </c>
      <c r="C7" s="131" t="s">
        <v>239</v>
      </c>
    </row>
    <row r="8" spans="1:4" s="127" customFormat="1" ht="33.75" customHeight="1">
      <c r="A8" s="130">
        <v>6</v>
      </c>
      <c r="B8" s="245" t="s">
        <v>8</v>
      </c>
      <c r="C8" s="131" t="s">
        <v>240</v>
      </c>
    </row>
    <row r="9" spans="1:4" s="127" customFormat="1" ht="33.75" customHeight="1">
      <c r="A9" s="130">
        <v>7</v>
      </c>
      <c r="B9" s="246"/>
      <c r="C9" s="131" t="s">
        <v>9</v>
      </c>
    </row>
    <row r="10" spans="1:4" s="127" customFormat="1" ht="33.75" customHeight="1">
      <c r="A10" s="130">
        <v>8</v>
      </c>
      <c r="B10" s="246"/>
      <c r="C10" s="132" t="s">
        <v>232</v>
      </c>
    </row>
    <row r="11" spans="1:4" s="127" customFormat="1" ht="33.75" customHeight="1">
      <c r="A11" s="130">
        <v>9</v>
      </c>
      <c r="B11" s="246"/>
      <c r="C11" s="131" t="s">
        <v>10</v>
      </c>
    </row>
    <row r="12" spans="1:4" s="127" customFormat="1" ht="33.75" customHeight="1">
      <c r="A12" s="130">
        <v>10</v>
      </c>
      <c r="B12" s="133" t="s">
        <v>11</v>
      </c>
      <c r="C12" s="131" t="s">
        <v>12</v>
      </c>
    </row>
    <row r="13" spans="1:4" ht="33.75" customHeight="1"/>
    <row r="14" spans="1:4" ht="33.75" customHeight="1"/>
    <row r="15" spans="1:4" ht="33.75" customHeight="1">
      <c r="C15" s="134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I9" sqref="I9"/>
    </sheetView>
  </sheetViews>
  <sheetFormatPr defaultColWidth="9" defaultRowHeight="20.25"/>
  <cols>
    <col min="1" max="1" width="14" style="192" customWidth="1"/>
    <col min="2" max="2" width="16.875" style="192" customWidth="1"/>
    <col min="3" max="9" width="18.25" style="192" customWidth="1"/>
    <col min="10" max="10" width="19.875" style="192" customWidth="1"/>
    <col min="11" max="11" width="18.25" style="192" customWidth="1"/>
    <col min="12" max="12" width="11.625" style="192" customWidth="1"/>
    <col min="13" max="13" width="15.625" style="192" customWidth="1"/>
    <col min="14" max="14" width="12.25" style="192" customWidth="1"/>
    <col min="15" max="16384" width="9" style="192"/>
  </cols>
  <sheetData>
    <row r="1" spans="1:15" ht="29.25" customHeight="1">
      <c r="A1" s="281" t="s">
        <v>184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5" ht="24" customHeight="1">
      <c r="A2" s="194" t="s">
        <v>185</v>
      </c>
      <c r="E2" s="193"/>
      <c r="F2" s="193"/>
      <c r="G2" s="193"/>
      <c r="H2" s="193"/>
      <c r="I2" s="193"/>
      <c r="J2" s="193"/>
      <c r="K2" s="193"/>
      <c r="L2" s="193"/>
    </row>
    <row r="3" spans="1:15">
      <c r="C3" s="192" t="s">
        <v>186</v>
      </c>
      <c r="D3" s="195" t="s">
        <v>229</v>
      </c>
      <c r="E3" s="196">
        <v>2.5000000000000001E-2</v>
      </c>
      <c r="F3" s="197"/>
      <c r="G3" s="197"/>
      <c r="H3" s="197"/>
    </row>
    <row r="4" spans="1:15">
      <c r="K4" s="198"/>
    </row>
    <row r="5" spans="1:15" ht="28.5" customHeight="1">
      <c r="A5" s="280" t="s">
        <v>187</v>
      </c>
      <c r="B5" s="213" t="s">
        <v>137</v>
      </c>
      <c r="C5" s="233" t="s">
        <v>280</v>
      </c>
      <c r="D5" s="233" t="s">
        <v>280</v>
      </c>
      <c r="E5" s="202" t="s">
        <v>281</v>
      </c>
      <c r="F5" s="202" t="s">
        <v>281</v>
      </c>
      <c r="G5" s="234" t="s">
        <v>282</v>
      </c>
      <c r="H5" s="235" t="s">
        <v>283</v>
      </c>
      <c r="I5" s="236" t="s">
        <v>283</v>
      </c>
      <c r="J5" s="236" t="s">
        <v>295</v>
      </c>
      <c r="K5" s="199"/>
      <c r="L5" s="279" t="s">
        <v>14</v>
      </c>
    </row>
    <row r="6" spans="1:15" ht="59.25" customHeight="1">
      <c r="A6" s="280"/>
      <c r="B6" s="213" t="s">
        <v>138</v>
      </c>
      <c r="C6" s="237" t="s">
        <v>284</v>
      </c>
      <c r="D6" s="237" t="s">
        <v>285</v>
      </c>
      <c r="E6" s="202" t="s">
        <v>286</v>
      </c>
      <c r="F6" s="202" t="s">
        <v>287</v>
      </c>
      <c r="G6" s="202" t="s">
        <v>288</v>
      </c>
      <c r="H6" s="236" t="s">
        <v>289</v>
      </c>
      <c r="I6" s="236" t="s">
        <v>290</v>
      </c>
      <c r="J6" s="236" t="s">
        <v>296</v>
      </c>
      <c r="K6" s="200"/>
      <c r="L6" s="279"/>
      <c r="N6" s="192">
        <v>100</v>
      </c>
    </row>
    <row r="7" spans="1:15" ht="32.25" customHeight="1">
      <c r="A7" s="280"/>
      <c r="B7" s="214" t="s">
        <v>188</v>
      </c>
      <c r="C7" s="237" t="s">
        <v>291</v>
      </c>
      <c r="D7" s="237" t="s">
        <v>292</v>
      </c>
      <c r="E7" s="202" t="s">
        <v>293</v>
      </c>
      <c r="F7" s="202" t="s">
        <v>294</v>
      </c>
      <c r="G7" s="234"/>
      <c r="H7" s="236" t="s">
        <v>293</v>
      </c>
      <c r="I7" s="236" t="s">
        <v>294</v>
      </c>
      <c r="J7" s="236"/>
      <c r="K7" s="200"/>
      <c r="L7" s="279"/>
      <c r="N7" s="192">
        <f>N6*(1-$E$3)</f>
        <v>97.5</v>
      </c>
      <c r="O7" s="192">
        <f>N7/$N$6</f>
        <v>0.97499999999999998</v>
      </c>
    </row>
    <row r="8" spans="1:15" ht="40.5">
      <c r="A8" s="280"/>
      <c r="B8" s="201" t="s">
        <v>189</v>
      </c>
      <c r="C8" s="238">
        <v>1001.42</v>
      </c>
      <c r="D8" s="238">
        <v>1012.68</v>
      </c>
      <c r="E8" s="238">
        <v>107.69</v>
      </c>
      <c r="F8" s="238">
        <v>113.93</v>
      </c>
      <c r="G8" s="238">
        <v>154.81</v>
      </c>
      <c r="H8" s="238">
        <v>150.22</v>
      </c>
      <c r="I8" s="238">
        <v>106.42</v>
      </c>
      <c r="J8" s="238">
        <v>328.65</v>
      </c>
      <c r="K8" s="200"/>
      <c r="L8" s="279"/>
      <c r="M8" s="219">
        <f>SUM(C8:K8)</f>
        <v>2975.8199999999997</v>
      </c>
      <c r="N8" s="192">
        <f>N7*(1-$E$3)</f>
        <v>95.0625</v>
      </c>
      <c r="O8" s="192">
        <f t="shared" ref="O8:O9" si="0">N8/$N$6</f>
        <v>0.95062500000000005</v>
      </c>
    </row>
    <row r="9" spans="1:15">
      <c r="A9" s="280" t="s">
        <v>190</v>
      </c>
      <c r="B9" s="203" t="s">
        <v>258</v>
      </c>
      <c r="C9" s="239">
        <v>1200</v>
      </c>
      <c r="D9" s="239">
        <v>1800</v>
      </c>
      <c r="E9" s="239">
        <v>1200</v>
      </c>
      <c r="F9" s="239">
        <v>1800</v>
      </c>
      <c r="G9" s="239">
        <v>2000</v>
      </c>
      <c r="H9" s="239">
        <v>1200</v>
      </c>
      <c r="I9" s="239">
        <v>1800</v>
      </c>
      <c r="J9" s="239">
        <v>5000</v>
      </c>
      <c r="K9" s="204"/>
      <c r="L9" s="205">
        <f>SUM(C9:K9)</f>
        <v>16000</v>
      </c>
      <c r="N9" s="192">
        <f t="shared" ref="N9:N10" si="1">N8*(1-$E$3)</f>
        <v>92.685937499999994</v>
      </c>
      <c r="O9" s="192">
        <f t="shared" si="0"/>
        <v>0.92685937499999993</v>
      </c>
    </row>
    <row r="10" spans="1:15">
      <c r="A10" s="280"/>
      <c r="B10" s="224" t="s">
        <v>180</v>
      </c>
      <c r="C10" s="239">
        <v>1600</v>
      </c>
      <c r="D10" s="239">
        <v>2400</v>
      </c>
      <c r="E10" s="239">
        <v>1600</v>
      </c>
      <c r="F10" s="239">
        <v>2400</v>
      </c>
      <c r="G10" s="239">
        <v>4000</v>
      </c>
      <c r="H10" s="239">
        <v>1600</v>
      </c>
      <c r="I10" s="239">
        <v>2400</v>
      </c>
      <c r="J10" s="239">
        <v>5000</v>
      </c>
      <c r="K10" s="206"/>
      <c r="L10" s="205">
        <f t="shared" ref="L10:L14" si="2">SUM(C10:K10)</f>
        <v>21000</v>
      </c>
      <c r="N10" s="192">
        <f t="shared" si="1"/>
        <v>90.368789062499999</v>
      </c>
      <c r="O10" s="192">
        <f t="shared" ref="O10" si="3">N10/$N$6</f>
        <v>0.90368789062499999</v>
      </c>
    </row>
    <row r="11" spans="1:15">
      <c r="A11" s="280"/>
      <c r="B11" s="224" t="s">
        <v>181</v>
      </c>
      <c r="C11" s="239">
        <v>2000</v>
      </c>
      <c r="D11" s="239">
        <v>3000</v>
      </c>
      <c r="E11" s="239">
        <v>2000</v>
      </c>
      <c r="F11" s="239">
        <v>3000</v>
      </c>
      <c r="G11" s="239">
        <v>5000</v>
      </c>
      <c r="H11" s="239">
        <v>2000</v>
      </c>
      <c r="I11" s="239">
        <v>3000</v>
      </c>
      <c r="J11" s="239">
        <v>5000</v>
      </c>
      <c r="K11" s="204"/>
      <c r="L11" s="205">
        <f t="shared" si="2"/>
        <v>25000</v>
      </c>
    </row>
    <row r="12" spans="1:15">
      <c r="A12" s="280"/>
      <c r="B12" s="224" t="s">
        <v>225</v>
      </c>
      <c r="C12" s="239">
        <v>2000</v>
      </c>
      <c r="D12" s="239">
        <v>3000</v>
      </c>
      <c r="E12" s="239">
        <v>2000</v>
      </c>
      <c r="F12" s="239">
        <v>3000</v>
      </c>
      <c r="G12" s="239">
        <v>5000</v>
      </c>
      <c r="H12" s="239">
        <v>2000</v>
      </c>
      <c r="I12" s="239">
        <v>3000</v>
      </c>
      <c r="J12" s="239">
        <v>4000</v>
      </c>
      <c r="K12" s="174"/>
      <c r="L12" s="205">
        <f t="shared" si="2"/>
        <v>24000</v>
      </c>
    </row>
    <row r="13" spans="1:15">
      <c r="A13" s="280"/>
      <c r="B13" s="224" t="s">
        <v>237</v>
      </c>
      <c r="C13" s="239">
        <v>2000</v>
      </c>
      <c r="D13" s="239">
        <v>3000</v>
      </c>
      <c r="E13" s="239">
        <v>2000</v>
      </c>
      <c r="F13" s="239">
        <v>3000</v>
      </c>
      <c r="G13" s="239">
        <v>5000</v>
      </c>
      <c r="H13" s="239">
        <v>2000</v>
      </c>
      <c r="I13" s="239">
        <v>3000</v>
      </c>
      <c r="J13" s="239">
        <v>3000</v>
      </c>
      <c r="K13" s="174"/>
      <c r="L13" s="205">
        <f t="shared" si="2"/>
        <v>23000</v>
      </c>
    </row>
    <row r="14" spans="1:15">
      <c r="A14" s="280"/>
      <c r="B14" s="224" t="s">
        <v>238</v>
      </c>
      <c r="C14" s="216"/>
      <c r="D14" s="216"/>
      <c r="E14" s="216"/>
      <c r="F14" s="204"/>
      <c r="G14" s="204"/>
      <c r="H14" s="204"/>
      <c r="I14" s="204"/>
      <c r="J14" s="204"/>
      <c r="K14" s="204"/>
      <c r="L14" s="205">
        <f t="shared" si="2"/>
        <v>0</v>
      </c>
    </row>
    <row r="15" spans="1:15">
      <c r="A15" s="279" t="s">
        <v>14</v>
      </c>
      <c r="B15" s="279"/>
      <c r="C15" s="207">
        <f t="shared" ref="C15:L15" si="4">SUM(C9:C14)</f>
        <v>8800</v>
      </c>
      <c r="D15" s="207">
        <f t="shared" si="4"/>
        <v>13200</v>
      </c>
      <c r="E15" s="207">
        <f t="shared" si="4"/>
        <v>8800</v>
      </c>
      <c r="F15" s="207">
        <f t="shared" si="4"/>
        <v>13200</v>
      </c>
      <c r="G15" s="207">
        <f t="shared" si="4"/>
        <v>21000</v>
      </c>
      <c r="H15" s="207">
        <f t="shared" si="4"/>
        <v>8800</v>
      </c>
      <c r="I15" s="207">
        <f t="shared" si="4"/>
        <v>13200</v>
      </c>
      <c r="J15" s="207">
        <f t="shared" si="4"/>
        <v>22000</v>
      </c>
      <c r="K15" s="207">
        <f t="shared" si="4"/>
        <v>0</v>
      </c>
      <c r="L15" s="207">
        <f t="shared" si="4"/>
        <v>109000</v>
      </c>
    </row>
    <row r="16" spans="1:15">
      <c r="A16" s="208"/>
      <c r="B16" s="208"/>
      <c r="C16" s="208"/>
    </row>
    <row r="17" spans="2:14" ht="29.25" customHeight="1">
      <c r="B17" s="209" t="s">
        <v>249</v>
      </c>
      <c r="C17" s="243">
        <v>688.58</v>
      </c>
      <c r="D17" s="243">
        <v>697.8</v>
      </c>
      <c r="E17" s="240">
        <v>97.61</v>
      </c>
      <c r="F17" s="240">
        <v>93.72</v>
      </c>
      <c r="G17" s="241">
        <v>134.05000000000001</v>
      </c>
      <c r="H17" s="241">
        <v>69.900000000000006</v>
      </c>
      <c r="I17" s="241">
        <v>66.790000000000006</v>
      </c>
      <c r="J17" s="210">
        <v>302.99</v>
      </c>
      <c r="K17" s="209"/>
      <c r="L17" s="209"/>
      <c r="M17" s="208"/>
      <c r="N17" s="219"/>
    </row>
    <row r="18" spans="2:14" ht="29.25" customHeight="1">
      <c r="B18" s="209" t="s">
        <v>250</v>
      </c>
      <c r="C18" s="210">
        <f>C8-C17</f>
        <v>312.83999999999992</v>
      </c>
      <c r="D18" s="210">
        <f t="shared" ref="D18:J18" si="5">D8-D17</f>
        <v>314.88</v>
      </c>
      <c r="E18" s="210">
        <f t="shared" si="5"/>
        <v>10.079999999999998</v>
      </c>
      <c r="F18" s="210">
        <f t="shared" si="5"/>
        <v>20.210000000000008</v>
      </c>
      <c r="G18" s="210">
        <f t="shared" si="5"/>
        <v>20.759999999999991</v>
      </c>
      <c r="H18" s="210">
        <f t="shared" si="5"/>
        <v>80.319999999999993</v>
      </c>
      <c r="I18" s="210">
        <f t="shared" si="5"/>
        <v>39.629999999999995</v>
      </c>
      <c r="J18" s="210">
        <f t="shared" si="5"/>
        <v>25.659999999999968</v>
      </c>
      <c r="K18" s="209"/>
      <c r="L18" s="209"/>
      <c r="M18" s="208"/>
      <c r="N18" s="219"/>
    </row>
    <row r="19" spans="2:14" ht="29.25" customHeight="1">
      <c r="B19" s="209" t="s">
        <v>251</v>
      </c>
      <c r="C19" s="211">
        <f>C18/C8</f>
        <v>0.31239639711609507</v>
      </c>
      <c r="D19" s="211">
        <f t="shared" ref="D19:J19" si="6">D18/D8</f>
        <v>0.31093731484773079</v>
      </c>
      <c r="E19" s="211">
        <f t="shared" si="6"/>
        <v>9.360200575726621E-2</v>
      </c>
      <c r="F19" s="211">
        <f t="shared" si="6"/>
        <v>0.17738962520846138</v>
      </c>
      <c r="G19" s="211">
        <f t="shared" si="6"/>
        <v>0.13409986434984814</v>
      </c>
      <c r="H19" s="211">
        <f t="shared" si="6"/>
        <v>0.53468246571694844</v>
      </c>
      <c r="I19" s="211">
        <f t="shared" si="6"/>
        <v>0.37239240744221008</v>
      </c>
      <c r="J19" s="211">
        <f t="shared" si="6"/>
        <v>7.8076981591358494E-2</v>
      </c>
      <c r="K19" s="209"/>
      <c r="L19" s="209"/>
      <c r="M19" s="220"/>
      <c r="N19" s="220"/>
    </row>
    <row r="21" spans="2:14">
      <c r="B21" s="192" t="s">
        <v>255</v>
      </c>
      <c r="C21" s="219">
        <f>C8*0.7</f>
        <v>700.99399999999991</v>
      </c>
      <c r="D21" s="219">
        <f t="shared" ref="D21" si="7">D8*0.7</f>
        <v>708.87599999999998</v>
      </c>
      <c r="E21" s="242">
        <f>E8*0.8</f>
        <v>86.152000000000001</v>
      </c>
      <c r="F21" s="242">
        <f t="shared" ref="F21:J21" si="8">F8*0.8</f>
        <v>91.144000000000005</v>
      </c>
      <c r="G21" s="242">
        <f t="shared" si="8"/>
        <v>123.84800000000001</v>
      </c>
      <c r="H21" s="242">
        <f t="shared" si="8"/>
        <v>120.176</v>
      </c>
      <c r="I21" s="242">
        <f t="shared" si="8"/>
        <v>85.13600000000001</v>
      </c>
      <c r="J21" s="242">
        <f t="shared" si="8"/>
        <v>262.92</v>
      </c>
      <c r="M21" s="219"/>
    </row>
    <row r="22" spans="2:14">
      <c r="B22" s="192" t="s">
        <v>256</v>
      </c>
      <c r="C22" s="219">
        <f>C17-C21</f>
        <v>-12.413999999999874</v>
      </c>
      <c r="D22" s="219">
        <f t="shared" ref="D22:J22" si="9">D17-D21</f>
        <v>-11.076000000000022</v>
      </c>
      <c r="E22" s="219">
        <f t="shared" si="9"/>
        <v>11.457999999999998</v>
      </c>
      <c r="F22" s="219">
        <f t="shared" si="9"/>
        <v>2.5759999999999934</v>
      </c>
      <c r="G22" s="219">
        <f t="shared" si="9"/>
        <v>10.201999999999998</v>
      </c>
      <c r="H22" s="219">
        <f t="shared" si="9"/>
        <v>-50.275999999999996</v>
      </c>
      <c r="I22" s="219">
        <f t="shared" si="9"/>
        <v>-18.346000000000004</v>
      </c>
      <c r="J22" s="219">
        <f t="shared" si="9"/>
        <v>40.069999999999993</v>
      </c>
      <c r="M22" s="219"/>
    </row>
  </sheetData>
  <mergeCells count="5">
    <mergeCell ref="A15:B15"/>
    <mergeCell ref="A5:A8"/>
    <mergeCell ref="A9:A14"/>
    <mergeCell ref="L5:L8"/>
    <mergeCell ref="A1:L1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E15" sqref="E15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94" t="s">
        <v>6</v>
      </c>
      <c r="B1" s="294"/>
      <c r="C1" s="5"/>
      <c r="N1" s="8"/>
    </row>
    <row r="2" spans="1:15">
      <c r="A2" s="295" t="s">
        <v>191</v>
      </c>
      <c r="B2" s="295"/>
      <c r="C2" s="296"/>
      <c r="D2" s="296"/>
      <c r="E2" s="297" t="s">
        <v>297</v>
      </c>
      <c r="F2" s="298"/>
      <c r="G2" s="298"/>
      <c r="H2" s="298"/>
      <c r="I2" s="298"/>
      <c r="J2" s="298"/>
      <c r="K2" s="298"/>
      <c r="L2" s="298"/>
      <c r="M2" s="299"/>
    </row>
    <row r="3" spans="1:15" ht="24" customHeight="1">
      <c r="A3" s="284" t="s">
        <v>13</v>
      </c>
      <c r="B3" s="284" t="s">
        <v>192</v>
      </c>
      <c r="C3" s="6" t="s">
        <v>193</v>
      </c>
      <c r="D3" s="300" t="str">
        <f>损益表!A1</f>
        <v xml:space="preserve">J6F及虎V车型座椅更换面料及塑料件颜色座椅项目投资收益分析 </v>
      </c>
      <c r="E3" s="300"/>
      <c r="F3" s="6" t="s">
        <v>194</v>
      </c>
      <c r="G3" s="181" t="s">
        <v>300</v>
      </c>
      <c r="H3" s="181"/>
      <c r="I3" s="181"/>
      <c r="J3" s="181"/>
      <c r="K3" s="181"/>
      <c r="L3" s="175"/>
      <c r="M3" s="301" t="s">
        <v>147</v>
      </c>
    </row>
    <row r="4" spans="1:15">
      <c r="A4" s="284"/>
      <c r="B4" s="284"/>
      <c r="C4" s="6" t="s">
        <v>137</v>
      </c>
      <c r="D4" s="164" t="str">
        <f>销量!C5</f>
        <v>驾驶员座总成</v>
      </c>
      <c r="E4" s="164" t="str">
        <f>销量!D5</f>
        <v>驾驶员座总成</v>
      </c>
      <c r="F4" s="164" t="str">
        <f>销量!E5</f>
        <v>座垫总成-前座</v>
      </c>
      <c r="G4" s="164" t="str">
        <f>销量!F5</f>
        <v>座垫总成-前座</v>
      </c>
      <c r="H4" s="164" t="str">
        <f>销量!G5</f>
        <v>主靠背总成-前座</v>
      </c>
      <c r="I4" s="164" t="str">
        <f>销量!H5</f>
        <v>副靠背总成</v>
      </c>
      <c r="J4" s="164" t="str">
        <f>销量!I5</f>
        <v>副靠背总成</v>
      </c>
      <c r="K4" s="164" t="str">
        <f>销量!J5</f>
        <v>虎V副司机</v>
      </c>
      <c r="L4" s="164"/>
      <c r="M4" s="302"/>
    </row>
    <row r="5" spans="1:15" ht="47.25" customHeight="1">
      <c r="A5" s="284"/>
      <c r="B5" s="284"/>
      <c r="C5" s="6" t="s">
        <v>242</v>
      </c>
      <c r="D5" s="165" t="str">
        <f>销量!C6</f>
        <v>6800010MA96</v>
      </c>
      <c r="E5" s="165" t="str">
        <f>销量!D6</f>
        <v>6800010MA98</v>
      </c>
      <c r="F5" s="165" t="str">
        <f>销量!E6</f>
        <v>6903010MA96</v>
      </c>
      <c r="G5" s="165" t="str">
        <f>销量!F6</f>
        <v>6903010MA98</v>
      </c>
      <c r="H5" s="165" t="str">
        <f>销量!G6</f>
        <v>6905020MA96</v>
      </c>
      <c r="I5" s="165" t="str">
        <f>销量!H6</f>
        <v>6905100MA96</v>
      </c>
      <c r="J5" s="165" t="str">
        <f>销量!I6</f>
        <v>6905100MA98</v>
      </c>
      <c r="K5" s="165" t="str">
        <f>销量!J6</f>
        <v>6903010AE411、6905020AE411、6905100AE411</v>
      </c>
      <c r="L5" s="165"/>
      <c r="M5" s="303"/>
    </row>
    <row r="6" spans="1:15" s="178" customFormat="1" ht="38.25" customHeight="1">
      <c r="A6" s="180">
        <v>1</v>
      </c>
      <c r="B6" s="304"/>
      <c r="C6" s="305"/>
      <c r="D6" s="183">
        <v>688.58</v>
      </c>
      <c r="E6" s="183">
        <v>697.8</v>
      </c>
      <c r="F6" s="183">
        <v>97.61</v>
      </c>
      <c r="G6" s="183">
        <v>93.72</v>
      </c>
      <c r="H6" s="183">
        <v>134.05000000000001</v>
      </c>
      <c r="I6" s="183">
        <v>69.900000000000006</v>
      </c>
      <c r="J6" s="183">
        <v>66.790000000000006</v>
      </c>
      <c r="K6" s="183">
        <v>302.99</v>
      </c>
      <c r="L6" s="186"/>
      <c r="M6" s="145" t="s">
        <v>243</v>
      </c>
    </row>
    <row r="7" spans="1:15" s="178" customFormat="1" ht="16.5" customHeight="1">
      <c r="A7" s="180">
        <v>2</v>
      </c>
      <c r="B7" s="304"/>
      <c r="C7" s="305"/>
      <c r="D7" s="185"/>
      <c r="E7" s="185"/>
      <c r="F7" s="185"/>
      <c r="G7" s="185"/>
      <c r="H7" s="185"/>
      <c r="I7" s="185"/>
      <c r="J7" s="185"/>
      <c r="K7" s="185"/>
      <c r="L7" s="185"/>
      <c r="M7" s="184"/>
    </row>
    <row r="8" spans="1:15" s="178" customFormat="1" ht="16.5" customHeight="1">
      <c r="A8" s="180">
        <v>3</v>
      </c>
      <c r="B8" s="304"/>
      <c r="C8" s="305"/>
      <c r="D8" s="186"/>
      <c r="E8" s="185"/>
      <c r="F8" s="186"/>
      <c r="G8" s="186"/>
      <c r="H8" s="186"/>
      <c r="I8" s="186"/>
      <c r="J8" s="186"/>
      <c r="K8" s="186"/>
      <c r="L8" s="185"/>
      <c r="M8" s="184"/>
    </row>
    <row r="9" spans="1:15" s="178" customFormat="1">
      <c r="A9" s="180">
        <v>4</v>
      </c>
      <c r="B9" s="304"/>
      <c r="C9" s="305"/>
      <c r="D9" s="186"/>
      <c r="E9" s="185"/>
      <c r="F9" s="186"/>
      <c r="G9" s="186"/>
      <c r="H9" s="186"/>
      <c r="I9" s="186"/>
      <c r="J9" s="186"/>
      <c r="K9" s="186"/>
      <c r="L9" s="185"/>
      <c r="M9" s="184"/>
    </row>
    <row r="10" spans="1:15" s="178" customFormat="1" ht="16.5" customHeight="1">
      <c r="A10" s="180">
        <v>5</v>
      </c>
      <c r="B10" s="304"/>
      <c r="C10" s="305"/>
      <c r="D10" s="186"/>
      <c r="E10" s="185"/>
      <c r="F10" s="186"/>
      <c r="G10" s="186"/>
      <c r="H10" s="186"/>
      <c r="I10" s="186"/>
      <c r="J10" s="186"/>
      <c r="K10" s="186"/>
      <c r="L10" s="185"/>
      <c r="M10" s="184"/>
      <c r="N10" s="282"/>
      <c r="O10" s="283"/>
    </row>
    <row r="11" spans="1:15" s="178" customFormat="1" ht="16.5" customHeight="1">
      <c r="A11" s="180">
        <v>6</v>
      </c>
      <c r="B11" s="304"/>
      <c r="C11" s="305"/>
      <c r="D11" s="186"/>
      <c r="E11" s="185"/>
      <c r="F11" s="186"/>
      <c r="G11" s="186"/>
      <c r="H11" s="186"/>
      <c r="I11" s="186"/>
      <c r="J11" s="186"/>
      <c r="K11" s="186"/>
      <c r="L11" s="185"/>
      <c r="M11" s="184"/>
      <c r="N11" s="282"/>
      <c r="O11" s="283"/>
    </row>
    <row r="12" spans="1:15" ht="31.5" customHeight="1">
      <c r="A12" s="286" t="s">
        <v>195</v>
      </c>
      <c r="B12" s="287"/>
      <c r="C12" s="288"/>
      <c r="D12" s="7">
        <f>SUM(D6:D11)</f>
        <v>688.58</v>
      </c>
      <c r="E12" s="7">
        <f>SUM(E6:E11)</f>
        <v>697.8</v>
      </c>
      <c r="F12" s="7">
        <f>SUM(F6:F11)</f>
        <v>97.61</v>
      </c>
      <c r="G12" s="7">
        <f t="shared" ref="G12:K12" si="0">SUM(G6:G11)</f>
        <v>93.72</v>
      </c>
      <c r="H12" s="7">
        <f t="shared" si="0"/>
        <v>134.05000000000001</v>
      </c>
      <c r="I12" s="7">
        <f t="shared" si="0"/>
        <v>69.900000000000006</v>
      </c>
      <c r="J12" s="7">
        <f t="shared" si="0"/>
        <v>66.790000000000006</v>
      </c>
      <c r="K12" s="7">
        <f t="shared" si="0"/>
        <v>302.99</v>
      </c>
      <c r="L12" s="7">
        <f>SUM(L6:L11)</f>
        <v>0</v>
      </c>
      <c r="M12" s="191"/>
    </row>
    <row r="13" spans="1:15">
      <c r="D13" s="149"/>
      <c r="E13" s="13"/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85" t="s">
        <v>244</v>
      </c>
      <c r="E17" s="285"/>
      <c r="F17" s="285"/>
      <c r="G17" s="285"/>
      <c r="H17" s="285"/>
      <c r="I17" s="285"/>
      <c r="J17" s="285"/>
      <c r="K17" s="285"/>
      <c r="L17" s="285"/>
      <c r="M17" s="285"/>
    </row>
    <row r="18" spans="2:13">
      <c r="C18" s="289" t="s">
        <v>224</v>
      </c>
      <c r="D18" s="289" t="s">
        <v>253</v>
      </c>
      <c r="E18" s="291" t="s">
        <v>298</v>
      </c>
      <c r="F18" s="292"/>
      <c r="G18" s="292"/>
      <c r="H18" s="292"/>
      <c r="I18" s="292"/>
      <c r="J18" s="292"/>
      <c r="K18" s="292"/>
      <c r="L18" s="292"/>
      <c r="M18" s="293"/>
    </row>
    <row r="19" spans="2:13">
      <c r="B19" s="13"/>
      <c r="C19" s="290"/>
      <c r="D19" s="290"/>
      <c r="E19" s="153" t="s">
        <v>258</v>
      </c>
      <c r="F19" s="225" t="s">
        <v>180</v>
      </c>
      <c r="G19" s="225" t="s">
        <v>181</v>
      </c>
      <c r="H19" s="225" t="s">
        <v>225</v>
      </c>
      <c r="I19" s="225" t="s">
        <v>237</v>
      </c>
      <c r="J19" s="225" t="s">
        <v>238</v>
      </c>
      <c r="K19" s="225" t="s">
        <v>241</v>
      </c>
      <c r="L19" s="225" t="s">
        <v>263</v>
      </c>
      <c r="M19" s="153"/>
    </row>
    <row r="20" spans="2:13">
      <c r="C20" s="215" t="str">
        <f>D4</f>
        <v>驾驶员座总成</v>
      </c>
      <c r="D20" s="215" t="str">
        <f>D5</f>
        <v>6800010MA96</v>
      </c>
      <c r="E20" s="185">
        <f>D12</f>
        <v>688.58</v>
      </c>
      <c r="F20" s="155">
        <f>E20*(1-0.025)</f>
        <v>671.3655</v>
      </c>
      <c r="G20" s="155">
        <f t="shared" ref="G20:I20" si="1">F20*(1-0.025)</f>
        <v>654.58136249999995</v>
      </c>
      <c r="H20" s="155">
        <f t="shared" si="1"/>
        <v>638.21682843749988</v>
      </c>
      <c r="I20" s="155">
        <f t="shared" si="1"/>
        <v>622.26140772656242</v>
      </c>
      <c r="J20" s="155"/>
      <c r="K20" s="155"/>
      <c r="L20" s="155"/>
      <c r="M20" s="155"/>
    </row>
    <row r="21" spans="2:13">
      <c r="C21" s="215" t="str">
        <f>E4</f>
        <v>驾驶员座总成</v>
      </c>
      <c r="D21" s="215" t="str">
        <f>E5</f>
        <v>6800010MA98</v>
      </c>
      <c r="E21" s="185">
        <f>E12</f>
        <v>697.8</v>
      </c>
      <c r="F21" s="155">
        <f t="shared" ref="F21:I21" si="2">E21*(1-0.025)</f>
        <v>680.3549999999999</v>
      </c>
      <c r="G21" s="155">
        <f t="shared" si="2"/>
        <v>663.34612499999992</v>
      </c>
      <c r="H21" s="155">
        <f t="shared" si="2"/>
        <v>646.76247187499985</v>
      </c>
      <c r="I21" s="155">
        <f t="shared" si="2"/>
        <v>630.59341007812486</v>
      </c>
      <c r="J21" s="155"/>
      <c r="K21" s="155"/>
      <c r="L21" s="155"/>
      <c r="M21" s="155"/>
    </row>
    <row r="22" spans="2:13">
      <c r="C22" s="215" t="str">
        <f>F4</f>
        <v>座垫总成-前座</v>
      </c>
      <c r="D22" s="215" t="str">
        <f>F5</f>
        <v>6903010MA96</v>
      </c>
      <c r="E22" s="185">
        <f>F12</f>
        <v>97.61</v>
      </c>
      <c r="F22" s="155">
        <f t="shared" ref="F22:I22" si="3">E22*(1-0.025)</f>
        <v>95.169749999999993</v>
      </c>
      <c r="G22" s="155">
        <f t="shared" si="3"/>
        <v>92.790506249999993</v>
      </c>
      <c r="H22" s="155">
        <f t="shared" si="3"/>
        <v>90.470743593749987</v>
      </c>
      <c r="I22" s="155">
        <f t="shared" si="3"/>
        <v>88.208975003906232</v>
      </c>
      <c r="J22" s="155"/>
      <c r="K22" s="155"/>
      <c r="L22" s="155"/>
      <c r="M22" s="155"/>
    </row>
    <row r="23" spans="2:13">
      <c r="C23" s="182" t="str">
        <f>G4</f>
        <v>座垫总成-前座</v>
      </c>
      <c r="D23" s="215" t="str">
        <f>G5</f>
        <v>6903010MA98</v>
      </c>
      <c r="E23" s="185">
        <f>G12</f>
        <v>93.72</v>
      </c>
      <c r="F23" s="155">
        <f t="shared" ref="F23:I23" si="4">E23*(1-0.025)</f>
        <v>91.376999999999995</v>
      </c>
      <c r="G23" s="155">
        <f t="shared" si="4"/>
        <v>89.092574999999997</v>
      </c>
      <c r="H23" s="155">
        <f t="shared" si="4"/>
        <v>86.865260624999991</v>
      </c>
      <c r="I23" s="155">
        <f t="shared" si="4"/>
        <v>84.693629109374996</v>
      </c>
      <c r="J23" s="155"/>
      <c r="K23" s="155"/>
      <c r="L23" s="155"/>
      <c r="M23" s="155"/>
    </row>
    <row r="24" spans="2:13" ht="27">
      <c r="C24" s="182" t="str">
        <f>H4</f>
        <v>主靠背总成-前座</v>
      </c>
      <c r="D24" s="215" t="str">
        <f>H5</f>
        <v>6905020MA96</v>
      </c>
      <c r="E24" s="185">
        <f>H12</f>
        <v>134.05000000000001</v>
      </c>
      <c r="F24" s="155">
        <f t="shared" ref="F24:I24" si="5">E24*(1-0.025)</f>
        <v>130.69875000000002</v>
      </c>
      <c r="G24" s="155">
        <f t="shared" si="5"/>
        <v>127.43128125000001</v>
      </c>
      <c r="H24" s="155">
        <f t="shared" si="5"/>
        <v>124.24549921875001</v>
      </c>
      <c r="I24" s="155">
        <f t="shared" si="5"/>
        <v>121.13936173828127</v>
      </c>
      <c r="J24" s="155"/>
      <c r="K24" s="155"/>
      <c r="L24" s="155"/>
      <c r="M24" s="155"/>
    </row>
    <row r="25" spans="2:13">
      <c r="C25" s="182" t="str">
        <f>I4</f>
        <v>副靠背总成</v>
      </c>
      <c r="D25" s="215" t="str">
        <f>I5</f>
        <v>6905100MA96</v>
      </c>
      <c r="E25" s="185">
        <f>I12</f>
        <v>69.900000000000006</v>
      </c>
      <c r="F25" s="155">
        <f t="shared" ref="F25:I25" si="6">E25*(1-0.025)</f>
        <v>68.152500000000003</v>
      </c>
      <c r="G25" s="155">
        <f t="shared" si="6"/>
        <v>66.448687500000005</v>
      </c>
      <c r="H25" s="155">
        <f t="shared" si="6"/>
        <v>64.787470312500005</v>
      </c>
      <c r="I25" s="155">
        <f t="shared" si="6"/>
        <v>63.167783554687503</v>
      </c>
      <c r="J25" s="155"/>
      <c r="K25" s="155"/>
      <c r="L25" s="155"/>
      <c r="M25" s="155"/>
    </row>
    <row r="26" spans="2:13">
      <c r="C26" s="182" t="str">
        <f>J4</f>
        <v>副靠背总成</v>
      </c>
      <c r="D26" s="215" t="str">
        <f>J5</f>
        <v>6905100MA98</v>
      </c>
      <c r="E26" s="185">
        <f>J12</f>
        <v>66.790000000000006</v>
      </c>
      <c r="F26" s="155">
        <f t="shared" ref="F26:I26" si="7">E26*(1-0.025)</f>
        <v>65.120249999999999</v>
      </c>
      <c r="G26" s="155">
        <f t="shared" si="7"/>
        <v>63.49224375</v>
      </c>
      <c r="H26" s="155">
        <f t="shared" si="7"/>
        <v>61.904937656249999</v>
      </c>
      <c r="I26" s="155">
        <f t="shared" si="7"/>
        <v>60.357314214843747</v>
      </c>
      <c r="J26" s="155"/>
      <c r="K26" s="155"/>
      <c r="L26" s="155"/>
      <c r="M26" s="9"/>
    </row>
    <row r="27" spans="2:13" ht="42.75">
      <c r="C27" s="182" t="str">
        <f>K4</f>
        <v>虎V副司机</v>
      </c>
      <c r="D27" s="215" t="str">
        <f>K5</f>
        <v>6903010AE411、6905020AE411、6905100AE411</v>
      </c>
      <c r="E27" s="185">
        <f>K12</f>
        <v>302.99</v>
      </c>
      <c r="F27" s="155">
        <f t="shared" ref="F27:I27" si="8">E27*(1-0.025)</f>
        <v>295.41525000000001</v>
      </c>
      <c r="G27" s="155">
        <f t="shared" si="8"/>
        <v>288.02986874999999</v>
      </c>
      <c r="H27" s="155">
        <f t="shared" si="8"/>
        <v>280.82912203124999</v>
      </c>
      <c r="I27" s="155">
        <f t="shared" si="8"/>
        <v>273.80839398046874</v>
      </c>
      <c r="J27" s="155"/>
      <c r="K27" s="155"/>
      <c r="L27" s="155"/>
      <c r="M27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F11" sqref="F11"/>
    </sheetView>
  </sheetViews>
  <sheetFormatPr defaultColWidth="9" defaultRowHeight="13.5"/>
  <cols>
    <col min="1" max="1" width="5.5" style="218" customWidth="1"/>
    <col min="2" max="2" width="29.625" style="218" customWidth="1"/>
    <col min="3" max="3" width="25.5" style="218" customWidth="1"/>
    <col min="4" max="4" width="22" style="218" customWidth="1"/>
    <col min="5" max="16384" width="9" style="218"/>
  </cols>
  <sheetData>
    <row r="1" spans="1:5" ht="27" customHeight="1">
      <c r="A1" s="217" t="s">
        <v>13</v>
      </c>
      <c r="B1" s="217" t="s">
        <v>196</v>
      </c>
      <c r="C1" s="217" t="s">
        <v>197</v>
      </c>
      <c r="D1" s="217" t="s">
        <v>198</v>
      </c>
    </row>
    <row r="2" spans="1:5">
      <c r="A2" s="217">
        <v>1</v>
      </c>
      <c r="B2" s="229" t="s">
        <v>199</v>
      </c>
      <c r="C2" s="176" t="s">
        <v>273</v>
      </c>
      <c r="D2" s="230"/>
    </row>
    <row r="3" spans="1:5">
      <c r="A3" s="217">
        <v>2</v>
      </c>
      <c r="B3" s="229" t="s">
        <v>200</v>
      </c>
      <c r="C3" s="177" t="s">
        <v>274</v>
      </c>
      <c r="D3" s="230" t="s">
        <v>265</v>
      </c>
    </row>
    <row r="4" spans="1:5">
      <c r="A4" s="217">
        <v>3</v>
      </c>
      <c r="B4" s="229" t="s">
        <v>201</v>
      </c>
      <c r="C4" s="176" t="s">
        <v>275</v>
      </c>
      <c r="D4" s="230" t="s">
        <v>266</v>
      </c>
    </row>
    <row r="5" spans="1:5">
      <c r="A5" s="217">
        <v>4</v>
      </c>
      <c r="B5" s="229" t="s">
        <v>202</v>
      </c>
      <c r="C5" s="176" t="s">
        <v>270</v>
      </c>
      <c r="D5" s="230"/>
    </row>
    <row r="6" spans="1:5">
      <c r="A6" s="217">
        <v>5</v>
      </c>
      <c r="B6" s="229" t="s">
        <v>203</v>
      </c>
      <c r="C6" s="176" t="s">
        <v>270</v>
      </c>
      <c r="D6" s="230"/>
    </row>
    <row r="7" spans="1:5">
      <c r="A7" s="217">
        <v>6</v>
      </c>
      <c r="B7" s="230" t="s">
        <v>204</v>
      </c>
      <c r="C7" s="177" t="s">
        <v>276</v>
      </c>
      <c r="D7" s="230"/>
    </row>
    <row r="8" spans="1:5">
      <c r="A8" s="217">
        <v>7</v>
      </c>
      <c r="B8" s="229" t="s">
        <v>205</v>
      </c>
      <c r="C8" s="187" t="s">
        <v>270</v>
      </c>
      <c r="D8" s="230"/>
    </row>
    <row r="9" spans="1:5">
      <c r="A9" s="217">
        <v>8</v>
      </c>
      <c r="B9" s="230" t="s">
        <v>206</v>
      </c>
      <c r="C9" s="187" t="s">
        <v>277</v>
      </c>
      <c r="D9" s="230"/>
    </row>
    <row r="10" spans="1:5">
      <c r="A10" s="217">
        <v>9</v>
      </c>
      <c r="B10" s="230" t="s">
        <v>207</v>
      </c>
      <c r="C10" s="187" t="s">
        <v>270</v>
      </c>
      <c r="D10" s="230"/>
      <c r="E10" s="221"/>
    </row>
    <row r="11" spans="1:5">
      <c r="A11" s="217">
        <v>10</v>
      </c>
      <c r="B11" s="230" t="s">
        <v>208</v>
      </c>
      <c r="C11" s="187" t="s">
        <v>267</v>
      </c>
      <c r="D11" s="230" t="s">
        <v>268</v>
      </c>
    </row>
    <row r="12" spans="1:5">
      <c r="A12" s="217">
        <v>11</v>
      </c>
      <c r="B12" s="230" t="s">
        <v>209</v>
      </c>
      <c r="C12" s="187" t="s">
        <v>267</v>
      </c>
      <c r="D12" s="230"/>
    </row>
    <row r="13" spans="1:5">
      <c r="A13" s="217">
        <v>12</v>
      </c>
      <c r="B13" s="229" t="s">
        <v>245</v>
      </c>
      <c r="C13" s="187" t="s">
        <v>271</v>
      </c>
      <c r="D13" s="230"/>
    </row>
    <row r="14" spans="1:5">
      <c r="A14" s="217">
        <v>13</v>
      </c>
      <c r="B14" s="229" t="s">
        <v>246</v>
      </c>
      <c r="C14" s="187" t="s">
        <v>272</v>
      </c>
      <c r="D14" s="230"/>
    </row>
    <row r="15" spans="1:5">
      <c r="A15" s="217">
        <v>14</v>
      </c>
      <c r="B15" s="229" t="s">
        <v>247</v>
      </c>
      <c r="C15" s="187"/>
      <c r="D15" s="230"/>
    </row>
    <row r="16" spans="1:5">
      <c r="A16" s="217">
        <v>15</v>
      </c>
      <c r="B16" s="230" t="s">
        <v>123</v>
      </c>
      <c r="C16" s="230"/>
      <c r="D16" s="230"/>
    </row>
    <row r="17" spans="2:4" ht="16.5">
      <c r="B17" s="231" t="s">
        <v>269</v>
      </c>
      <c r="C17" s="232"/>
      <c r="D17" s="232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7"/>
  <sheetViews>
    <sheetView zoomScale="85" zoomScaleNormal="85" workbookViewId="0">
      <selection activeCell="I19" sqref="I19"/>
    </sheetView>
  </sheetViews>
  <sheetFormatPr defaultColWidth="9" defaultRowHeight="13.5"/>
  <cols>
    <col min="1" max="2" width="9" style="55"/>
    <col min="3" max="3" width="14.625" style="55" customWidth="1"/>
    <col min="4" max="4" width="12.375" style="55" customWidth="1"/>
    <col min="5" max="7" width="11.125" style="55" customWidth="1"/>
    <col min="8" max="8" width="11" style="138" customWidth="1"/>
    <col min="9" max="16384" width="9" style="55"/>
  </cols>
  <sheetData>
    <row r="1" spans="1:12" s="135" customFormat="1" ht="18.75" customHeight="1">
      <c r="F1" s="306" t="s">
        <v>210</v>
      </c>
      <c r="G1" s="306"/>
      <c r="H1" s="136"/>
    </row>
    <row r="2" spans="1:12" ht="20.25" customHeight="1">
      <c r="A2" s="312" t="s">
        <v>211</v>
      </c>
      <c r="B2" s="312"/>
      <c r="C2" s="313" t="s">
        <v>301</v>
      </c>
      <c r="D2" s="313"/>
      <c r="E2" s="313"/>
      <c r="F2" s="313"/>
      <c r="G2" s="309"/>
      <c r="H2" s="137" t="s">
        <v>218</v>
      </c>
      <c r="J2" s="152"/>
      <c r="K2" s="152"/>
    </row>
    <row r="3" spans="1:12" ht="34.5" customHeight="1">
      <c r="A3" s="312"/>
      <c r="B3" s="312"/>
      <c r="C3" s="144" t="s">
        <v>220</v>
      </c>
      <c r="D3" s="144" t="s">
        <v>219</v>
      </c>
      <c r="E3" s="145" t="s">
        <v>223</v>
      </c>
      <c r="F3" s="145" t="s">
        <v>222</v>
      </c>
      <c r="G3" s="145" t="s">
        <v>248</v>
      </c>
      <c r="H3" s="148">
        <f>销量!C8</f>
        <v>1001.42</v>
      </c>
      <c r="I3" s="314" t="s">
        <v>304</v>
      </c>
      <c r="J3" s="314"/>
      <c r="K3" s="314"/>
      <c r="L3" s="314"/>
    </row>
    <row r="4" spans="1:12">
      <c r="A4" s="307" t="s">
        <v>212</v>
      </c>
      <c r="B4" s="307"/>
      <c r="C4" s="139"/>
      <c r="D4" s="140">
        <f>$H$3*E4</f>
        <v>58.223159778699888</v>
      </c>
      <c r="E4" s="159">
        <v>5.8140600126520232E-2</v>
      </c>
      <c r="F4" s="159">
        <v>0.10179000000000001</v>
      </c>
      <c r="G4" s="141">
        <v>6.3270000000000007E-2</v>
      </c>
      <c r="I4" s="150"/>
      <c r="J4" s="56"/>
      <c r="K4" s="56"/>
    </row>
    <row r="5" spans="1:12">
      <c r="A5" s="307" t="s">
        <v>213</v>
      </c>
      <c r="B5" s="142" t="s">
        <v>214</v>
      </c>
      <c r="C5" s="139"/>
      <c r="D5" s="140">
        <f>$H$3*E5</f>
        <v>45.063899999999997</v>
      </c>
      <c r="E5" s="141">
        <v>4.4999999999999998E-2</v>
      </c>
      <c r="F5" s="159">
        <v>0.2</v>
      </c>
      <c r="G5" s="141">
        <v>0.08</v>
      </c>
      <c r="I5" s="151"/>
      <c r="J5" s="56"/>
      <c r="K5" s="56"/>
    </row>
    <row r="6" spans="1:12">
      <c r="A6" s="307"/>
      <c r="B6" s="142" t="s">
        <v>215</v>
      </c>
      <c r="C6" s="139"/>
      <c r="D6" s="140">
        <f t="shared" ref="D6" si="0">$H$3*E6</f>
        <v>18.094013957988707</v>
      </c>
      <c r="E6" s="159">
        <v>1.8068356891203199E-2</v>
      </c>
      <c r="F6" s="159">
        <v>4.0280000000000003E-2</v>
      </c>
      <c r="G6" s="141">
        <v>2.068E-2</v>
      </c>
      <c r="I6" s="150"/>
      <c r="J6" s="56"/>
      <c r="K6" s="56"/>
    </row>
    <row r="7" spans="1:12">
      <c r="A7" s="308" t="s">
        <v>216</v>
      </c>
      <c r="B7" s="309"/>
      <c r="C7" s="143"/>
      <c r="D7" s="188">
        <f>$H$3*E7</f>
        <v>121.38107373668861</v>
      </c>
      <c r="E7" s="189">
        <f>SUM(E4:E6)</f>
        <v>0.12120895701772344</v>
      </c>
      <c r="F7" s="189">
        <f>SUM(F4:F6)</f>
        <v>0.34206999999999999</v>
      </c>
      <c r="G7" s="190">
        <f>SUM(G4:G6)</f>
        <v>0.16395000000000001</v>
      </c>
      <c r="I7" s="150"/>
      <c r="J7" s="56"/>
      <c r="K7" s="56"/>
    </row>
    <row r="8" spans="1:12">
      <c r="A8" s="307" t="s">
        <v>44</v>
      </c>
      <c r="B8" s="307"/>
      <c r="C8" s="139"/>
      <c r="D8" s="140">
        <f>$H$3*E8</f>
        <v>40.620909190573528</v>
      </c>
      <c r="E8" s="160">
        <v>4.0563309291379773E-2</v>
      </c>
      <c r="F8" s="159">
        <v>2.9350000000000001E-2</v>
      </c>
      <c r="G8" s="141">
        <v>4.9200000000000001E-2</v>
      </c>
      <c r="I8" s="151"/>
      <c r="J8" s="56"/>
      <c r="K8" s="56"/>
    </row>
    <row r="9" spans="1:12">
      <c r="A9" s="310" t="s">
        <v>217</v>
      </c>
      <c r="B9" s="142" t="s">
        <v>214</v>
      </c>
      <c r="C9" s="139"/>
      <c r="D9" s="140">
        <f>$H$3*E9</f>
        <v>7.9112180000000007</v>
      </c>
      <c r="E9" s="141">
        <v>7.9000000000000008E-3</v>
      </c>
      <c r="F9" s="159">
        <v>2.1489999999999999E-2</v>
      </c>
      <c r="G9" s="141">
        <v>9.4900000000000002E-3</v>
      </c>
      <c r="I9" s="138"/>
      <c r="J9" s="56"/>
      <c r="K9" s="56"/>
    </row>
    <row r="10" spans="1:12">
      <c r="A10" s="311"/>
      <c r="B10" s="142" t="s">
        <v>215</v>
      </c>
      <c r="C10" s="139"/>
      <c r="D10" s="140">
        <f>$H$3*E10</f>
        <v>33.046860000000002</v>
      </c>
      <c r="E10" s="138">
        <v>3.3000000000000002E-2</v>
      </c>
      <c r="F10" s="159">
        <v>5.8119999999999998E-2</v>
      </c>
      <c r="G10" s="141">
        <v>5.4899999999999997E-2</v>
      </c>
      <c r="I10" s="138"/>
      <c r="J10" s="56"/>
      <c r="K10" s="56"/>
    </row>
    <row r="11" spans="1:12">
      <c r="A11" s="307" t="s">
        <v>47</v>
      </c>
      <c r="B11" s="307"/>
      <c r="C11" s="139"/>
      <c r="D11" s="140">
        <f t="shared" ref="D11" si="1">$H$3*E11</f>
        <v>21.330245999999999</v>
      </c>
      <c r="E11" s="141">
        <v>2.1299999999999999E-2</v>
      </c>
      <c r="F11" s="159">
        <v>2.1299999999999999E-2</v>
      </c>
      <c r="G11" s="141">
        <v>2.1299999999999999E-2</v>
      </c>
      <c r="I11" s="138"/>
      <c r="J11" s="56"/>
      <c r="K11" s="56"/>
    </row>
    <row r="15" spans="1:12">
      <c r="A15" s="135"/>
      <c r="B15" s="135"/>
      <c r="C15" s="135"/>
      <c r="D15" s="135"/>
      <c r="E15" s="135"/>
      <c r="F15" s="306" t="s">
        <v>210</v>
      </c>
      <c r="G15" s="306"/>
      <c r="H15" s="136"/>
    </row>
    <row r="16" spans="1:12" ht="22.5" customHeight="1">
      <c r="A16" s="312" t="s">
        <v>211</v>
      </c>
      <c r="B16" s="312"/>
      <c r="C16" s="313" t="str">
        <f>C2</f>
        <v>预计</v>
      </c>
      <c r="D16" s="313"/>
      <c r="E16" s="313"/>
      <c r="F16" s="313"/>
      <c r="G16" s="309"/>
      <c r="H16" s="137" t="s">
        <v>218</v>
      </c>
    </row>
    <row r="17" spans="1:8" ht="27">
      <c r="A17" s="312"/>
      <c r="B17" s="312"/>
      <c r="C17" s="144" t="s">
        <v>220</v>
      </c>
      <c r="D17" s="144" t="s">
        <v>219</v>
      </c>
      <c r="E17" s="145" t="s">
        <v>223</v>
      </c>
      <c r="F17" s="145" t="s">
        <v>222</v>
      </c>
      <c r="G17" s="145" t="s">
        <v>221</v>
      </c>
      <c r="H17" s="148">
        <f>销量!D8</f>
        <v>1012.68</v>
      </c>
    </row>
    <row r="18" spans="1:8">
      <c r="A18" s="307" t="s">
        <v>212</v>
      </c>
      <c r="B18" s="307"/>
      <c r="C18" s="139"/>
      <c r="D18" s="140">
        <f>$H$17*E18</f>
        <v>58.87782293612451</v>
      </c>
      <c r="E18" s="159">
        <v>5.8140600126520232E-2</v>
      </c>
      <c r="F18" s="159">
        <v>0.10179000000000001</v>
      </c>
      <c r="G18" s="141">
        <v>6.3270000000000007E-2</v>
      </c>
    </row>
    <row r="19" spans="1:8">
      <c r="A19" s="307" t="s">
        <v>213</v>
      </c>
      <c r="B19" s="158" t="s">
        <v>214</v>
      </c>
      <c r="C19" s="139"/>
      <c r="D19" s="140">
        <f t="shared" ref="D19:D23" si="2">$H$17*E19</f>
        <v>45.570599999999999</v>
      </c>
      <c r="E19" s="141">
        <v>4.4999999999999998E-2</v>
      </c>
      <c r="F19" s="159">
        <v>0.2</v>
      </c>
      <c r="G19" s="141">
        <v>0.08</v>
      </c>
    </row>
    <row r="20" spans="1:8">
      <c r="A20" s="307"/>
      <c r="B20" s="158" t="s">
        <v>215</v>
      </c>
      <c r="C20" s="139"/>
      <c r="D20" s="140">
        <f t="shared" si="2"/>
        <v>18.297463656583655</v>
      </c>
      <c r="E20" s="159">
        <v>1.8068356891203199E-2</v>
      </c>
      <c r="F20" s="159">
        <v>4.0280000000000003E-2</v>
      </c>
      <c r="G20" s="141">
        <v>2.068E-2</v>
      </c>
    </row>
    <row r="21" spans="1:8">
      <c r="A21" s="308" t="s">
        <v>216</v>
      </c>
      <c r="B21" s="309"/>
      <c r="C21" s="143"/>
      <c r="D21" s="140">
        <f t="shared" si="2"/>
        <v>122.74588659270816</v>
      </c>
      <c r="E21" s="189">
        <f>SUM(E18:E20)</f>
        <v>0.12120895701772344</v>
      </c>
      <c r="F21" s="189">
        <f>SUM(F18:F20)</f>
        <v>0.34206999999999999</v>
      </c>
      <c r="G21" s="190">
        <f>SUM(G18:G20)</f>
        <v>0.16395000000000001</v>
      </c>
    </row>
    <row r="22" spans="1:8">
      <c r="A22" s="307" t="s">
        <v>44</v>
      </c>
      <c r="B22" s="307"/>
      <c r="C22" s="139"/>
      <c r="D22" s="140">
        <f t="shared" si="2"/>
        <v>41.07765205319447</v>
      </c>
      <c r="E22" s="160">
        <v>4.0563309291379773E-2</v>
      </c>
      <c r="F22" s="159">
        <v>2.9350000000000001E-2</v>
      </c>
      <c r="G22" s="141">
        <v>4.9200000000000001E-2</v>
      </c>
    </row>
    <row r="23" spans="1:8">
      <c r="A23" s="310" t="s">
        <v>217</v>
      </c>
      <c r="B23" s="158" t="s">
        <v>214</v>
      </c>
      <c r="C23" s="139"/>
      <c r="D23" s="140">
        <f t="shared" si="2"/>
        <v>8.0001720000000009</v>
      </c>
      <c r="E23" s="141">
        <v>7.9000000000000008E-3</v>
      </c>
      <c r="F23" s="159">
        <v>2.1489999999999999E-2</v>
      </c>
      <c r="G23" s="141">
        <v>9.4900000000000002E-3</v>
      </c>
    </row>
    <row r="24" spans="1:8">
      <c r="A24" s="311"/>
      <c r="B24" s="158" t="s">
        <v>215</v>
      </c>
      <c r="C24" s="139"/>
      <c r="D24" s="140">
        <f>$H$17*E24</f>
        <v>33.418439999999997</v>
      </c>
      <c r="E24" s="138">
        <v>3.3000000000000002E-2</v>
      </c>
      <c r="F24" s="159">
        <v>5.8119999999999998E-2</v>
      </c>
      <c r="G24" s="141">
        <v>5.4899999999999997E-2</v>
      </c>
    </row>
    <row r="25" spans="1:8">
      <c r="A25" s="307" t="s">
        <v>47</v>
      </c>
      <c r="B25" s="307"/>
      <c r="C25" s="139"/>
      <c r="D25" s="140">
        <f t="shared" ref="D25" si="3">$H$17*E25</f>
        <v>21.570083999999998</v>
      </c>
      <c r="E25" s="141">
        <v>2.1299999999999999E-2</v>
      </c>
      <c r="F25" s="159">
        <v>2.1299999999999999E-2</v>
      </c>
      <c r="G25" s="141">
        <v>2.1299999999999999E-2</v>
      </c>
    </row>
    <row r="29" spans="1:8">
      <c r="A29" s="135"/>
      <c r="B29" s="135"/>
      <c r="C29" s="135"/>
      <c r="D29" s="135"/>
      <c r="E29" s="135"/>
      <c r="F29" s="306" t="s">
        <v>210</v>
      </c>
      <c r="G29" s="306"/>
      <c r="H29" s="136"/>
    </row>
    <row r="30" spans="1:8" ht="30" customHeight="1">
      <c r="A30" s="312" t="s">
        <v>211</v>
      </c>
      <c r="B30" s="312"/>
      <c r="C30" s="313" t="str">
        <f>C2</f>
        <v>预计</v>
      </c>
      <c r="D30" s="313"/>
      <c r="E30" s="313"/>
      <c r="F30" s="313"/>
      <c r="G30" s="309"/>
      <c r="H30" s="137" t="s">
        <v>218</v>
      </c>
    </row>
    <row r="31" spans="1:8" ht="27">
      <c r="A31" s="312"/>
      <c r="B31" s="312"/>
      <c r="C31" s="144" t="s">
        <v>220</v>
      </c>
      <c r="D31" s="144" t="s">
        <v>219</v>
      </c>
      <c r="E31" s="145" t="s">
        <v>223</v>
      </c>
      <c r="F31" s="145" t="s">
        <v>222</v>
      </c>
      <c r="G31" s="145" t="s">
        <v>221</v>
      </c>
      <c r="H31" s="148">
        <f>销量!E8</f>
        <v>107.69</v>
      </c>
    </row>
    <row r="32" spans="1:8">
      <c r="A32" s="307" t="s">
        <v>212</v>
      </c>
      <c r="B32" s="307"/>
      <c r="C32" s="139"/>
      <c r="D32" s="140">
        <f>$H$31*E32</f>
        <v>6.2611612276249637</v>
      </c>
      <c r="E32" s="159">
        <v>5.8140600126520232E-2</v>
      </c>
      <c r="F32" s="159">
        <v>0.10179000000000001</v>
      </c>
      <c r="G32" s="141">
        <v>6.3270000000000007E-2</v>
      </c>
    </row>
    <row r="33" spans="1:8">
      <c r="A33" s="307" t="s">
        <v>213</v>
      </c>
      <c r="B33" s="158" t="s">
        <v>214</v>
      </c>
      <c r="C33" s="139"/>
      <c r="D33" s="140">
        <f t="shared" ref="D33:D37" si="4">$H$31*E33</f>
        <v>4.84605</v>
      </c>
      <c r="E33" s="141">
        <v>4.4999999999999998E-2</v>
      </c>
      <c r="F33" s="159">
        <v>0.2</v>
      </c>
      <c r="G33" s="141">
        <v>0.08</v>
      </c>
    </row>
    <row r="34" spans="1:8">
      <c r="A34" s="307"/>
      <c r="B34" s="158" t="s">
        <v>215</v>
      </c>
      <c r="C34" s="139"/>
      <c r="D34" s="140">
        <f t="shared" si="4"/>
        <v>1.9457813536136723</v>
      </c>
      <c r="E34" s="159">
        <v>1.8068356891203199E-2</v>
      </c>
      <c r="F34" s="159">
        <v>4.0280000000000003E-2</v>
      </c>
      <c r="G34" s="141">
        <v>2.068E-2</v>
      </c>
    </row>
    <row r="35" spans="1:8">
      <c r="A35" s="308" t="s">
        <v>216</v>
      </c>
      <c r="B35" s="309"/>
      <c r="C35" s="143"/>
      <c r="D35" s="140">
        <f t="shared" si="4"/>
        <v>13.052992581238637</v>
      </c>
      <c r="E35" s="189">
        <f>SUM(E32:E34)</f>
        <v>0.12120895701772344</v>
      </c>
      <c r="F35" s="189">
        <f>SUM(F32:F34)</f>
        <v>0.34206999999999999</v>
      </c>
      <c r="G35" s="190">
        <f>SUM(G32:G34)</f>
        <v>0.16395000000000001</v>
      </c>
    </row>
    <row r="36" spans="1:8">
      <c r="A36" s="307" t="s">
        <v>44</v>
      </c>
      <c r="B36" s="307"/>
      <c r="C36" s="139"/>
      <c r="D36" s="140">
        <f t="shared" si="4"/>
        <v>4.3682627775886873</v>
      </c>
      <c r="E36" s="160">
        <v>4.0563309291379773E-2</v>
      </c>
      <c r="F36" s="159">
        <v>2.9350000000000001E-2</v>
      </c>
      <c r="G36" s="141">
        <v>4.9200000000000001E-2</v>
      </c>
    </row>
    <row r="37" spans="1:8">
      <c r="A37" s="310" t="s">
        <v>217</v>
      </c>
      <c r="B37" s="158" t="s">
        <v>214</v>
      </c>
      <c r="C37" s="139"/>
      <c r="D37" s="140">
        <f t="shared" si="4"/>
        <v>0.85075100000000003</v>
      </c>
      <c r="E37" s="141">
        <v>7.9000000000000008E-3</v>
      </c>
      <c r="F37" s="159">
        <v>2.1489999999999999E-2</v>
      </c>
      <c r="G37" s="141">
        <v>9.4900000000000002E-3</v>
      </c>
    </row>
    <row r="38" spans="1:8">
      <c r="A38" s="311"/>
      <c r="B38" s="158" t="s">
        <v>215</v>
      </c>
      <c r="C38" s="139"/>
      <c r="D38" s="140">
        <f>$H$31*E38</f>
        <v>3.5537700000000001</v>
      </c>
      <c r="E38" s="138">
        <v>3.3000000000000002E-2</v>
      </c>
      <c r="F38" s="159">
        <v>5.8119999999999998E-2</v>
      </c>
      <c r="G38" s="141">
        <v>5.4899999999999997E-2</v>
      </c>
    </row>
    <row r="39" spans="1:8">
      <c r="A39" s="307" t="s">
        <v>47</v>
      </c>
      <c r="B39" s="307"/>
      <c r="C39" s="139"/>
      <c r="D39" s="140">
        <f t="shared" ref="D39" si="5">$H$31*E39</f>
        <v>2.2937970000000001</v>
      </c>
      <c r="E39" s="141">
        <v>2.1299999999999999E-2</v>
      </c>
      <c r="F39" s="159">
        <v>2.1299999999999999E-2</v>
      </c>
      <c r="G39" s="141">
        <v>2.1299999999999999E-2</v>
      </c>
    </row>
    <row r="42" spans="1:8">
      <c r="A42" s="135"/>
      <c r="B42" s="135"/>
      <c r="C42" s="135"/>
      <c r="D42" s="135"/>
      <c r="E42" s="135"/>
      <c r="F42" s="306" t="s">
        <v>210</v>
      </c>
      <c r="G42" s="306"/>
      <c r="H42" s="136"/>
    </row>
    <row r="43" spans="1:8" ht="28.5" customHeight="1">
      <c r="A43" s="312" t="s">
        <v>211</v>
      </c>
      <c r="B43" s="312"/>
      <c r="C43" s="313" t="str">
        <f>C2</f>
        <v>预计</v>
      </c>
      <c r="D43" s="313"/>
      <c r="E43" s="313"/>
      <c r="F43" s="313"/>
      <c r="G43" s="309"/>
      <c r="H43" s="137" t="s">
        <v>218</v>
      </c>
    </row>
    <row r="44" spans="1:8" ht="27">
      <c r="A44" s="312"/>
      <c r="B44" s="312"/>
      <c r="C44" s="144" t="s">
        <v>220</v>
      </c>
      <c r="D44" s="144" t="s">
        <v>219</v>
      </c>
      <c r="E44" s="145" t="s">
        <v>223</v>
      </c>
      <c r="F44" s="145" t="s">
        <v>222</v>
      </c>
      <c r="G44" s="145" t="s">
        <v>221</v>
      </c>
      <c r="H44" s="148">
        <f>销量!F8</f>
        <v>113.93</v>
      </c>
    </row>
    <row r="45" spans="1:8">
      <c r="A45" s="307" t="s">
        <v>212</v>
      </c>
      <c r="B45" s="307"/>
      <c r="C45" s="139"/>
      <c r="D45" s="140">
        <f>$H$44*E45</f>
        <v>6.6239585724144501</v>
      </c>
      <c r="E45" s="159">
        <v>5.8140600126520232E-2</v>
      </c>
      <c r="F45" s="159">
        <v>0.10179000000000001</v>
      </c>
      <c r="G45" s="141">
        <v>6.3270000000000007E-2</v>
      </c>
    </row>
    <row r="46" spans="1:8">
      <c r="A46" s="307" t="s">
        <v>213</v>
      </c>
      <c r="B46" s="158" t="s">
        <v>214</v>
      </c>
      <c r="C46" s="139"/>
      <c r="D46" s="140">
        <f t="shared" ref="D46:D50" si="6">$H$44*E46</f>
        <v>5.1268500000000001</v>
      </c>
      <c r="E46" s="141">
        <v>4.4999999999999998E-2</v>
      </c>
      <c r="F46" s="159">
        <v>0.2</v>
      </c>
      <c r="G46" s="141">
        <v>0.08</v>
      </c>
    </row>
    <row r="47" spans="1:8">
      <c r="A47" s="307"/>
      <c r="B47" s="158" t="s">
        <v>215</v>
      </c>
      <c r="C47" s="139"/>
      <c r="D47" s="140">
        <f t="shared" si="6"/>
        <v>2.0585279006147807</v>
      </c>
      <c r="E47" s="159">
        <v>1.8068356891203199E-2</v>
      </c>
      <c r="F47" s="159">
        <v>4.0280000000000003E-2</v>
      </c>
      <c r="G47" s="141">
        <v>2.068E-2</v>
      </c>
    </row>
    <row r="48" spans="1:8">
      <c r="A48" s="308" t="s">
        <v>216</v>
      </c>
      <c r="B48" s="309"/>
      <c r="C48" s="143"/>
      <c r="D48" s="140">
        <f t="shared" si="6"/>
        <v>13.809336473029232</v>
      </c>
      <c r="E48" s="189">
        <f>SUM(E45:E47)</f>
        <v>0.12120895701772344</v>
      </c>
      <c r="F48" s="189">
        <f>SUM(F45:F47)</f>
        <v>0.34206999999999999</v>
      </c>
      <c r="G48" s="190">
        <f>SUM(G45:G47)</f>
        <v>0.16395000000000001</v>
      </c>
    </row>
    <row r="49" spans="1:8">
      <c r="A49" s="307" t="s">
        <v>44</v>
      </c>
      <c r="B49" s="307"/>
      <c r="C49" s="139"/>
      <c r="D49" s="140">
        <f t="shared" si="6"/>
        <v>4.6213778275668975</v>
      </c>
      <c r="E49" s="160">
        <v>4.0563309291379773E-2</v>
      </c>
      <c r="F49" s="159">
        <v>2.9350000000000001E-2</v>
      </c>
      <c r="G49" s="141">
        <v>4.9200000000000001E-2</v>
      </c>
    </row>
    <row r="50" spans="1:8">
      <c r="A50" s="310" t="s">
        <v>217</v>
      </c>
      <c r="B50" s="158" t="s">
        <v>214</v>
      </c>
      <c r="C50" s="139"/>
      <c r="D50" s="140">
        <f t="shared" si="6"/>
        <v>0.90004700000000015</v>
      </c>
      <c r="E50" s="141">
        <v>7.9000000000000008E-3</v>
      </c>
      <c r="F50" s="159">
        <v>2.1489999999999999E-2</v>
      </c>
      <c r="G50" s="141">
        <v>9.4900000000000002E-3</v>
      </c>
    </row>
    <row r="51" spans="1:8">
      <c r="A51" s="311"/>
      <c r="B51" s="158" t="s">
        <v>215</v>
      </c>
      <c r="C51" s="139"/>
      <c r="D51" s="140">
        <f>$H$44*E51</f>
        <v>3.7596900000000004</v>
      </c>
      <c r="E51" s="138">
        <v>3.3000000000000002E-2</v>
      </c>
      <c r="F51" s="159">
        <v>5.8119999999999998E-2</v>
      </c>
      <c r="G51" s="141">
        <v>5.4899999999999997E-2</v>
      </c>
    </row>
    <row r="52" spans="1:8">
      <c r="A52" s="307" t="s">
        <v>47</v>
      </c>
      <c r="B52" s="307"/>
      <c r="C52" s="139"/>
      <c r="D52" s="140">
        <f t="shared" ref="D52" si="7">$H$44*E52</f>
        <v>2.4267090000000002</v>
      </c>
      <c r="E52" s="141">
        <v>2.1299999999999999E-2</v>
      </c>
      <c r="F52" s="159">
        <v>2.1299999999999999E-2</v>
      </c>
      <c r="G52" s="141">
        <v>2.1299999999999999E-2</v>
      </c>
    </row>
    <row r="55" spans="1:8">
      <c r="A55" s="135"/>
      <c r="B55" s="135"/>
      <c r="C55" s="135"/>
      <c r="D55" s="135"/>
      <c r="E55" s="135"/>
      <c r="F55" s="306" t="s">
        <v>210</v>
      </c>
      <c r="G55" s="306"/>
      <c r="H55" s="136"/>
    </row>
    <row r="56" spans="1:8">
      <c r="A56" s="312" t="s">
        <v>211</v>
      </c>
      <c r="B56" s="312"/>
      <c r="C56" s="313" t="str">
        <f>C2</f>
        <v>预计</v>
      </c>
      <c r="D56" s="313"/>
      <c r="E56" s="313"/>
      <c r="F56" s="313"/>
      <c r="G56" s="309"/>
      <c r="H56" s="137" t="s">
        <v>218</v>
      </c>
    </row>
    <row r="57" spans="1:8" ht="27">
      <c r="A57" s="312"/>
      <c r="B57" s="312"/>
      <c r="C57" s="144" t="s">
        <v>220</v>
      </c>
      <c r="D57" s="144" t="s">
        <v>219</v>
      </c>
      <c r="E57" s="145" t="s">
        <v>223</v>
      </c>
      <c r="F57" s="145" t="s">
        <v>222</v>
      </c>
      <c r="G57" s="145" t="s">
        <v>221</v>
      </c>
      <c r="H57" s="148">
        <f>销量!G8</f>
        <v>154.81</v>
      </c>
    </row>
    <row r="58" spans="1:8">
      <c r="A58" s="307" t="s">
        <v>212</v>
      </c>
      <c r="B58" s="307"/>
      <c r="C58" s="139"/>
      <c r="D58" s="140">
        <f>$H$57*E58</f>
        <v>9.0007463055865973</v>
      </c>
      <c r="E58" s="159">
        <v>5.8140600126520232E-2</v>
      </c>
      <c r="F58" s="159">
        <v>0.10179000000000001</v>
      </c>
      <c r="G58" s="141">
        <v>6.3270000000000007E-2</v>
      </c>
    </row>
    <row r="59" spans="1:8">
      <c r="A59" s="307" t="s">
        <v>213</v>
      </c>
      <c r="B59" s="158" t="s">
        <v>214</v>
      </c>
      <c r="C59" s="139"/>
      <c r="D59" s="140">
        <f t="shared" ref="D59:D63" si="8">$H$57*E59</f>
        <v>6.96645</v>
      </c>
      <c r="E59" s="141">
        <v>4.4999999999999998E-2</v>
      </c>
      <c r="F59" s="159">
        <v>0.2</v>
      </c>
      <c r="G59" s="141">
        <v>0.08</v>
      </c>
    </row>
    <row r="60" spans="1:8">
      <c r="A60" s="307"/>
      <c r="B60" s="158" t="s">
        <v>215</v>
      </c>
      <c r="C60" s="139"/>
      <c r="D60" s="140">
        <f t="shared" si="8"/>
        <v>2.7971623303271671</v>
      </c>
      <c r="E60" s="159">
        <v>1.8068356891203199E-2</v>
      </c>
      <c r="F60" s="159">
        <v>4.0280000000000003E-2</v>
      </c>
      <c r="G60" s="141">
        <v>2.068E-2</v>
      </c>
    </row>
    <row r="61" spans="1:8">
      <c r="A61" s="308" t="s">
        <v>216</v>
      </c>
      <c r="B61" s="309"/>
      <c r="C61" s="143"/>
      <c r="D61" s="140">
        <f t="shared" si="8"/>
        <v>18.764358635913766</v>
      </c>
      <c r="E61" s="189">
        <f>SUM(E58:E60)</f>
        <v>0.12120895701772344</v>
      </c>
      <c r="F61" s="189">
        <f>SUM(F58:F60)</f>
        <v>0.34206999999999999</v>
      </c>
      <c r="G61" s="190">
        <f>SUM(G58:G60)</f>
        <v>0.16395000000000001</v>
      </c>
    </row>
    <row r="62" spans="1:8">
      <c r="A62" s="307" t="s">
        <v>44</v>
      </c>
      <c r="B62" s="307"/>
      <c r="C62" s="139"/>
      <c r="D62" s="140">
        <f t="shared" si="8"/>
        <v>6.2796059113985025</v>
      </c>
      <c r="E62" s="160">
        <v>4.0563309291379773E-2</v>
      </c>
      <c r="F62" s="159">
        <v>2.9350000000000001E-2</v>
      </c>
      <c r="G62" s="141">
        <v>4.9200000000000001E-2</v>
      </c>
    </row>
    <row r="63" spans="1:8">
      <c r="A63" s="310" t="s">
        <v>217</v>
      </c>
      <c r="B63" s="158" t="s">
        <v>214</v>
      </c>
      <c r="C63" s="139"/>
      <c r="D63" s="140">
        <f t="shared" si="8"/>
        <v>1.2229990000000002</v>
      </c>
      <c r="E63" s="141">
        <v>7.9000000000000008E-3</v>
      </c>
      <c r="F63" s="159">
        <v>2.1489999999999999E-2</v>
      </c>
      <c r="G63" s="141">
        <v>9.4900000000000002E-3</v>
      </c>
    </row>
    <row r="64" spans="1:8">
      <c r="A64" s="311"/>
      <c r="B64" s="158" t="s">
        <v>215</v>
      </c>
      <c r="C64" s="139"/>
      <c r="D64" s="140">
        <f>$H$57*E64</f>
        <v>5.1087300000000004</v>
      </c>
      <c r="E64" s="138">
        <v>3.3000000000000002E-2</v>
      </c>
      <c r="F64" s="159">
        <v>5.8119999999999998E-2</v>
      </c>
      <c r="G64" s="141">
        <v>5.4899999999999997E-2</v>
      </c>
    </row>
    <row r="65" spans="1:8">
      <c r="A65" s="307" t="s">
        <v>47</v>
      </c>
      <c r="B65" s="307"/>
      <c r="C65" s="139"/>
      <c r="D65" s="140">
        <f t="shared" ref="D65" si="9">$H$57*E65</f>
        <v>3.297453</v>
      </c>
      <c r="E65" s="141">
        <v>2.1299999999999999E-2</v>
      </c>
      <c r="F65" s="159">
        <v>2.1299999999999999E-2</v>
      </c>
      <c r="G65" s="141">
        <v>2.1299999999999999E-2</v>
      </c>
    </row>
    <row r="68" spans="1:8">
      <c r="A68" s="135"/>
      <c r="B68" s="135"/>
      <c r="C68" s="135"/>
      <c r="D68" s="135"/>
      <c r="E68" s="135"/>
      <c r="F68" s="306" t="s">
        <v>210</v>
      </c>
      <c r="G68" s="306"/>
      <c r="H68" s="136"/>
    </row>
    <row r="69" spans="1:8">
      <c r="A69" s="312" t="s">
        <v>211</v>
      </c>
      <c r="B69" s="312"/>
      <c r="C69" s="313" t="str">
        <f>C16</f>
        <v>预计</v>
      </c>
      <c r="D69" s="313"/>
      <c r="E69" s="313"/>
      <c r="F69" s="313"/>
      <c r="G69" s="309"/>
      <c r="H69" s="137" t="s">
        <v>218</v>
      </c>
    </row>
    <row r="70" spans="1:8" ht="27">
      <c r="A70" s="312"/>
      <c r="B70" s="312"/>
      <c r="C70" s="144" t="s">
        <v>220</v>
      </c>
      <c r="D70" s="144" t="s">
        <v>219</v>
      </c>
      <c r="E70" s="145" t="s">
        <v>223</v>
      </c>
      <c r="F70" s="145" t="s">
        <v>222</v>
      </c>
      <c r="G70" s="145" t="s">
        <v>221</v>
      </c>
      <c r="H70" s="148">
        <f>销量!H8</f>
        <v>150.22</v>
      </c>
    </row>
    <row r="71" spans="1:8">
      <c r="A71" s="307" t="s">
        <v>212</v>
      </c>
      <c r="B71" s="307"/>
      <c r="C71" s="139"/>
      <c r="D71" s="140">
        <f>$H$70*E71</f>
        <v>8.7338809510058688</v>
      </c>
      <c r="E71" s="159">
        <v>5.8140600126520232E-2</v>
      </c>
      <c r="F71" s="159">
        <v>0.10179000000000001</v>
      </c>
      <c r="G71" s="141">
        <v>6.3270000000000007E-2</v>
      </c>
    </row>
    <row r="72" spans="1:8">
      <c r="A72" s="307" t="s">
        <v>213</v>
      </c>
      <c r="B72" s="158" t="s">
        <v>214</v>
      </c>
      <c r="C72" s="139"/>
      <c r="D72" s="140">
        <f t="shared" ref="D72:D76" si="10">$H$70*E72</f>
        <v>6.7599</v>
      </c>
      <c r="E72" s="141">
        <v>4.4999999999999998E-2</v>
      </c>
      <c r="F72" s="159">
        <v>0.2</v>
      </c>
      <c r="G72" s="141">
        <v>0.08</v>
      </c>
    </row>
    <row r="73" spans="1:8">
      <c r="A73" s="307"/>
      <c r="B73" s="158" t="s">
        <v>215</v>
      </c>
      <c r="C73" s="139"/>
      <c r="D73" s="140">
        <f t="shared" si="10"/>
        <v>2.7142285721965447</v>
      </c>
      <c r="E73" s="159">
        <v>1.8068356891203199E-2</v>
      </c>
      <c r="F73" s="159">
        <v>4.0280000000000003E-2</v>
      </c>
      <c r="G73" s="141">
        <v>2.068E-2</v>
      </c>
    </row>
    <row r="74" spans="1:8">
      <c r="A74" s="308" t="s">
        <v>216</v>
      </c>
      <c r="B74" s="309"/>
      <c r="C74" s="143"/>
      <c r="D74" s="140">
        <f t="shared" si="10"/>
        <v>18.208009523202414</v>
      </c>
      <c r="E74" s="189">
        <f>SUM(E71:E73)</f>
        <v>0.12120895701772344</v>
      </c>
      <c r="F74" s="189">
        <f>SUM(F71:F73)</f>
        <v>0.34206999999999999</v>
      </c>
      <c r="G74" s="190">
        <f>SUM(G71:G73)</f>
        <v>0.16395000000000001</v>
      </c>
    </row>
    <row r="75" spans="1:8">
      <c r="A75" s="307" t="s">
        <v>44</v>
      </c>
      <c r="B75" s="307"/>
      <c r="C75" s="139"/>
      <c r="D75" s="140">
        <f t="shared" si="10"/>
        <v>6.0934203217510694</v>
      </c>
      <c r="E75" s="160">
        <v>4.0563309291379773E-2</v>
      </c>
      <c r="F75" s="159">
        <v>2.9350000000000001E-2</v>
      </c>
      <c r="G75" s="141">
        <v>4.9200000000000001E-2</v>
      </c>
    </row>
    <row r="76" spans="1:8">
      <c r="A76" s="310" t="s">
        <v>217</v>
      </c>
      <c r="B76" s="158" t="s">
        <v>214</v>
      </c>
      <c r="C76" s="139"/>
      <c r="D76" s="140">
        <f t="shared" si="10"/>
        <v>1.1867380000000001</v>
      </c>
      <c r="E76" s="141">
        <v>7.9000000000000008E-3</v>
      </c>
      <c r="F76" s="159">
        <v>2.1489999999999999E-2</v>
      </c>
      <c r="G76" s="141">
        <v>9.4900000000000002E-3</v>
      </c>
    </row>
    <row r="77" spans="1:8">
      <c r="A77" s="311"/>
      <c r="B77" s="158" t="s">
        <v>215</v>
      </c>
      <c r="C77" s="139"/>
      <c r="D77" s="140">
        <f>$H$70*E77</f>
        <v>4.9572599999999998</v>
      </c>
      <c r="E77" s="138">
        <v>3.3000000000000002E-2</v>
      </c>
      <c r="F77" s="159">
        <v>5.8119999999999998E-2</v>
      </c>
      <c r="G77" s="141">
        <v>5.4899999999999997E-2</v>
      </c>
    </row>
    <row r="78" spans="1:8">
      <c r="A78" s="307" t="s">
        <v>47</v>
      </c>
      <c r="B78" s="307"/>
      <c r="C78" s="139"/>
      <c r="D78" s="140">
        <f t="shared" ref="D78" si="11">$H$70*E78</f>
        <v>3.1996859999999998</v>
      </c>
      <c r="E78" s="141">
        <v>2.1299999999999999E-2</v>
      </c>
      <c r="F78" s="159">
        <v>2.1299999999999999E-2</v>
      </c>
      <c r="G78" s="141">
        <v>2.1299999999999999E-2</v>
      </c>
    </row>
    <row r="81" spans="1:8">
      <c r="A81" s="135"/>
      <c r="B81" s="135"/>
      <c r="C81" s="135"/>
      <c r="D81" s="135"/>
      <c r="E81" s="135"/>
      <c r="F81" s="306" t="s">
        <v>210</v>
      </c>
      <c r="G81" s="306"/>
      <c r="H81" s="136"/>
    </row>
    <row r="82" spans="1:8">
      <c r="A82" s="312" t="s">
        <v>211</v>
      </c>
      <c r="B82" s="312"/>
      <c r="C82" s="313" t="str">
        <f>C2</f>
        <v>预计</v>
      </c>
      <c r="D82" s="313"/>
      <c r="E82" s="313"/>
      <c r="F82" s="313"/>
      <c r="G82" s="309"/>
      <c r="H82" s="137" t="s">
        <v>218</v>
      </c>
    </row>
    <row r="83" spans="1:8" ht="27">
      <c r="A83" s="312"/>
      <c r="B83" s="312"/>
      <c r="C83" s="144" t="s">
        <v>220</v>
      </c>
      <c r="D83" s="144" t="s">
        <v>219</v>
      </c>
      <c r="E83" s="145" t="s">
        <v>223</v>
      </c>
      <c r="F83" s="145" t="s">
        <v>222</v>
      </c>
      <c r="G83" s="145" t="s">
        <v>221</v>
      </c>
      <c r="H83" s="148">
        <f>销量!I8</f>
        <v>106.42</v>
      </c>
    </row>
    <row r="84" spans="1:8">
      <c r="A84" s="307" t="s">
        <v>212</v>
      </c>
      <c r="B84" s="307"/>
      <c r="C84" s="139"/>
      <c r="D84" s="140">
        <f>$H$83*E84</f>
        <v>6.1873226654642837</v>
      </c>
      <c r="E84" s="159">
        <v>5.8140600126520232E-2</v>
      </c>
      <c r="F84" s="159">
        <v>0.10179000000000001</v>
      </c>
      <c r="G84" s="141">
        <v>6.3270000000000007E-2</v>
      </c>
    </row>
    <row r="85" spans="1:8">
      <c r="A85" s="307" t="s">
        <v>213</v>
      </c>
      <c r="B85" s="172" t="s">
        <v>214</v>
      </c>
      <c r="C85" s="139"/>
      <c r="D85" s="140">
        <f t="shared" ref="D85:D89" si="12">$H$83*E85</f>
        <v>4.7888999999999999</v>
      </c>
      <c r="E85" s="141">
        <v>4.4999999999999998E-2</v>
      </c>
      <c r="F85" s="159">
        <v>0.2</v>
      </c>
      <c r="G85" s="141">
        <v>0.08</v>
      </c>
    </row>
    <row r="86" spans="1:8">
      <c r="A86" s="307"/>
      <c r="B86" s="172" t="s">
        <v>215</v>
      </c>
      <c r="C86" s="139"/>
      <c r="D86" s="140">
        <f t="shared" si="12"/>
        <v>1.9228345403618445</v>
      </c>
      <c r="E86" s="159">
        <v>1.8068356891203199E-2</v>
      </c>
      <c r="F86" s="159">
        <v>4.0280000000000003E-2</v>
      </c>
      <c r="G86" s="141">
        <v>2.068E-2</v>
      </c>
    </row>
    <row r="87" spans="1:8">
      <c r="A87" s="308" t="s">
        <v>216</v>
      </c>
      <c r="B87" s="309"/>
      <c r="C87" s="143"/>
      <c r="D87" s="140">
        <f t="shared" si="12"/>
        <v>12.899057205826129</v>
      </c>
      <c r="E87" s="189">
        <f>SUM(E84:E86)</f>
        <v>0.12120895701772344</v>
      </c>
      <c r="F87" s="189">
        <f>SUM(F84:F86)</f>
        <v>0.34206999999999999</v>
      </c>
      <c r="G87" s="190">
        <f>SUM(G84:G86)</f>
        <v>0.16395000000000001</v>
      </c>
    </row>
    <row r="88" spans="1:8">
      <c r="A88" s="307" t="s">
        <v>44</v>
      </c>
      <c r="B88" s="307"/>
      <c r="C88" s="139"/>
      <c r="D88" s="140">
        <f t="shared" si="12"/>
        <v>4.3167473747886351</v>
      </c>
      <c r="E88" s="160">
        <v>4.0563309291379773E-2</v>
      </c>
      <c r="F88" s="159">
        <v>2.9350000000000001E-2</v>
      </c>
      <c r="G88" s="141">
        <v>4.9200000000000001E-2</v>
      </c>
    </row>
    <row r="89" spans="1:8">
      <c r="A89" s="310" t="s">
        <v>217</v>
      </c>
      <c r="B89" s="172" t="s">
        <v>214</v>
      </c>
      <c r="C89" s="139"/>
      <c r="D89" s="140">
        <f t="shared" si="12"/>
        <v>0.84071800000000008</v>
      </c>
      <c r="E89" s="141">
        <v>7.9000000000000008E-3</v>
      </c>
      <c r="F89" s="159">
        <v>2.1489999999999999E-2</v>
      </c>
      <c r="G89" s="141">
        <v>9.4900000000000002E-3</v>
      </c>
    </row>
    <row r="90" spans="1:8">
      <c r="A90" s="311"/>
      <c r="B90" s="172" t="s">
        <v>215</v>
      </c>
      <c r="C90" s="139"/>
      <c r="D90" s="140">
        <f t="shared" ref="D90:D91" si="13">$H$83*E90</f>
        <v>3.5118600000000004</v>
      </c>
      <c r="E90" s="138">
        <v>3.3000000000000002E-2</v>
      </c>
      <c r="F90" s="159">
        <v>5.8119999999999998E-2</v>
      </c>
      <c r="G90" s="141">
        <v>5.4899999999999997E-2</v>
      </c>
    </row>
    <row r="91" spans="1:8">
      <c r="A91" s="307" t="s">
        <v>47</v>
      </c>
      <c r="B91" s="307"/>
      <c r="C91" s="139"/>
      <c r="D91" s="140">
        <f t="shared" si="13"/>
        <v>2.2667459999999999</v>
      </c>
      <c r="E91" s="141">
        <v>2.1299999999999999E-2</v>
      </c>
      <c r="F91" s="159">
        <v>2.1299999999999999E-2</v>
      </c>
      <c r="G91" s="141">
        <v>2.1299999999999999E-2</v>
      </c>
    </row>
    <row r="94" spans="1:8">
      <c r="A94" s="135"/>
      <c r="B94" s="135"/>
      <c r="C94" s="135"/>
      <c r="D94" s="135"/>
      <c r="E94" s="135"/>
      <c r="F94" s="306" t="s">
        <v>210</v>
      </c>
      <c r="G94" s="306"/>
      <c r="H94" s="136"/>
    </row>
    <row r="95" spans="1:8">
      <c r="A95" s="312" t="s">
        <v>211</v>
      </c>
      <c r="B95" s="312"/>
      <c r="C95" s="313" t="str">
        <f>C2</f>
        <v>预计</v>
      </c>
      <c r="D95" s="313"/>
      <c r="E95" s="313"/>
      <c r="F95" s="313"/>
      <c r="G95" s="309"/>
      <c r="H95" s="137" t="s">
        <v>218</v>
      </c>
    </row>
    <row r="96" spans="1:8" ht="27">
      <c r="A96" s="312"/>
      <c r="B96" s="312"/>
      <c r="C96" s="144" t="s">
        <v>220</v>
      </c>
      <c r="D96" s="144" t="s">
        <v>219</v>
      </c>
      <c r="E96" s="145" t="s">
        <v>223</v>
      </c>
      <c r="F96" s="145" t="s">
        <v>222</v>
      </c>
      <c r="G96" s="145" t="s">
        <v>221</v>
      </c>
      <c r="H96" s="148">
        <f>销量!J8</f>
        <v>328.65</v>
      </c>
    </row>
    <row r="97" spans="1:8">
      <c r="A97" s="307" t="s">
        <v>212</v>
      </c>
      <c r="B97" s="307"/>
      <c r="C97" s="139"/>
      <c r="D97" s="140">
        <f>$H$96*E97</f>
        <v>19.107908231580872</v>
      </c>
      <c r="E97" s="159">
        <v>5.8140600126520232E-2</v>
      </c>
      <c r="F97" s="159">
        <v>0.10179000000000001</v>
      </c>
      <c r="G97" s="141">
        <v>6.3270000000000007E-2</v>
      </c>
    </row>
    <row r="98" spans="1:8">
      <c r="A98" s="307" t="s">
        <v>213</v>
      </c>
      <c r="B98" s="172" t="s">
        <v>214</v>
      </c>
      <c r="C98" s="139"/>
      <c r="D98" s="140">
        <f t="shared" ref="D98:D103" si="14">$H$96*E98</f>
        <v>14.789249999999999</v>
      </c>
      <c r="E98" s="141">
        <v>4.4999999999999998E-2</v>
      </c>
      <c r="F98" s="159">
        <v>0.2</v>
      </c>
      <c r="G98" s="141">
        <v>0.08</v>
      </c>
    </row>
    <row r="99" spans="1:8">
      <c r="A99" s="307"/>
      <c r="B99" s="172" t="s">
        <v>215</v>
      </c>
      <c r="C99" s="139"/>
      <c r="D99" s="140">
        <f t="shared" si="14"/>
        <v>5.9381654922939306</v>
      </c>
      <c r="E99" s="159">
        <v>1.8068356891203199E-2</v>
      </c>
      <c r="F99" s="159">
        <v>4.0280000000000003E-2</v>
      </c>
      <c r="G99" s="141">
        <v>2.068E-2</v>
      </c>
    </row>
    <row r="100" spans="1:8">
      <c r="A100" s="308" t="s">
        <v>216</v>
      </c>
      <c r="B100" s="309"/>
      <c r="C100" s="143"/>
      <c r="D100" s="140">
        <f t="shared" si="14"/>
        <v>39.835323723874808</v>
      </c>
      <c r="E100" s="189">
        <f>SUM(E97:E99)</f>
        <v>0.12120895701772344</v>
      </c>
      <c r="F100" s="189">
        <f>SUM(F97:F99)</f>
        <v>0.34206999999999999</v>
      </c>
      <c r="G100" s="190">
        <f>SUM(G97:G99)</f>
        <v>0.16395000000000001</v>
      </c>
    </row>
    <row r="101" spans="1:8">
      <c r="A101" s="307" t="s">
        <v>44</v>
      </c>
      <c r="B101" s="307"/>
      <c r="C101" s="139"/>
      <c r="D101" s="140">
        <f t="shared" si="14"/>
        <v>13.331131598611961</v>
      </c>
      <c r="E101" s="160">
        <v>4.0563309291379773E-2</v>
      </c>
      <c r="F101" s="159">
        <v>2.9350000000000001E-2</v>
      </c>
      <c r="G101" s="141">
        <v>4.9200000000000001E-2</v>
      </c>
    </row>
    <row r="102" spans="1:8">
      <c r="A102" s="310" t="s">
        <v>217</v>
      </c>
      <c r="B102" s="172" t="s">
        <v>214</v>
      </c>
      <c r="C102" s="139"/>
      <c r="D102" s="140">
        <f t="shared" si="14"/>
        <v>2.5963350000000003</v>
      </c>
      <c r="E102" s="141">
        <v>7.9000000000000008E-3</v>
      </c>
      <c r="F102" s="159">
        <v>2.1489999999999999E-2</v>
      </c>
      <c r="G102" s="141">
        <v>9.4900000000000002E-3</v>
      </c>
    </row>
    <row r="103" spans="1:8">
      <c r="A103" s="311"/>
      <c r="B103" s="172" t="s">
        <v>215</v>
      </c>
      <c r="C103" s="139"/>
      <c r="D103" s="140">
        <f t="shared" si="14"/>
        <v>10.84545</v>
      </c>
      <c r="E103" s="138">
        <v>3.3000000000000002E-2</v>
      </c>
      <c r="F103" s="159">
        <v>5.8119999999999998E-2</v>
      </c>
      <c r="G103" s="141">
        <v>5.4899999999999997E-2</v>
      </c>
    </row>
    <row r="104" spans="1:8">
      <c r="A104" s="307" t="s">
        <v>47</v>
      </c>
      <c r="B104" s="307"/>
      <c r="C104" s="139"/>
      <c r="D104" s="140">
        <f t="shared" ref="D104" si="15">$H$96*E104</f>
        <v>7.0002449999999996</v>
      </c>
      <c r="E104" s="141">
        <v>2.1299999999999999E-2</v>
      </c>
      <c r="F104" s="159">
        <v>2.1299999999999999E-2</v>
      </c>
      <c r="G104" s="141">
        <v>2.1299999999999999E-2</v>
      </c>
    </row>
    <row r="107" spans="1:8">
      <c r="A107" s="135"/>
      <c r="B107" s="135"/>
      <c r="C107" s="135"/>
      <c r="D107" s="135"/>
      <c r="E107" s="135"/>
      <c r="F107" s="306" t="s">
        <v>210</v>
      </c>
      <c r="G107" s="306"/>
      <c r="H107" s="136"/>
    </row>
    <row r="108" spans="1:8">
      <c r="A108" s="312" t="s">
        <v>211</v>
      </c>
      <c r="B108" s="312"/>
      <c r="C108" s="313" t="str">
        <f>C2</f>
        <v>预计</v>
      </c>
      <c r="D108" s="313"/>
      <c r="E108" s="313"/>
      <c r="F108" s="313"/>
      <c r="G108" s="309"/>
      <c r="H108" s="137" t="s">
        <v>218</v>
      </c>
    </row>
    <row r="109" spans="1:8" ht="27">
      <c r="A109" s="312"/>
      <c r="B109" s="312"/>
      <c r="C109" s="144" t="s">
        <v>220</v>
      </c>
      <c r="D109" s="144" t="s">
        <v>219</v>
      </c>
      <c r="E109" s="145" t="s">
        <v>223</v>
      </c>
      <c r="F109" s="145" t="s">
        <v>222</v>
      </c>
      <c r="G109" s="145" t="s">
        <v>221</v>
      </c>
      <c r="H109" s="148">
        <f>销量!K8</f>
        <v>0</v>
      </c>
    </row>
    <row r="110" spans="1:8">
      <c r="A110" s="307" t="s">
        <v>212</v>
      </c>
      <c r="B110" s="307"/>
      <c r="C110" s="139"/>
      <c r="D110" s="140">
        <f>$H$109*E110</f>
        <v>0</v>
      </c>
      <c r="E110" s="159">
        <v>5.8140600126520232E-2</v>
      </c>
      <c r="F110" s="159">
        <v>0.10179000000000001</v>
      </c>
      <c r="G110" s="141">
        <v>6.3270000000000007E-2</v>
      </c>
    </row>
    <row r="111" spans="1:8">
      <c r="A111" s="307" t="s">
        <v>213</v>
      </c>
      <c r="B111" s="172" t="s">
        <v>214</v>
      </c>
      <c r="C111" s="139"/>
      <c r="D111" s="140">
        <f t="shared" ref="D111:D115" si="16">$H$109*E111</f>
        <v>0</v>
      </c>
      <c r="E111" s="141">
        <v>4.4999999999999998E-2</v>
      </c>
      <c r="F111" s="159">
        <v>0.2</v>
      </c>
      <c r="G111" s="141">
        <v>0.08</v>
      </c>
    </row>
    <row r="112" spans="1:8">
      <c r="A112" s="307"/>
      <c r="B112" s="172" t="s">
        <v>215</v>
      </c>
      <c r="C112" s="139"/>
      <c r="D112" s="140">
        <f t="shared" si="16"/>
        <v>0</v>
      </c>
      <c r="E112" s="159">
        <v>1.8068356891203199E-2</v>
      </c>
      <c r="F112" s="159">
        <v>4.0280000000000003E-2</v>
      </c>
      <c r="G112" s="141">
        <v>2.068E-2</v>
      </c>
    </row>
    <row r="113" spans="1:7">
      <c r="A113" s="308" t="s">
        <v>216</v>
      </c>
      <c r="B113" s="309"/>
      <c r="C113" s="143"/>
      <c r="D113" s="140">
        <f t="shared" si="16"/>
        <v>0</v>
      </c>
      <c r="E113" s="189">
        <f>SUM(E110:E112)</f>
        <v>0.12120895701772344</v>
      </c>
      <c r="F113" s="189">
        <f>SUM(F110:F112)</f>
        <v>0.34206999999999999</v>
      </c>
      <c r="G113" s="190">
        <f>SUM(G110:G112)</f>
        <v>0.16395000000000001</v>
      </c>
    </row>
    <row r="114" spans="1:7">
      <c r="A114" s="307" t="s">
        <v>44</v>
      </c>
      <c r="B114" s="307"/>
      <c r="C114" s="139"/>
      <c r="D114" s="140">
        <f t="shared" si="16"/>
        <v>0</v>
      </c>
      <c r="E114" s="160">
        <v>4.0563309291379773E-2</v>
      </c>
      <c r="F114" s="159">
        <v>2.9350000000000001E-2</v>
      </c>
      <c r="G114" s="141">
        <v>4.9200000000000001E-2</v>
      </c>
    </row>
    <row r="115" spans="1:7">
      <c r="A115" s="310" t="s">
        <v>217</v>
      </c>
      <c r="B115" s="172" t="s">
        <v>214</v>
      </c>
      <c r="C115" s="139"/>
      <c r="D115" s="140">
        <f t="shared" si="16"/>
        <v>0</v>
      </c>
      <c r="E115" s="141">
        <v>7.9000000000000008E-3</v>
      </c>
      <c r="F115" s="159">
        <v>2.1489999999999999E-2</v>
      </c>
      <c r="G115" s="141">
        <v>9.4900000000000002E-3</v>
      </c>
    </row>
    <row r="116" spans="1:7">
      <c r="A116" s="311"/>
      <c r="B116" s="172" t="s">
        <v>215</v>
      </c>
      <c r="C116" s="139"/>
      <c r="D116" s="140">
        <f>$H$109*E116</f>
        <v>0</v>
      </c>
      <c r="E116" s="138">
        <v>3.3000000000000002E-2</v>
      </c>
      <c r="F116" s="159">
        <v>5.8119999999999998E-2</v>
      </c>
      <c r="G116" s="141">
        <v>5.4899999999999997E-2</v>
      </c>
    </row>
    <row r="117" spans="1:7">
      <c r="A117" s="307" t="s">
        <v>47</v>
      </c>
      <c r="B117" s="307"/>
      <c r="C117" s="139"/>
      <c r="D117" s="140">
        <f t="shared" ref="D117" si="17">$H$109*E117</f>
        <v>0</v>
      </c>
      <c r="E117" s="141">
        <v>2.1299999999999999E-2</v>
      </c>
      <c r="F117" s="159">
        <v>2.1299999999999999E-2</v>
      </c>
      <c r="G117" s="141">
        <v>2.1299999999999999E-2</v>
      </c>
    </row>
  </sheetData>
  <mergeCells count="82">
    <mergeCell ref="I3:L3"/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7" activePane="bottomRight" state="frozen"/>
      <selection pane="topRight"/>
      <selection pane="bottomLeft"/>
      <selection pane="bottomRight" activeCell="E17" sqref="E17"/>
    </sheetView>
  </sheetViews>
  <sheetFormatPr defaultColWidth="9" defaultRowHeight="16.5"/>
  <cols>
    <col min="1" max="1" width="5.125" style="98" customWidth="1"/>
    <col min="2" max="2" width="35.75" style="98" customWidth="1"/>
    <col min="3" max="3" width="14.5" style="99" customWidth="1"/>
    <col min="4" max="7" width="13" style="99" customWidth="1"/>
    <col min="8" max="8" width="15.125" style="99" customWidth="1"/>
    <col min="9" max="9" width="15.5" style="98" customWidth="1"/>
    <col min="10" max="35" width="9" style="98"/>
    <col min="36" max="36" width="4.375" style="98" customWidth="1"/>
    <col min="37" max="37" width="13.875" style="98" customWidth="1"/>
    <col min="38" max="16384" width="9" style="98"/>
  </cols>
  <sheetData>
    <row r="1" spans="1:38" ht="27" customHeight="1">
      <c r="A1" s="249" t="s">
        <v>299</v>
      </c>
      <c r="B1" s="249"/>
      <c r="C1" s="249"/>
      <c r="D1" s="249"/>
      <c r="E1" s="249"/>
      <c r="F1" s="249"/>
      <c r="G1" s="249"/>
      <c r="H1" s="249"/>
    </row>
    <row r="2" spans="1:38" s="228" customFormat="1" ht="18" customHeight="1">
      <c r="A2" s="226"/>
      <c r="B2" s="227"/>
      <c r="C2" s="227"/>
      <c r="D2" s="227"/>
      <c r="E2" s="227"/>
      <c r="F2" s="227"/>
      <c r="G2" s="227" t="s">
        <v>257</v>
      </c>
      <c r="H2" s="227"/>
    </row>
    <row r="3" spans="1:38" ht="15.75" customHeight="1">
      <c r="A3" s="250" t="s">
        <v>13</v>
      </c>
      <c r="B3" s="100" t="s">
        <v>1</v>
      </c>
      <c r="C3" s="100" t="s">
        <v>259</v>
      </c>
      <c r="D3" s="100" t="s">
        <v>260</v>
      </c>
      <c r="E3" s="100" t="s">
        <v>261</v>
      </c>
      <c r="F3" s="100" t="s">
        <v>252</v>
      </c>
      <c r="G3" s="100" t="s">
        <v>262</v>
      </c>
      <c r="H3" s="39" t="s">
        <v>14</v>
      </c>
      <c r="AL3" s="98" t="s">
        <v>15</v>
      </c>
    </row>
    <row r="4" spans="1:38" s="36" customFormat="1" ht="15.75" customHeight="1">
      <c r="A4" s="251"/>
      <c r="B4" s="41" t="s">
        <v>3</v>
      </c>
      <c r="C4" s="101">
        <f>'2023年'!K6</f>
        <v>16000</v>
      </c>
      <c r="D4" s="101">
        <f>'2024年'!K6</f>
        <v>21000</v>
      </c>
      <c r="E4" s="101">
        <f>'2025年'!K6</f>
        <v>25000</v>
      </c>
      <c r="F4" s="101">
        <f>'2026年'!K6</f>
        <v>24000</v>
      </c>
      <c r="G4" s="101">
        <f>'2027年'!K6</f>
        <v>23000</v>
      </c>
      <c r="H4" s="101">
        <f>SUM(C4:G4)</f>
        <v>109000</v>
      </c>
      <c r="I4" s="57"/>
      <c r="AJ4" s="40" t="s">
        <v>13</v>
      </c>
      <c r="AK4" s="41" t="s">
        <v>3</v>
      </c>
      <c r="AL4" s="36" t="s">
        <v>16</v>
      </c>
    </row>
    <row r="5" spans="1:38" s="36" customFormat="1" ht="15.75" customHeight="1">
      <c r="A5" s="50">
        <v>1</v>
      </c>
      <c r="B5" s="41" t="s">
        <v>17</v>
      </c>
      <c r="C5" s="101">
        <f>'2023年'!K7</f>
        <v>5683520</v>
      </c>
      <c r="D5" s="101">
        <f>'2024年'!K7</f>
        <v>7236690</v>
      </c>
      <c r="E5" s="101">
        <f>'2025年'!K7</f>
        <v>8635050</v>
      </c>
      <c r="F5" s="101">
        <f>'2026年'!K7</f>
        <v>8306400</v>
      </c>
      <c r="G5" s="101">
        <f>'2027年'!K7</f>
        <v>7977750</v>
      </c>
      <c r="H5" s="101">
        <f t="shared" ref="H5:H12" si="0">SUM(C5:G5)</f>
        <v>37839410</v>
      </c>
      <c r="I5" s="57"/>
      <c r="AJ5" s="40" t="s">
        <v>18</v>
      </c>
      <c r="AK5" s="41" t="s">
        <v>17</v>
      </c>
      <c r="AL5" s="36" t="s">
        <v>16</v>
      </c>
    </row>
    <row r="6" spans="1:38" s="36" customFormat="1" ht="15.75" customHeight="1">
      <c r="A6" s="50">
        <v>2</v>
      </c>
      <c r="B6" s="38" t="s">
        <v>19</v>
      </c>
      <c r="C6" s="101">
        <f>'2023年'!K8</f>
        <v>0</v>
      </c>
      <c r="D6" s="101">
        <f>'2024年'!K8</f>
        <v>180917.25000000017</v>
      </c>
      <c r="E6" s="101">
        <f>'2025年'!K8</f>
        <v>426355.59374999953</v>
      </c>
      <c r="F6" s="101">
        <f>'2026年'!K8</f>
        <v>607535.28750000068</v>
      </c>
      <c r="G6" s="101">
        <f>'2027年'!K8</f>
        <v>768353.93056640623</v>
      </c>
      <c r="H6" s="101">
        <f t="shared" si="0"/>
        <v>1983162.0618164069</v>
      </c>
      <c r="I6" s="57"/>
      <c r="AJ6" s="40" t="s">
        <v>20</v>
      </c>
      <c r="AK6" s="38" t="s">
        <v>21</v>
      </c>
      <c r="AL6" s="36" t="s">
        <v>16</v>
      </c>
    </row>
    <row r="7" spans="1:38" s="36" customFormat="1" ht="15.75" customHeight="1">
      <c r="A7" s="50">
        <v>3</v>
      </c>
      <c r="B7" s="41" t="s">
        <v>22</v>
      </c>
      <c r="C7" s="102">
        <f>+C5-C6</f>
        <v>5683520</v>
      </c>
      <c r="D7" s="102">
        <f>'2024年'!K9</f>
        <v>7055772.7499999991</v>
      </c>
      <c r="E7" s="102">
        <f>'2025年'!K9</f>
        <v>8208694.4062500009</v>
      </c>
      <c r="F7" s="102">
        <f>'2026年'!K9</f>
        <v>7698864.7124999985</v>
      </c>
      <c r="G7" s="102">
        <f>'2027年'!K9</f>
        <v>7209396.0694335932</v>
      </c>
      <c r="H7" s="101">
        <f t="shared" si="0"/>
        <v>35856247.938183591</v>
      </c>
      <c r="I7" s="57"/>
      <c r="AJ7" s="40" t="s">
        <v>23</v>
      </c>
      <c r="AK7" s="41" t="s">
        <v>22</v>
      </c>
      <c r="AL7" s="36" t="s">
        <v>24</v>
      </c>
    </row>
    <row r="8" spans="1:38" s="36" customFormat="1" ht="15.75" customHeight="1">
      <c r="A8" s="50">
        <v>4</v>
      </c>
      <c r="B8" s="40" t="s">
        <v>25</v>
      </c>
      <c r="C8" s="101">
        <f>'2023年'!K10</f>
        <v>4355316</v>
      </c>
      <c r="D8" s="101">
        <f>'2024年'!K10</f>
        <v>5343817.05</v>
      </c>
      <c r="E8" s="101">
        <f>'2025年'!K10</f>
        <v>6152739.6937500006</v>
      </c>
      <c r="F8" s="101">
        <f>'2026年'!K10</f>
        <v>5718092.0793749988</v>
      </c>
      <c r="G8" s="101">
        <f>'2027年'!K10</f>
        <v>5301331.3834101558</v>
      </c>
      <c r="H8" s="101">
        <f t="shared" si="0"/>
        <v>26871296.206535157</v>
      </c>
      <c r="I8" s="57"/>
      <c r="AJ8" s="40" t="s">
        <v>26</v>
      </c>
      <c r="AK8" s="40" t="s">
        <v>25</v>
      </c>
      <c r="AL8" s="36" t="s">
        <v>27</v>
      </c>
    </row>
    <row r="9" spans="1:38" s="36" customFormat="1" ht="15.75" customHeight="1">
      <c r="A9" s="50">
        <v>5</v>
      </c>
      <c r="B9" s="40" t="s">
        <v>28</v>
      </c>
      <c r="C9" s="101">
        <f>'2023年'!K11</f>
        <v>330443.26363108022</v>
      </c>
      <c r="D9" s="101">
        <f>'2024年'!K11</f>
        <v>420745.49952958775</v>
      </c>
      <c r="E9" s="101">
        <f>'2025年'!K11</f>
        <v>502046.9891225085</v>
      </c>
      <c r="F9" s="101">
        <f>'2026年'!K11</f>
        <v>482939.08089092764</v>
      </c>
      <c r="G9" s="101">
        <f>'2027年'!K11</f>
        <v>463831.17265934672</v>
      </c>
      <c r="H9" s="101">
        <f t="shared" si="0"/>
        <v>2200006.0058334507</v>
      </c>
      <c r="I9" s="57"/>
      <c r="AJ9" s="40" t="s">
        <v>29</v>
      </c>
      <c r="AK9" s="40" t="s">
        <v>28</v>
      </c>
    </row>
    <row r="10" spans="1:38" s="36" customFormat="1" ht="15.75" customHeight="1">
      <c r="A10" s="50">
        <v>6</v>
      </c>
      <c r="B10" s="40" t="s">
        <v>30</v>
      </c>
      <c r="C10" s="101">
        <f>'2023年'!K12</f>
        <v>102691.86775829121</v>
      </c>
      <c r="D10" s="101">
        <f>'2024年'!K12</f>
        <v>130755.09763100126</v>
      </c>
      <c r="E10" s="101">
        <f>'2025年'!K12</f>
        <v>156021.16517338416</v>
      </c>
      <c r="F10" s="101">
        <f>'2026年'!K12</f>
        <v>150082.99968109024</v>
      </c>
      <c r="G10" s="101">
        <f>'2027年'!K12</f>
        <v>144144.83418879632</v>
      </c>
      <c r="H10" s="101">
        <f t="shared" si="0"/>
        <v>683695.96443256317</v>
      </c>
      <c r="I10" s="57"/>
      <c r="AJ10" s="40" t="s">
        <v>31</v>
      </c>
      <c r="AK10" s="40" t="s">
        <v>30</v>
      </c>
    </row>
    <row r="11" spans="1:38" s="36" customFormat="1" ht="15.75" customHeight="1">
      <c r="A11" s="50">
        <v>7</v>
      </c>
      <c r="B11" s="103" t="s">
        <v>32</v>
      </c>
      <c r="C11" s="101">
        <f>'2023年'!K13</f>
        <v>187556.16</v>
      </c>
      <c r="D11" s="101">
        <f>'2024年'!K13</f>
        <v>238810.77000000002</v>
      </c>
      <c r="E11" s="101">
        <f>'2025年'!K13</f>
        <v>284956.64999999997</v>
      </c>
      <c r="F11" s="101">
        <f>'2026年'!K13</f>
        <v>274111.19999999995</v>
      </c>
      <c r="G11" s="101">
        <f>'2027年'!K13</f>
        <v>263265.74999999994</v>
      </c>
      <c r="H11" s="101">
        <f t="shared" si="0"/>
        <v>1248700.53</v>
      </c>
      <c r="I11" s="57"/>
      <c r="AJ11" s="40" t="s">
        <v>33</v>
      </c>
      <c r="AK11" s="40" t="s">
        <v>32</v>
      </c>
      <c r="AL11" s="36" t="s">
        <v>16</v>
      </c>
    </row>
    <row r="12" spans="1:38" s="36" customFormat="1" ht="15.75" customHeight="1">
      <c r="A12" s="50">
        <v>8</v>
      </c>
      <c r="B12" s="104" t="s">
        <v>34</v>
      </c>
      <c r="C12" s="105">
        <f>'2023年'!K14</f>
        <v>620691.29138937138</v>
      </c>
      <c r="D12" s="105">
        <f>'2024年'!K14</f>
        <v>790311.36716058885</v>
      </c>
      <c r="E12" s="105">
        <f>'2025年'!K14</f>
        <v>943024.80429589271</v>
      </c>
      <c r="F12" s="105">
        <f>'2026年'!K14</f>
        <v>907133.28057201789</v>
      </c>
      <c r="G12" s="105">
        <f>'2027年'!K14</f>
        <v>871241.75684814318</v>
      </c>
      <c r="H12" s="105">
        <f t="shared" si="0"/>
        <v>4132402.5002660146</v>
      </c>
      <c r="I12" s="57"/>
      <c r="AJ12" s="40" t="s">
        <v>35</v>
      </c>
      <c r="AK12" s="43" t="s">
        <v>34</v>
      </c>
    </row>
    <row r="13" spans="1:38" s="36" customFormat="1" ht="15.75" customHeight="1">
      <c r="A13" s="50">
        <v>9</v>
      </c>
      <c r="B13" s="106" t="s">
        <v>36</v>
      </c>
      <c r="C13" s="101">
        <f>'2023年'!K15</f>
        <v>707512.7086106285</v>
      </c>
      <c r="D13" s="101">
        <f>'2024年'!K15</f>
        <v>921644.33283941087</v>
      </c>
      <c r="E13" s="101">
        <f>'2025年'!K15</f>
        <v>1112929.9082041082</v>
      </c>
      <c r="F13" s="101">
        <f>'2026年'!K15</f>
        <v>1073639.3525529823</v>
      </c>
      <c r="G13" s="101">
        <f>'2027年'!K15</f>
        <v>1036822.9291752947</v>
      </c>
      <c r="H13" s="101">
        <f>H7-H8-H12</f>
        <v>4852549.2313824194</v>
      </c>
      <c r="I13" s="57"/>
      <c r="K13" s="98"/>
      <c r="L13" s="98"/>
      <c r="M13" s="98"/>
      <c r="N13" s="98"/>
      <c r="O13" s="98"/>
      <c r="P13" s="98"/>
      <c r="AJ13" s="40" t="s">
        <v>37</v>
      </c>
      <c r="AK13" s="43" t="s">
        <v>36</v>
      </c>
    </row>
    <row r="14" spans="1:38" ht="15.75" customHeight="1">
      <c r="A14" s="50">
        <v>10</v>
      </c>
      <c r="B14" s="107" t="s">
        <v>38</v>
      </c>
      <c r="C14" s="108">
        <f>+C13/C7</f>
        <v>0.1244849509829522</v>
      </c>
      <c r="D14" s="108">
        <f>'2024年'!K16</f>
        <v>0.13062273481517825</v>
      </c>
      <c r="E14" s="108">
        <f>'2025年'!K16</f>
        <v>0.13557940558205417</v>
      </c>
      <c r="F14" s="108">
        <f>'2026年'!K16</f>
        <v>0.13945424327431089</v>
      </c>
      <c r="G14" s="108">
        <f>'2027年'!K16</f>
        <v>0.14381550398808271</v>
      </c>
      <c r="H14" s="108">
        <f>+H13/H7</f>
        <v>0.13533343588398447</v>
      </c>
      <c r="I14" s="57"/>
      <c r="AJ14" s="107" t="s">
        <v>39</v>
      </c>
      <c r="AK14" s="107" t="s">
        <v>38</v>
      </c>
    </row>
    <row r="15" spans="1:38" ht="15.75" customHeight="1">
      <c r="A15" s="50">
        <v>11</v>
      </c>
      <c r="B15" s="107" t="s">
        <v>40</v>
      </c>
      <c r="C15" s="101">
        <f>'2023年'!K17</f>
        <v>255758.4</v>
      </c>
      <c r="D15" s="101">
        <f>'2024年'!K17</f>
        <v>325651.05</v>
      </c>
      <c r="E15" s="101">
        <f>'2025年'!K17</f>
        <v>388577.25</v>
      </c>
      <c r="F15" s="244">
        <f>'2026年'!K17</f>
        <v>373788</v>
      </c>
      <c r="G15" s="101">
        <f>'2027年'!K17</f>
        <v>358998.75</v>
      </c>
      <c r="H15" s="101">
        <f>SUM(C15:G15)</f>
        <v>1702773.45</v>
      </c>
      <c r="I15" s="57"/>
      <c r="AJ15" s="107" t="s">
        <v>41</v>
      </c>
      <c r="AK15" s="107" t="s">
        <v>40</v>
      </c>
    </row>
    <row r="16" spans="1:38" ht="15.75" hidden="1" customHeight="1">
      <c r="A16" s="146"/>
      <c r="B16" s="107"/>
      <c r="C16" s="101"/>
      <c r="D16" s="101"/>
      <c r="E16" s="101"/>
      <c r="F16" s="212">
        <f>'2026年'!K18</f>
        <v>0</v>
      </c>
      <c r="G16" s="101">
        <f>'2027年'!K18</f>
        <v>0</v>
      </c>
      <c r="H16" s="101"/>
      <c r="I16" s="57"/>
      <c r="AJ16" s="107"/>
      <c r="AK16" s="107"/>
    </row>
    <row r="17" spans="1:38" ht="15.75" customHeight="1">
      <c r="A17" s="50">
        <v>12</v>
      </c>
      <c r="B17" s="107" t="s">
        <v>42</v>
      </c>
      <c r="C17" s="109">
        <f>'2023年'!K19</f>
        <v>44899.808000000005</v>
      </c>
      <c r="D17" s="109">
        <f>'2024年'!K19</f>
        <v>57169.85100000001</v>
      </c>
      <c r="E17" s="109">
        <f>'2025年'!K19</f>
        <v>68216.895000000019</v>
      </c>
      <c r="F17" s="109">
        <f>'2026年'!K19</f>
        <v>65620.560000000012</v>
      </c>
      <c r="G17" s="109">
        <f>'2027年'!K19</f>
        <v>63024.22500000002</v>
      </c>
      <c r="H17" s="101">
        <f>SUM(C17:G17)</f>
        <v>298931.33900000009</v>
      </c>
      <c r="I17" s="57"/>
      <c r="Q17" s="57"/>
      <c r="AJ17" s="107" t="s">
        <v>43</v>
      </c>
      <c r="AK17" s="107" t="s">
        <v>42</v>
      </c>
      <c r="AL17" s="98" t="s">
        <v>16</v>
      </c>
    </row>
    <row r="18" spans="1:38" ht="15.75" customHeight="1">
      <c r="A18" s="50">
        <v>13</v>
      </c>
      <c r="B18" s="107" t="s">
        <v>44</v>
      </c>
      <c r="C18" s="109">
        <f>'2023年'!K20</f>
        <v>230542.37962374275</v>
      </c>
      <c r="D18" s="109">
        <f>'2024年'!K20</f>
        <v>293544.09471583506</v>
      </c>
      <c r="E18" s="109">
        <f>'2025年'!K20</f>
        <v>350266.20389652892</v>
      </c>
      <c r="F18" s="109">
        <f>'2026年'!K20</f>
        <v>336935.07229791692</v>
      </c>
      <c r="G18" s="109">
        <f>'2027年'!K20</f>
        <v>323603.94069930498</v>
      </c>
      <c r="H18" s="101">
        <f>SUM(C18:G18)</f>
        <v>1534891.6912333285</v>
      </c>
      <c r="I18" s="57"/>
      <c r="AJ18" s="107" t="s">
        <v>45</v>
      </c>
      <c r="AK18" s="107" t="s">
        <v>44</v>
      </c>
    </row>
    <row r="19" spans="1:38" s="35" customFormat="1" ht="15.75" customHeight="1">
      <c r="A19" s="50">
        <v>14</v>
      </c>
      <c r="B19" s="48" t="s">
        <v>46</v>
      </c>
      <c r="C19" s="110">
        <f>'2023年'!K21</f>
        <v>12400</v>
      </c>
      <c r="D19" s="110">
        <f>'2024年'!K21</f>
        <v>12400</v>
      </c>
      <c r="E19" s="110">
        <f>'2025年'!K21</f>
        <v>12400</v>
      </c>
      <c r="F19" s="110">
        <f>'2026年'!K21</f>
        <v>12400</v>
      </c>
      <c r="G19" s="110">
        <f>'2027年'!K21</f>
        <v>12400</v>
      </c>
      <c r="H19" s="101">
        <f>SUM(C19:G19)</f>
        <v>62000</v>
      </c>
      <c r="I19" s="57"/>
      <c r="AJ19" s="48"/>
      <c r="AK19" s="48"/>
    </row>
    <row r="20" spans="1:38" s="36" customFormat="1" ht="15.75" customHeight="1">
      <c r="A20" s="50">
        <v>15</v>
      </c>
      <c r="B20" s="40" t="s">
        <v>47</v>
      </c>
      <c r="C20" s="109">
        <f>'2023年'!K22</f>
        <v>121058.976</v>
      </c>
      <c r="D20" s="109">
        <f>'2024年'!K22</f>
        <v>154141.497</v>
      </c>
      <c r="E20" s="109">
        <f>'2025年'!K22</f>
        <v>183926.565</v>
      </c>
      <c r="F20" s="109">
        <f>'2026年'!K22</f>
        <v>176926.32</v>
      </c>
      <c r="G20" s="109">
        <f>'2027年'!K22</f>
        <v>169926.07500000001</v>
      </c>
      <c r="H20" s="101">
        <f>SUM(C20:G20)</f>
        <v>805979.43299999996</v>
      </c>
      <c r="I20" s="57"/>
      <c r="AJ20" s="40" t="s">
        <v>48</v>
      </c>
      <c r="AK20" s="40" t="s">
        <v>47</v>
      </c>
    </row>
    <row r="21" spans="1:38" s="96" customFormat="1" ht="15.75" customHeight="1">
      <c r="A21" s="50">
        <v>16</v>
      </c>
      <c r="B21" s="111" t="s">
        <v>49</v>
      </c>
      <c r="C21" s="105">
        <f t="shared" ref="C21" si="1">+C20+C19+C18+C17+C15</f>
        <v>664659.56362374278</v>
      </c>
      <c r="D21" s="105">
        <f>'2024年'!K23</f>
        <v>842906.49271583511</v>
      </c>
      <c r="E21" s="105">
        <f>'2025年'!K23</f>
        <v>1003386.913896529</v>
      </c>
      <c r="F21" s="105">
        <f>'2026年'!K23</f>
        <v>965669.95229791699</v>
      </c>
      <c r="G21" s="105">
        <f>'2027年'!K23</f>
        <v>927952.99069930497</v>
      </c>
      <c r="H21" s="105">
        <f>SUM(C21:G21)</f>
        <v>4404575.9132333286</v>
      </c>
      <c r="I21" s="57"/>
      <c r="AJ21" s="124" t="s">
        <v>50</v>
      </c>
      <c r="AK21" s="125" t="s">
        <v>49</v>
      </c>
    </row>
    <row r="22" spans="1:38" ht="15.75" customHeight="1">
      <c r="A22" s="50">
        <v>17</v>
      </c>
      <c r="B22" s="107" t="s">
        <v>51</v>
      </c>
      <c r="C22" s="112">
        <f>+C13-C21</f>
        <v>42853.144986885716</v>
      </c>
      <c r="D22" s="112">
        <f>'2024年'!K24</f>
        <v>78737.840123575763</v>
      </c>
      <c r="E22" s="112">
        <f>'2025年'!K24</f>
        <v>109542.99430757924</v>
      </c>
      <c r="F22" s="112">
        <f>'2026年'!K24</f>
        <v>107969.40025506529</v>
      </c>
      <c r="G22" s="112">
        <f>'2027年'!K24</f>
        <v>108869.93847598974</v>
      </c>
      <c r="H22" s="112">
        <f>+H13-H21</f>
        <v>447973.31814909074</v>
      </c>
      <c r="I22" s="57"/>
      <c r="AJ22" s="107" t="s">
        <v>52</v>
      </c>
      <c r="AK22" s="107" t="s">
        <v>51</v>
      </c>
    </row>
    <row r="23" spans="1:38" ht="15.75" customHeight="1">
      <c r="A23" s="50">
        <v>18</v>
      </c>
      <c r="B23" s="107" t="s">
        <v>53</v>
      </c>
      <c r="C23" s="112">
        <f>IF(C22&lt;0,0,C22*0.15)</f>
        <v>6427.9717480328572</v>
      </c>
      <c r="D23" s="112">
        <f>'2024年'!K25</f>
        <v>11810.676018536364</v>
      </c>
      <c r="E23" s="112">
        <f>'2025年'!K25</f>
        <v>16431.449146136885</v>
      </c>
      <c r="F23" s="112">
        <f>'2026年'!K25</f>
        <v>16195.410038259794</v>
      </c>
      <c r="G23" s="112">
        <f>'2027年'!K25</f>
        <v>16330.490771398459</v>
      </c>
      <c r="H23" s="112">
        <f>IF(H22&lt;0,0,H22*0.15)</f>
        <v>67195.997722363609</v>
      </c>
      <c r="I23" s="57"/>
      <c r="AJ23" s="107" t="s">
        <v>54</v>
      </c>
      <c r="AK23" s="107" t="s">
        <v>53</v>
      </c>
    </row>
    <row r="24" spans="1:38" ht="15.75" customHeight="1">
      <c r="A24" s="50">
        <v>19</v>
      </c>
      <c r="B24" s="107" t="s">
        <v>55</v>
      </c>
      <c r="C24" s="112">
        <f>C22-C23</f>
        <v>36425.173238852862</v>
      </c>
      <c r="D24" s="112">
        <f>'2024年'!K26</f>
        <v>66927.164105039396</v>
      </c>
      <c r="E24" s="112">
        <f>'2025年'!K26</f>
        <v>36681.885553676751</v>
      </c>
      <c r="F24" s="112">
        <f>'2026年'!K26</f>
        <v>41733.717712100362</v>
      </c>
      <c r="G24" s="112">
        <f>'2027年'!K26</f>
        <v>92539.447704591279</v>
      </c>
      <c r="H24" s="112">
        <f>H22-H23</f>
        <v>380777.32042672712</v>
      </c>
      <c r="I24" s="57"/>
      <c r="AJ24" s="107" t="s">
        <v>56</v>
      </c>
      <c r="AK24" s="107" t="s">
        <v>55</v>
      </c>
    </row>
    <row r="25" spans="1:38" ht="15.75" customHeight="1">
      <c r="A25" s="50">
        <v>20</v>
      </c>
      <c r="B25" s="107" t="s">
        <v>57</v>
      </c>
      <c r="C25" s="113">
        <f>(C24/C5)*100%</f>
        <v>6.4089108930474184E-3</v>
      </c>
      <c r="D25" s="113">
        <f>'2024年'!K27</f>
        <v>9.2483116044820759E-3</v>
      </c>
      <c r="E25" s="113">
        <f>'2025年'!K27</f>
        <v>4.2480223685649474E-3</v>
      </c>
      <c r="F25" s="113">
        <f>'2026年'!K27</f>
        <v>5.0242846133223013E-3</v>
      </c>
      <c r="G25" s="113">
        <f>'2027年'!K27</f>
        <v>1.15996926081403E-2</v>
      </c>
      <c r="H25" s="113">
        <f>(H24/H5)*100%</f>
        <v>1.0062982494355147E-2</v>
      </c>
      <c r="I25" s="57"/>
      <c r="AJ25" s="126" t="s">
        <v>58</v>
      </c>
      <c r="AK25" s="126" t="s">
        <v>59</v>
      </c>
    </row>
    <row r="26" spans="1:38" s="97" customFormat="1" ht="15.75" customHeight="1">
      <c r="C26" s="114"/>
      <c r="D26" s="114"/>
      <c r="E26" s="114"/>
      <c r="F26" s="114"/>
      <c r="G26" s="114"/>
      <c r="H26" s="114"/>
      <c r="I26" s="123"/>
    </row>
    <row r="27" spans="1:38" s="97" customFormat="1" ht="15.75" customHeight="1">
      <c r="A27" s="97" t="s">
        <v>60</v>
      </c>
      <c r="C27" s="115"/>
      <c r="D27" s="115"/>
      <c r="E27" s="115"/>
      <c r="F27" s="115"/>
      <c r="G27" s="115"/>
      <c r="H27" s="115"/>
      <c r="I27" s="123"/>
      <c r="AJ27" s="97" t="s">
        <v>60</v>
      </c>
    </row>
    <row r="28" spans="1:38" ht="15.75" customHeight="1">
      <c r="A28" s="107" t="s">
        <v>13</v>
      </c>
      <c r="B28" s="116" t="s">
        <v>1</v>
      </c>
      <c r="C28" s="100" t="s">
        <v>179</v>
      </c>
      <c r="D28" s="100" t="s">
        <v>180</v>
      </c>
      <c r="E28" s="100" t="s">
        <v>181</v>
      </c>
      <c r="F28" s="100" t="s">
        <v>225</v>
      </c>
      <c r="G28" s="100" t="s">
        <v>237</v>
      </c>
      <c r="H28" s="39" t="s">
        <v>14</v>
      </c>
      <c r="AL28" s="98" t="s">
        <v>15</v>
      </c>
    </row>
    <row r="29" spans="1:38" s="36" customFormat="1" ht="15.75" customHeight="1">
      <c r="A29" s="40" t="s">
        <v>61</v>
      </c>
      <c r="B29" s="43" t="s">
        <v>62</v>
      </c>
      <c r="C29" s="47"/>
      <c r="D29" s="47"/>
      <c r="E29" s="47"/>
      <c r="F29" s="47"/>
      <c r="G29" s="47"/>
      <c r="H29" s="47"/>
      <c r="I29" s="57"/>
      <c r="AJ29" s="40" t="s">
        <v>63</v>
      </c>
      <c r="AK29" s="43" t="s">
        <v>62</v>
      </c>
    </row>
    <row r="30" spans="1:38" s="36" customFormat="1" ht="15.75" customHeight="1">
      <c r="A30" s="40" t="s">
        <v>18</v>
      </c>
      <c r="B30" s="40" t="s">
        <v>64</v>
      </c>
      <c r="C30" s="42">
        <f>+C7/C4</f>
        <v>355.22</v>
      </c>
      <c r="D30" s="42">
        <f t="shared" ref="D30:G30" si="2">+D7/D4</f>
        <v>335.98917857142851</v>
      </c>
      <c r="E30" s="42">
        <f t="shared" si="2"/>
        <v>328.34777625000004</v>
      </c>
      <c r="F30" s="42">
        <f t="shared" si="2"/>
        <v>320.78602968749993</v>
      </c>
      <c r="G30" s="42">
        <f t="shared" si="2"/>
        <v>313.45200301885188</v>
      </c>
      <c r="H30" s="42">
        <f>+H7/H4</f>
        <v>328.95640310260177</v>
      </c>
      <c r="I30" s="57"/>
      <c r="AJ30" s="40" t="s">
        <v>18</v>
      </c>
      <c r="AK30" s="40" t="s">
        <v>64</v>
      </c>
    </row>
    <row r="31" spans="1:38" s="36" customFormat="1" ht="15.75" customHeight="1">
      <c r="A31" s="40" t="s">
        <v>20</v>
      </c>
      <c r="B31" s="40" t="s">
        <v>65</v>
      </c>
      <c r="C31" s="42">
        <f>+C8/C4</f>
        <v>272.20724999999999</v>
      </c>
      <c r="D31" s="42">
        <f t="shared" ref="D31:G31" si="3">+D8/D4</f>
        <v>254.46747857142856</v>
      </c>
      <c r="E31" s="42">
        <f t="shared" si="3"/>
        <v>246.10958775000003</v>
      </c>
      <c r="F31" s="42">
        <f t="shared" si="3"/>
        <v>238.25383664062494</v>
      </c>
      <c r="G31" s="42">
        <f t="shared" si="3"/>
        <v>230.49266884391983</v>
      </c>
      <c r="H31" s="42">
        <f>+H8/H4</f>
        <v>246.52565327096474</v>
      </c>
      <c r="I31" s="57"/>
      <c r="AJ31" s="40" t="s">
        <v>20</v>
      </c>
      <c r="AK31" s="40" t="s">
        <v>65</v>
      </c>
    </row>
    <row r="32" spans="1:38" s="36" customFormat="1" ht="15.75" customHeight="1">
      <c r="A32" s="40" t="s">
        <v>66</v>
      </c>
      <c r="B32" s="40" t="s">
        <v>67</v>
      </c>
      <c r="C32" s="47">
        <f t="shared" ref="C32:H32" si="4">C30-C31</f>
        <v>83.01275000000004</v>
      </c>
      <c r="D32" s="47">
        <f t="shared" ref="D32:G32" si="5">D30-D31</f>
        <v>81.521699999999953</v>
      </c>
      <c r="E32" s="47">
        <f t="shared" si="5"/>
        <v>82.238188500000007</v>
      </c>
      <c r="F32" s="47">
        <f t="shared" si="5"/>
        <v>82.532193046874994</v>
      </c>
      <c r="G32" s="47">
        <f t="shared" si="5"/>
        <v>82.959334174932053</v>
      </c>
      <c r="H32" s="47">
        <f t="shared" si="4"/>
        <v>82.43074983163703</v>
      </c>
      <c r="I32" s="57"/>
      <c r="AJ32" s="40" t="s">
        <v>66</v>
      </c>
      <c r="AK32" s="40" t="s">
        <v>67</v>
      </c>
    </row>
    <row r="33" spans="1:37" s="36" customFormat="1" ht="15.75" customHeight="1">
      <c r="A33" s="40">
        <v>3.1</v>
      </c>
      <c r="B33" s="40" t="s">
        <v>68</v>
      </c>
      <c r="C33" s="117">
        <f t="shared" ref="C33:H33" si="6">C32/C30</f>
        <v>0.23369390800067574</v>
      </c>
      <c r="D33" s="117">
        <f t="shared" ref="D33:G33" si="7">D32/D30</f>
        <v>0.24263192150002272</v>
      </c>
      <c r="E33" s="117">
        <f t="shared" si="7"/>
        <v>0.25046062269471514</v>
      </c>
      <c r="F33" s="117">
        <f t="shared" si="7"/>
        <v>0.2572811326206299</v>
      </c>
      <c r="G33" s="117">
        <f t="shared" si="7"/>
        <v>0.26466359562533293</v>
      </c>
      <c r="H33" s="117">
        <f t="shared" si="6"/>
        <v>0.25058259712891745</v>
      </c>
      <c r="I33" s="57"/>
      <c r="AJ33" s="40"/>
      <c r="AK33" s="40"/>
    </row>
    <row r="34" spans="1:37" s="36" customFormat="1" ht="15.75" customHeight="1">
      <c r="A34" s="40" t="s">
        <v>63</v>
      </c>
      <c r="B34" s="43" t="s">
        <v>7</v>
      </c>
      <c r="C34" s="47"/>
      <c r="D34" s="47"/>
      <c r="E34" s="47"/>
      <c r="F34" s="47"/>
      <c r="G34" s="47"/>
      <c r="H34" s="47"/>
      <c r="I34" s="57"/>
      <c r="AJ34" s="40" t="s">
        <v>69</v>
      </c>
      <c r="AK34" s="43" t="s">
        <v>7</v>
      </c>
    </row>
    <row r="35" spans="1:37" s="36" customFormat="1" ht="15.75" customHeight="1">
      <c r="A35" s="40" t="s">
        <v>18</v>
      </c>
      <c r="B35" s="48" t="s">
        <v>70</v>
      </c>
      <c r="C35" s="42">
        <f>+C9/C4</f>
        <v>20.652703976942515</v>
      </c>
      <c r="D35" s="42">
        <f t="shared" ref="D35:G35" si="8">+D9/D4</f>
        <v>20.035499977599418</v>
      </c>
      <c r="E35" s="42">
        <f t="shared" si="8"/>
        <v>20.081879564900341</v>
      </c>
      <c r="F35" s="42">
        <f t="shared" si="8"/>
        <v>20.122461703788652</v>
      </c>
      <c r="G35" s="42">
        <f t="shared" si="8"/>
        <v>20.166572724319423</v>
      </c>
      <c r="H35" s="42">
        <f>+H9/H4</f>
        <v>20.183541337921564</v>
      </c>
      <c r="I35" s="57"/>
      <c r="AJ35" s="40" t="s">
        <v>66</v>
      </c>
      <c r="AK35" s="40" t="s">
        <v>70</v>
      </c>
    </row>
    <row r="36" spans="1:37" s="36" customFormat="1" ht="15.75" customHeight="1">
      <c r="A36" s="40" t="s">
        <v>20</v>
      </c>
      <c r="B36" s="48" t="s">
        <v>71</v>
      </c>
      <c r="C36" s="42">
        <f>+C10/C4</f>
        <v>6.4182417348932006</v>
      </c>
      <c r="D36" s="42">
        <f t="shared" ref="D36:G36" si="9">+D10/D4</f>
        <v>6.2264332205238695</v>
      </c>
      <c r="E36" s="42">
        <f t="shared" si="9"/>
        <v>6.2408466069353663</v>
      </c>
      <c r="F36" s="42">
        <f t="shared" si="9"/>
        <v>6.2534583200454268</v>
      </c>
      <c r="G36" s="42">
        <f t="shared" si="9"/>
        <v>6.2671667038607097</v>
      </c>
      <c r="H36" s="42">
        <f>+H10/H4</f>
        <v>6.2724400406657175</v>
      </c>
      <c r="I36" s="57"/>
      <c r="AJ36" s="40" t="s">
        <v>23</v>
      </c>
      <c r="AK36" s="40" t="s">
        <v>71</v>
      </c>
    </row>
    <row r="37" spans="1:37" s="36" customFormat="1" ht="15.75" customHeight="1">
      <c r="A37" s="40" t="s">
        <v>66</v>
      </c>
      <c r="B37" s="48" t="s">
        <v>72</v>
      </c>
      <c r="C37" s="42">
        <f>+C11/C4</f>
        <v>11.72226</v>
      </c>
      <c r="D37" s="42">
        <f t="shared" ref="D37:G37" si="10">+D11/D4</f>
        <v>11.371941428571429</v>
      </c>
      <c r="E37" s="42">
        <f t="shared" si="10"/>
        <v>11.398265999999998</v>
      </c>
      <c r="F37" s="42">
        <f t="shared" si="10"/>
        <v>11.421299999999999</v>
      </c>
      <c r="G37" s="42">
        <f t="shared" si="10"/>
        <v>11.446336956521737</v>
      </c>
      <c r="H37" s="42">
        <f>+H11/H4</f>
        <v>11.455968165137614</v>
      </c>
      <c r="I37" s="57"/>
      <c r="AJ37" s="40" t="s">
        <v>29</v>
      </c>
      <c r="AK37" s="40" t="s">
        <v>72</v>
      </c>
    </row>
    <row r="38" spans="1:37" s="36" customFormat="1" ht="15.75" customHeight="1">
      <c r="A38" s="40" t="s">
        <v>73</v>
      </c>
      <c r="B38" s="106" t="s">
        <v>74</v>
      </c>
      <c r="C38" s="42"/>
      <c r="D38" s="42"/>
      <c r="E38" s="42"/>
      <c r="F38" s="42"/>
      <c r="G38" s="42"/>
      <c r="H38" s="42"/>
      <c r="I38" s="57"/>
      <c r="AJ38" s="40" t="s">
        <v>73</v>
      </c>
      <c r="AK38" s="43" t="s">
        <v>74</v>
      </c>
    </row>
    <row r="39" spans="1:37" s="36" customFormat="1">
      <c r="A39" s="40" t="s">
        <v>18</v>
      </c>
      <c r="B39" s="48" t="s">
        <v>254</v>
      </c>
      <c r="C39" s="42">
        <f>+C13/C4</f>
        <v>44.219544288164279</v>
      </c>
      <c r="D39" s="42">
        <f t="shared" ref="D39:G39" si="11">+D13/D4</f>
        <v>43.887825373305283</v>
      </c>
      <c r="E39" s="42">
        <f t="shared" si="11"/>
        <v>44.517196328164331</v>
      </c>
      <c r="F39" s="42">
        <f t="shared" si="11"/>
        <v>44.734973023040929</v>
      </c>
      <c r="G39" s="42">
        <f t="shared" si="11"/>
        <v>45.079257790230201</v>
      </c>
      <c r="H39" s="42">
        <f>+H13/H4</f>
        <v>44.518800287912107</v>
      </c>
      <c r="I39" s="57"/>
      <c r="AJ39" s="40" t="s">
        <v>18</v>
      </c>
      <c r="AK39" s="40" t="s">
        <v>75</v>
      </c>
    </row>
    <row r="40" spans="1:37" s="36" customFormat="1" ht="15.75" customHeight="1">
      <c r="A40" s="40" t="s">
        <v>20</v>
      </c>
      <c r="B40" s="48" t="s">
        <v>76</v>
      </c>
      <c r="C40" s="101">
        <f t="shared" ref="C40" si="12">+C21/C39</f>
        <v>15030.900347872746</v>
      </c>
      <c r="D40" s="101">
        <f t="shared" ref="D40:G40" si="13">+D21/D39</f>
        <v>19205.929789096637</v>
      </c>
      <c r="E40" s="101">
        <f t="shared" si="13"/>
        <v>22539.310573377785</v>
      </c>
      <c r="F40" s="101">
        <f t="shared" si="13"/>
        <v>21586.465511011815</v>
      </c>
      <c r="G40" s="101">
        <f t="shared" si="13"/>
        <v>20584.92167323162</v>
      </c>
      <c r="H40" s="162">
        <f t="shared" ref="H40" si="14">+H21/H39</f>
        <v>98937.435077945571</v>
      </c>
      <c r="I40" s="57"/>
      <c r="AJ40" s="40" t="s">
        <v>20</v>
      </c>
      <c r="AK40" s="40" t="s">
        <v>76</v>
      </c>
    </row>
    <row r="41" spans="1:37" s="36" customFormat="1" ht="15.75" hidden="1" customHeight="1">
      <c r="A41" s="40" t="s">
        <v>77</v>
      </c>
      <c r="B41" s="43" t="s">
        <v>78</v>
      </c>
      <c r="C41" s="47"/>
      <c r="D41" s="47"/>
      <c r="E41" s="47"/>
      <c r="F41" s="47"/>
      <c r="G41" s="47"/>
      <c r="H41" s="47"/>
      <c r="I41" s="57"/>
      <c r="AJ41" s="40" t="s">
        <v>77</v>
      </c>
      <c r="AK41" s="43" t="s">
        <v>78</v>
      </c>
    </row>
    <row r="42" spans="1:37" s="36" customFormat="1" ht="15.75" hidden="1" customHeight="1">
      <c r="A42" s="40" t="s">
        <v>18</v>
      </c>
      <c r="B42" s="40" t="s">
        <v>79</v>
      </c>
      <c r="C42" s="47">
        <f>+C15/C4</f>
        <v>15.9849</v>
      </c>
      <c r="D42" s="47">
        <f t="shared" ref="D42:G42" si="15">+D15/D4</f>
        <v>15.507192857142856</v>
      </c>
      <c r="E42" s="47"/>
      <c r="F42" s="47"/>
      <c r="G42" s="47">
        <f t="shared" si="15"/>
        <v>15.608641304347826</v>
      </c>
      <c r="H42" s="47">
        <f>+H15/H4</f>
        <v>15.621774770642201</v>
      </c>
      <c r="I42" s="57"/>
      <c r="AJ42" s="40" t="s">
        <v>18</v>
      </c>
      <c r="AK42" s="40" t="s">
        <v>79</v>
      </c>
    </row>
    <row r="43" spans="1:37" s="36" customFormat="1" ht="15.75" hidden="1" customHeight="1">
      <c r="A43" s="40" t="s">
        <v>20</v>
      </c>
      <c r="B43" s="40" t="s">
        <v>80</v>
      </c>
      <c r="C43" s="47">
        <f>+C17/C4</f>
        <v>2.8062380000000005</v>
      </c>
      <c r="D43" s="47">
        <f t="shared" ref="D43:G43" si="16">+D17/D4</f>
        <v>2.7223738571428577</v>
      </c>
      <c r="E43" s="47"/>
      <c r="F43" s="47"/>
      <c r="G43" s="47">
        <f t="shared" si="16"/>
        <v>2.740183695652175</v>
      </c>
      <c r="H43" s="47">
        <f>+H17/H4</f>
        <v>2.7424893486238542</v>
      </c>
      <c r="I43" s="57"/>
      <c r="AJ43" s="40" t="s">
        <v>20</v>
      </c>
      <c r="AK43" s="40" t="s">
        <v>80</v>
      </c>
    </row>
    <row r="44" spans="1:37" s="36" customFormat="1" ht="15.75" hidden="1" customHeight="1">
      <c r="A44" s="40" t="s">
        <v>66</v>
      </c>
      <c r="B44" s="40" t="s">
        <v>81</v>
      </c>
      <c r="C44" s="47">
        <f>+C18/C4</f>
        <v>14.408898726483921</v>
      </c>
      <c r="D44" s="47">
        <f t="shared" ref="D44:G44" si="17">+D18/D4</f>
        <v>13.978290224563574</v>
      </c>
      <c r="E44" s="47"/>
      <c r="F44" s="47"/>
      <c r="G44" s="47">
        <f t="shared" si="17"/>
        <v>14.069736552143695</v>
      </c>
      <c r="H44" s="47">
        <f>+H18/H4</f>
        <v>14.08157514892962</v>
      </c>
      <c r="I44" s="57"/>
      <c r="AJ44" s="40" t="s">
        <v>66</v>
      </c>
      <c r="AK44" s="40" t="s">
        <v>81</v>
      </c>
    </row>
    <row r="45" spans="1:37" s="36" customFormat="1" ht="15.75" hidden="1" customHeight="1">
      <c r="A45" s="40" t="s">
        <v>23</v>
      </c>
      <c r="B45" s="40" t="s">
        <v>82</v>
      </c>
      <c r="C45" s="47"/>
      <c r="D45" s="47"/>
      <c r="E45" s="47"/>
      <c r="F45" s="47"/>
      <c r="G45" s="47"/>
      <c r="H45" s="47"/>
      <c r="I45" s="57"/>
      <c r="AJ45" s="40" t="s">
        <v>23</v>
      </c>
      <c r="AK45" s="40" t="s">
        <v>83</v>
      </c>
    </row>
    <row r="46" spans="1:37" s="36" customFormat="1" ht="15.75" hidden="1" customHeight="1">
      <c r="A46" s="40" t="s">
        <v>26</v>
      </c>
      <c r="B46" s="40" t="s">
        <v>84</v>
      </c>
      <c r="C46" s="47"/>
      <c r="D46" s="47"/>
      <c r="E46" s="47"/>
      <c r="F46" s="47"/>
      <c r="G46" s="47"/>
      <c r="H46" s="47"/>
      <c r="I46" s="57"/>
      <c r="AJ46" s="40" t="s">
        <v>26</v>
      </c>
      <c r="AK46" s="40" t="s">
        <v>84</v>
      </c>
    </row>
    <row r="47" spans="1:37" s="36" customFormat="1" ht="15.75" hidden="1" customHeight="1">
      <c r="A47" s="40" t="s">
        <v>85</v>
      </c>
      <c r="B47" s="43" t="s">
        <v>86</v>
      </c>
      <c r="C47" s="47"/>
      <c r="D47" s="47"/>
      <c r="E47" s="47"/>
      <c r="F47" s="47"/>
      <c r="G47" s="47"/>
      <c r="H47" s="47"/>
      <c r="I47" s="57"/>
      <c r="AJ47" s="40" t="s">
        <v>85</v>
      </c>
      <c r="AK47" s="43" t="s">
        <v>86</v>
      </c>
    </row>
    <row r="48" spans="1:37" s="36" customFormat="1" ht="15.75" hidden="1" customHeight="1">
      <c r="A48" s="40" t="s">
        <v>18</v>
      </c>
      <c r="B48" s="40" t="s">
        <v>87</v>
      </c>
      <c r="C48" s="118">
        <f>+(C11+C17)/C7</f>
        <v>4.0899999999999999E-2</v>
      </c>
      <c r="D48" s="118">
        <f t="shared" ref="D48:G48" si="18">+(D11+D17)/D7</f>
        <v>4.1948717948717962E-2</v>
      </c>
      <c r="E48" s="118"/>
      <c r="F48" s="118"/>
      <c r="G48" s="118">
        <f t="shared" si="18"/>
        <v>4.5258988666665806E-2</v>
      </c>
      <c r="H48" s="118">
        <f>+(H11+H17)/H7</f>
        <v>4.3162125375419309E-2</v>
      </c>
      <c r="I48" s="57"/>
      <c r="AJ48" s="40" t="s">
        <v>18</v>
      </c>
      <c r="AK48" s="40" t="s">
        <v>87</v>
      </c>
    </row>
    <row r="49" spans="1:37" s="36" customFormat="1" ht="15.75" hidden="1" customHeight="1">
      <c r="A49" s="40" t="s">
        <v>20</v>
      </c>
      <c r="B49" s="40" t="s">
        <v>88</v>
      </c>
      <c r="C49" s="118">
        <f>+(C9+C10+C15)/C7</f>
        <v>0.12120895701772341</v>
      </c>
      <c r="D49" s="118">
        <f t="shared" ref="D49:G49" si="19">+(D9+D10+D15)/D7</f>
        <v>0.12431687899253688</v>
      </c>
      <c r="E49" s="118"/>
      <c r="F49" s="118"/>
      <c r="G49" s="118">
        <f t="shared" si="19"/>
        <v>0.13412701251744566</v>
      </c>
      <c r="H49" s="118">
        <f>+(H9+H10+H15)/H7</f>
        <v>0.12791286551155959</v>
      </c>
      <c r="I49" s="57"/>
      <c r="AJ49" s="40" t="s">
        <v>20</v>
      </c>
      <c r="AK49" s="40" t="s">
        <v>88</v>
      </c>
    </row>
    <row r="50" spans="1:37" s="36" customFormat="1" ht="15.75" hidden="1" customHeight="1">
      <c r="A50" s="40" t="s">
        <v>66</v>
      </c>
      <c r="B50" s="40" t="s">
        <v>89</v>
      </c>
      <c r="C50" s="118">
        <f>+C18/C7</f>
        <v>4.0563309291379766E-2</v>
      </c>
      <c r="D50" s="118">
        <f t="shared" ref="D50:G50" si="20">+D18/D7</f>
        <v>4.1603394145004899E-2</v>
      </c>
      <c r="E50" s="118"/>
      <c r="F50" s="118"/>
      <c r="G50" s="118">
        <f t="shared" si="20"/>
        <v>4.4886414559927063E-2</v>
      </c>
      <c r="H50" s="118">
        <f>+H18/H7</f>
        <v>4.2806812745145334E-2</v>
      </c>
      <c r="I50" s="57"/>
      <c r="AJ50" s="40" t="s">
        <v>66</v>
      </c>
      <c r="AK50" s="40" t="s">
        <v>89</v>
      </c>
    </row>
    <row r="51" spans="1:37" s="36" customFormat="1" ht="15.75" hidden="1" customHeight="1">
      <c r="A51" s="40" t="s">
        <v>23</v>
      </c>
      <c r="B51" s="40" t="s">
        <v>90</v>
      </c>
      <c r="C51" s="118">
        <f>+C19/C7</f>
        <v>2.1817465232813467E-3</v>
      </c>
      <c r="D51" s="118">
        <f t="shared" ref="D51:G51" si="21">+D19/D7</f>
        <v>1.7574262152930027E-3</v>
      </c>
      <c r="E51" s="118"/>
      <c r="F51" s="118"/>
      <c r="G51" s="118">
        <f t="shared" si="21"/>
        <v>1.7199776348220811E-3</v>
      </c>
      <c r="H51" s="118">
        <f>+H19/H7</f>
        <v>1.7291268207116487E-3</v>
      </c>
      <c r="I51" s="57"/>
      <c r="AJ51" s="40" t="s">
        <v>23</v>
      </c>
      <c r="AK51" s="40" t="s">
        <v>90</v>
      </c>
    </row>
    <row r="52" spans="1:37" s="36" customFormat="1" ht="15.75" hidden="1" customHeight="1">
      <c r="A52" s="40" t="s">
        <v>26</v>
      </c>
      <c r="B52" s="40" t="s">
        <v>91</v>
      </c>
      <c r="C52" s="118">
        <f>+C20/C7</f>
        <v>2.1299999999999999E-2</v>
      </c>
      <c r="D52" s="118">
        <f t="shared" ref="D52:G52" si="22">+D20/D7</f>
        <v>2.1846153846153848E-2</v>
      </c>
      <c r="E52" s="118"/>
      <c r="F52" s="118"/>
      <c r="G52" s="118">
        <f t="shared" si="22"/>
        <v>2.357008456234674E-2</v>
      </c>
      <c r="H52" s="118">
        <f>+H20/H7</f>
        <v>2.2478075073262375E-2</v>
      </c>
      <c r="I52" s="57"/>
      <c r="AJ52" s="40" t="s">
        <v>26</v>
      </c>
      <c r="AK52" s="40" t="s">
        <v>91</v>
      </c>
    </row>
    <row r="53" spans="1:37" s="36" customFormat="1" ht="15.75" hidden="1" customHeight="1">
      <c r="A53" s="40" t="s">
        <v>29</v>
      </c>
      <c r="B53" s="40" t="s">
        <v>92</v>
      </c>
      <c r="C53" s="118">
        <f>+C24/C7</f>
        <v>6.4089108930474184E-3</v>
      </c>
      <c r="D53" s="118">
        <f t="shared" ref="D53:G53" si="23">+D24/D7</f>
        <v>9.4854477994687977E-3</v>
      </c>
      <c r="E53" s="118"/>
      <c r="F53" s="118"/>
      <c r="G53" s="118">
        <f t="shared" si="23"/>
        <v>1.283595003150682E-2</v>
      </c>
      <c r="H53" s="118">
        <f>+H24/H7</f>
        <v>1.0619552862396247E-2</v>
      </c>
      <c r="I53" s="57"/>
      <c r="AJ53" s="40" t="s">
        <v>29</v>
      </c>
      <c r="AK53" s="40" t="s">
        <v>93</v>
      </c>
    </row>
    <row r="54" spans="1:37" s="36" customFormat="1" ht="15.75" hidden="1" customHeight="1">
      <c r="A54" s="40" t="s">
        <v>94</v>
      </c>
      <c r="B54" s="43" t="s">
        <v>95</v>
      </c>
      <c r="C54" s="47">
        <f>+C22/C4</f>
        <v>2.6783215616803573</v>
      </c>
      <c r="D54" s="47">
        <f t="shared" ref="D54:G54" si="24">+D22/D4</f>
        <v>3.7494209582655125</v>
      </c>
      <c r="E54" s="47"/>
      <c r="F54" s="47"/>
      <c r="G54" s="47">
        <f t="shared" si="24"/>
        <v>4.733475585912597</v>
      </c>
      <c r="H54" s="47">
        <f>+H22/H4</f>
        <v>4.1098469554962458</v>
      </c>
      <c r="I54" s="57"/>
      <c r="AJ54" s="40" t="s">
        <v>94</v>
      </c>
      <c r="AK54" s="43" t="s">
        <v>95</v>
      </c>
    </row>
    <row r="55" spans="1:37" s="36" customFormat="1" ht="15.75" hidden="1" customHeight="1">
      <c r="A55" s="40" t="s">
        <v>96</v>
      </c>
      <c r="B55" s="119" t="s">
        <v>97</v>
      </c>
      <c r="C55" s="47"/>
      <c r="D55" s="47"/>
      <c r="E55" s="47"/>
      <c r="F55" s="47"/>
      <c r="G55" s="47"/>
      <c r="H55" s="47"/>
      <c r="I55" s="57"/>
      <c r="AJ55" s="40"/>
      <c r="AK55" s="43"/>
    </row>
    <row r="56" spans="1:37" s="36" customFormat="1" ht="15.75" hidden="1" customHeight="1">
      <c r="A56" s="40" t="s">
        <v>18</v>
      </c>
      <c r="B56" s="40" t="s">
        <v>98</v>
      </c>
      <c r="C56" s="47">
        <f>C57+C58</f>
        <v>62000</v>
      </c>
      <c r="D56" s="47"/>
      <c r="E56" s="47"/>
      <c r="F56" s="47"/>
      <c r="G56" s="47"/>
      <c r="H56" s="47"/>
      <c r="I56" s="57"/>
    </row>
    <row r="57" spans="1:37" s="36" customFormat="1" ht="15.75" hidden="1" customHeight="1">
      <c r="A57" s="40">
        <v>1.1000000000000001</v>
      </c>
      <c r="B57" s="120" t="s">
        <v>99</v>
      </c>
      <c r="C57" s="47">
        <f>项目投资!B27</f>
        <v>62000</v>
      </c>
      <c r="D57" s="47"/>
      <c r="E57" s="47"/>
      <c r="F57" s="47"/>
      <c r="G57" s="47"/>
      <c r="H57" s="47"/>
      <c r="I57" s="57"/>
    </row>
    <row r="58" spans="1:37" s="36" customFormat="1" ht="15.75" hidden="1" customHeight="1">
      <c r="A58" s="40">
        <v>1.2</v>
      </c>
      <c r="B58" s="40" t="s">
        <v>100</v>
      </c>
      <c r="C58" s="47">
        <f>项目投资!B26</f>
        <v>0</v>
      </c>
      <c r="D58" s="47"/>
      <c r="E58" s="47"/>
      <c r="F58" s="47"/>
      <c r="G58" s="47"/>
      <c r="H58" s="47"/>
      <c r="I58" s="57"/>
    </row>
    <row r="59" spans="1:37" ht="15.75" hidden="1" customHeight="1">
      <c r="A59" s="107" t="s">
        <v>20</v>
      </c>
      <c r="B59" s="107" t="s">
        <v>101</v>
      </c>
      <c r="C59" s="121">
        <f t="shared" ref="C59:G59" si="25">C60+C61</f>
        <v>36425.173238852862</v>
      </c>
      <c r="D59" s="121">
        <f t="shared" si="25"/>
        <v>66927.164105039396</v>
      </c>
      <c r="E59" s="121"/>
      <c r="F59" s="121"/>
      <c r="G59" s="121">
        <f t="shared" si="25"/>
        <v>92539.447704591279</v>
      </c>
      <c r="H59" s="121">
        <f t="shared" ref="H59" si="26">H60+H61</f>
        <v>380777.32042672712</v>
      </c>
      <c r="I59" s="57"/>
    </row>
    <row r="60" spans="1:37" ht="15.75" hidden="1" customHeight="1">
      <c r="A60" s="107" t="s">
        <v>66</v>
      </c>
      <c r="B60" s="107" t="s">
        <v>102</v>
      </c>
      <c r="C60" s="121">
        <f t="shared" ref="C60:G60" si="27">C24</f>
        <v>36425.173238852862</v>
      </c>
      <c r="D60" s="121">
        <f t="shared" si="27"/>
        <v>66927.164105039396</v>
      </c>
      <c r="E60" s="121"/>
      <c r="F60" s="121"/>
      <c r="G60" s="121">
        <f t="shared" si="27"/>
        <v>92539.447704591279</v>
      </c>
      <c r="H60" s="121">
        <f t="shared" ref="H60" si="28">H24</f>
        <v>380777.32042672712</v>
      </c>
      <c r="I60" s="57"/>
    </row>
    <row r="61" spans="1:37" ht="15.75" hidden="1" customHeight="1">
      <c r="A61" s="107" t="s">
        <v>23</v>
      </c>
      <c r="B61" s="107" t="s">
        <v>103</v>
      </c>
      <c r="C61" s="121">
        <f>'2023年'!K18</f>
        <v>0</v>
      </c>
      <c r="D61" s="121">
        <f>'2024年'!K18</f>
        <v>0</v>
      </c>
      <c r="E61" s="121"/>
      <c r="F61" s="121"/>
      <c r="G61" s="121">
        <f>'2027年'!K18</f>
        <v>0</v>
      </c>
      <c r="H61" s="121">
        <f>项目投资!I26</f>
        <v>0</v>
      </c>
      <c r="I61" s="57"/>
    </row>
    <row r="62" spans="1:37" ht="15.75" hidden="1" customHeight="1">
      <c r="A62" s="107" t="s">
        <v>26</v>
      </c>
      <c r="B62" s="107" t="s">
        <v>104</v>
      </c>
      <c r="C62" s="122"/>
      <c r="D62" s="122"/>
      <c r="E62" s="122"/>
      <c r="F62" s="122"/>
      <c r="G62" s="122"/>
      <c r="H62" s="121"/>
      <c r="I62" s="57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1" customWidth="1"/>
    <col min="2" max="2" width="28.5" style="61" customWidth="1"/>
    <col min="3" max="4" width="9.125" style="61"/>
    <col min="5" max="5" width="13.875" style="61" customWidth="1"/>
    <col min="6" max="12" width="16.125" style="61" customWidth="1"/>
    <col min="13" max="13" width="10.625" style="61" customWidth="1"/>
    <col min="14" max="254" width="9.125" style="61"/>
    <col min="255" max="255" width="8" style="61" customWidth="1"/>
    <col min="256" max="256" width="28.5" style="61" customWidth="1"/>
    <col min="257" max="268" width="9.125" style="61"/>
    <col min="269" max="269" width="10.625" style="61" customWidth="1"/>
    <col min="270" max="510" width="9.125" style="61"/>
    <col min="511" max="511" width="8" style="61" customWidth="1"/>
    <col min="512" max="512" width="28.5" style="61" customWidth="1"/>
    <col min="513" max="524" width="9.125" style="61"/>
    <col min="525" max="525" width="10.625" style="61" customWidth="1"/>
    <col min="526" max="766" width="9.125" style="61"/>
    <col min="767" max="767" width="8" style="61" customWidth="1"/>
    <col min="768" max="768" width="28.5" style="61" customWidth="1"/>
    <col min="769" max="780" width="9.125" style="61"/>
    <col min="781" max="781" width="10.625" style="61" customWidth="1"/>
    <col min="782" max="1022" width="9.125" style="61"/>
    <col min="1023" max="1023" width="8" style="61" customWidth="1"/>
    <col min="1024" max="1024" width="28.5" style="61" customWidth="1"/>
    <col min="1025" max="1036" width="9.125" style="61"/>
    <col min="1037" max="1037" width="10.625" style="61" customWidth="1"/>
    <col min="1038" max="1278" width="9.125" style="61"/>
    <col min="1279" max="1279" width="8" style="61" customWidth="1"/>
    <col min="1280" max="1280" width="28.5" style="61" customWidth="1"/>
    <col min="1281" max="1292" width="9.125" style="61"/>
    <col min="1293" max="1293" width="10.625" style="61" customWidth="1"/>
    <col min="1294" max="1534" width="9.125" style="61"/>
    <col min="1535" max="1535" width="8" style="61" customWidth="1"/>
    <col min="1536" max="1536" width="28.5" style="61" customWidth="1"/>
    <col min="1537" max="1548" width="9.125" style="61"/>
    <col min="1549" max="1549" width="10.625" style="61" customWidth="1"/>
    <col min="1550" max="1790" width="9.125" style="61"/>
    <col min="1791" max="1791" width="8" style="61" customWidth="1"/>
    <col min="1792" max="1792" width="28.5" style="61" customWidth="1"/>
    <col min="1793" max="1804" width="9.125" style="61"/>
    <col min="1805" max="1805" width="10.625" style="61" customWidth="1"/>
    <col min="1806" max="2046" width="9.125" style="61"/>
    <col min="2047" max="2047" width="8" style="61" customWidth="1"/>
    <col min="2048" max="2048" width="28.5" style="61" customWidth="1"/>
    <col min="2049" max="2060" width="9.125" style="61"/>
    <col min="2061" max="2061" width="10.625" style="61" customWidth="1"/>
    <col min="2062" max="2302" width="9.125" style="61"/>
    <col min="2303" max="2303" width="8" style="61" customWidth="1"/>
    <col min="2304" max="2304" width="28.5" style="61" customWidth="1"/>
    <col min="2305" max="2316" width="9.125" style="61"/>
    <col min="2317" max="2317" width="10.625" style="61" customWidth="1"/>
    <col min="2318" max="2558" width="9.125" style="61"/>
    <col min="2559" max="2559" width="8" style="61" customWidth="1"/>
    <col min="2560" max="2560" width="28.5" style="61" customWidth="1"/>
    <col min="2561" max="2572" width="9.125" style="61"/>
    <col min="2573" max="2573" width="10.625" style="61" customWidth="1"/>
    <col min="2574" max="2814" width="9.125" style="61"/>
    <col min="2815" max="2815" width="8" style="61" customWidth="1"/>
    <col min="2816" max="2816" width="28.5" style="61" customWidth="1"/>
    <col min="2817" max="2828" width="9.125" style="61"/>
    <col min="2829" max="2829" width="10.625" style="61" customWidth="1"/>
    <col min="2830" max="3070" width="9.125" style="61"/>
    <col min="3071" max="3071" width="8" style="61" customWidth="1"/>
    <col min="3072" max="3072" width="28.5" style="61" customWidth="1"/>
    <col min="3073" max="3084" width="9.125" style="61"/>
    <col min="3085" max="3085" width="10.625" style="61" customWidth="1"/>
    <col min="3086" max="3326" width="9.125" style="61"/>
    <col min="3327" max="3327" width="8" style="61" customWidth="1"/>
    <col min="3328" max="3328" width="28.5" style="61" customWidth="1"/>
    <col min="3329" max="3340" width="9.125" style="61"/>
    <col min="3341" max="3341" width="10.625" style="61" customWidth="1"/>
    <col min="3342" max="3582" width="9.125" style="61"/>
    <col min="3583" max="3583" width="8" style="61" customWidth="1"/>
    <col min="3584" max="3584" width="28.5" style="61" customWidth="1"/>
    <col min="3585" max="3596" width="9.125" style="61"/>
    <col min="3597" max="3597" width="10.625" style="61" customWidth="1"/>
    <col min="3598" max="3838" width="9.125" style="61"/>
    <col min="3839" max="3839" width="8" style="61" customWidth="1"/>
    <col min="3840" max="3840" width="28.5" style="61" customWidth="1"/>
    <col min="3841" max="3852" width="9.125" style="61"/>
    <col min="3853" max="3853" width="10.625" style="61" customWidth="1"/>
    <col min="3854" max="4094" width="9.125" style="61"/>
    <col min="4095" max="4095" width="8" style="61" customWidth="1"/>
    <col min="4096" max="4096" width="28.5" style="61" customWidth="1"/>
    <col min="4097" max="4108" width="9.125" style="61"/>
    <col min="4109" max="4109" width="10.625" style="61" customWidth="1"/>
    <col min="4110" max="4350" width="9.125" style="61"/>
    <col min="4351" max="4351" width="8" style="61" customWidth="1"/>
    <col min="4352" max="4352" width="28.5" style="61" customWidth="1"/>
    <col min="4353" max="4364" width="9.125" style="61"/>
    <col min="4365" max="4365" width="10.625" style="61" customWidth="1"/>
    <col min="4366" max="4606" width="9.125" style="61"/>
    <col min="4607" max="4607" width="8" style="61" customWidth="1"/>
    <col min="4608" max="4608" width="28.5" style="61" customWidth="1"/>
    <col min="4609" max="4620" width="9.125" style="61"/>
    <col min="4621" max="4621" width="10.625" style="61" customWidth="1"/>
    <col min="4622" max="4862" width="9.125" style="61"/>
    <col min="4863" max="4863" width="8" style="61" customWidth="1"/>
    <col min="4864" max="4864" width="28.5" style="61" customWidth="1"/>
    <col min="4865" max="4876" width="9.125" style="61"/>
    <col min="4877" max="4877" width="10.625" style="61" customWidth="1"/>
    <col min="4878" max="5118" width="9.125" style="61"/>
    <col min="5119" max="5119" width="8" style="61" customWidth="1"/>
    <col min="5120" max="5120" width="28.5" style="61" customWidth="1"/>
    <col min="5121" max="5132" width="9.125" style="61"/>
    <col min="5133" max="5133" width="10.625" style="61" customWidth="1"/>
    <col min="5134" max="5374" width="9.125" style="61"/>
    <col min="5375" max="5375" width="8" style="61" customWidth="1"/>
    <col min="5376" max="5376" width="28.5" style="61" customWidth="1"/>
    <col min="5377" max="5388" width="9.125" style="61"/>
    <col min="5389" max="5389" width="10.625" style="61" customWidth="1"/>
    <col min="5390" max="5630" width="9.125" style="61"/>
    <col min="5631" max="5631" width="8" style="61" customWidth="1"/>
    <col min="5632" max="5632" width="28.5" style="61" customWidth="1"/>
    <col min="5633" max="5644" width="9.125" style="61"/>
    <col min="5645" max="5645" width="10.625" style="61" customWidth="1"/>
    <col min="5646" max="5886" width="9.125" style="61"/>
    <col min="5887" max="5887" width="8" style="61" customWidth="1"/>
    <col min="5888" max="5888" width="28.5" style="61" customWidth="1"/>
    <col min="5889" max="5900" width="9.125" style="61"/>
    <col min="5901" max="5901" width="10.625" style="61" customWidth="1"/>
    <col min="5902" max="6142" width="9.125" style="61"/>
    <col min="6143" max="6143" width="8" style="61" customWidth="1"/>
    <col min="6144" max="6144" width="28.5" style="61" customWidth="1"/>
    <col min="6145" max="6156" width="9.125" style="61"/>
    <col min="6157" max="6157" width="10.625" style="61" customWidth="1"/>
    <col min="6158" max="6398" width="9.125" style="61"/>
    <col min="6399" max="6399" width="8" style="61" customWidth="1"/>
    <col min="6400" max="6400" width="28.5" style="61" customWidth="1"/>
    <col min="6401" max="6412" width="9.125" style="61"/>
    <col min="6413" max="6413" width="10.625" style="61" customWidth="1"/>
    <col min="6414" max="6654" width="9.125" style="61"/>
    <col min="6655" max="6655" width="8" style="61" customWidth="1"/>
    <col min="6656" max="6656" width="28.5" style="61" customWidth="1"/>
    <col min="6657" max="6668" width="9.125" style="61"/>
    <col min="6669" max="6669" width="10.625" style="61" customWidth="1"/>
    <col min="6670" max="6910" width="9.125" style="61"/>
    <col min="6911" max="6911" width="8" style="61" customWidth="1"/>
    <col min="6912" max="6912" width="28.5" style="61" customWidth="1"/>
    <col min="6913" max="6924" width="9.125" style="61"/>
    <col min="6925" max="6925" width="10.625" style="61" customWidth="1"/>
    <col min="6926" max="7166" width="9.125" style="61"/>
    <col min="7167" max="7167" width="8" style="61" customWidth="1"/>
    <col min="7168" max="7168" width="28.5" style="61" customWidth="1"/>
    <col min="7169" max="7180" width="9.125" style="61"/>
    <col min="7181" max="7181" width="10.625" style="61" customWidth="1"/>
    <col min="7182" max="7422" width="9.125" style="61"/>
    <col min="7423" max="7423" width="8" style="61" customWidth="1"/>
    <col min="7424" max="7424" width="28.5" style="61" customWidth="1"/>
    <col min="7425" max="7436" width="9.125" style="61"/>
    <col min="7437" max="7437" width="10.625" style="61" customWidth="1"/>
    <col min="7438" max="7678" width="9.125" style="61"/>
    <col min="7679" max="7679" width="8" style="61" customWidth="1"/>
    <col min="7680" max="7680" width="28.5" style="61" customWidth="1"/>
    <col min="7681" max="7692" width="9.125" style="61"/>
    <col min="7693" max="7693" width="10.625" style="61" customWidth="1"/>
    <col min="7694" max="7934" width="9.125" style="61"/>
    <col min="7935" max="7935" width="8" style="61" customWidth="1"/>
    <col min="7936" max="7936" width="28.5" style="61" customWidth="1"/>
    <col min="7937" max="7948" width="9.125" style="61"/>
    <col min="7949" max="7949" width="10.625" style="61" customWidth="1"/>
    <col min="7950" max="8190" width="9.125" style="61"/>
    <col min="8191" max="8191" width="8" style="61" customWidth="1"/>
    <col min="8192" max="8192" width="28.5" style="61" customWidth="1"/>
    <col min="8193" max="8204" width="9.125" style="61"/>
    <col min="8205" max="8205" width="10.625" style="61" customWidth="1"/>
    <col min="8206" max="8446" width="9.125" style="61"/>
    <col min="8447" max="8447" width="8" style="61" customWidth="1"/>
    <col min="8448" max="8448" width="28.5" style="61" customWidth="1"/>
    <col min="8449" max="8460" width="9.125" style="61"/>
    <col min="8461" max="8461" width="10.625" style="61" customWidth="1"/>
    <col min="8462" max="8702" width="9.125" style="61"/>
    <col min="8703" max="8703" width="8" style="61" customWidth="1"/>
    <col min="8704" max="8704" width="28.5" style="61" customWidth="1"/>
    <col min="8705" max="8716" width="9.125" style="61"/>
    <col min="8717" max="8717" width="10.625" style="61" customWidth="1"/>
    <col min="8718" max="8958" width="9.125" style="61"/>
    <col min="8959" max="8959" width="8" style="61" customWidth="1"/>
    <col min="8960" max="8960" width="28.5" style="61" customWidth="1"/>
    <col min="8961" max="8972" width="9.125" style="61"/>
    <col min="8973" max="8973" width="10.625" style="61" customWidth="1"/>
    <col min="8974" max="9214" width="9.125" style="61"/>
    <col min="9215" max="9215" width="8" style="61" customWidth="1"/>
    <col min="9216" max="9216" width="28.5" style="61" customWidth="1"/>
    <col min="9217" max="9228" width="9.125" style="61"/>
    <col min="9229" max="9229" width="10.625" style="61" customWidth="1"/>
    <col min="9230" max="9470" width="9.125" style="61"/>
    <col min="9471" max="9471" width="8" style="61" customWidth="1"/>
    <col min="9472" max="9472" width="28.5" style="61" customWidth="1"/>
    <col min="9473" max="9484" width="9.125" style="61"/>
    <col min="9485" max="9485" width="10.625" style="61" customWidth="1"/>
    <col min="9486" max="9726" width="9.125" style="61"/>
    <col min="9727" max="9727" width="8" style="61" customWidth="1"/>
    <col min="9728" max="9728" width="28.5" style="61" customWidth="1"/>
    <col min="9729" max="9740" width="9.125" style="61"/>
    <col min="9741" max="9741" width="10.625" style="61" customWidth="1"/>
    <col min="9742" max="9982" width="9.125" style="61"/>
    <col min="9983" max="9983" width="8" style="61" customWidth="1"/>
    <col min="9984" max="9984" width="28.5" style="61" customWidth="1"/>
    <col min="9985" max="9996" width="9.125" style="61"/>
    <col min="9997" max="9997" width="10.625" style="61" customWidth="1"/>
    <col min="9998" max="10238" width="9.125" style="61"/>
    <col min="10239" max="10239" width="8" style="61" customWidth="1"/>
    <col min="10240" max="10240" width="28.5" style="61" customWidth="1"/>
    <col min="10241" max="10252" width="9.125" style="61"/>
    <col min="10253" max="10253" width="10.625" style="61" customWidth="1"/>
    <col min="10254" max="10494" width="9.125" style="61"/>
    <col min="10495" max="10495" width="8" style="61" customWidth="1"/>
    <col min="10496" max="10496" width="28.5" style="61" customWidth="1"/>
    <col min="10497" max="10508" width="9.125" style="61"/>
    <col min="10509" max="10509" width="10.625" style="61" customWidth="1"/>
    <col min="10510" max="10750" width="9.125" style="61"/>
    <col min="10751" max="10751" width="8" style="61" customWidth="1"/>
    <col min="10752" max="10752" width="28.5" style="61" customWidth="1"/>
    <col min="10753" max="10764" width="9.125" style="61"/>
    <col min="10765" max="10765" width="10.625" style="61" customWidth="1"/>
    <col min="10766" max="11006" width="9.125" style="61"/>
    <col min="11007" max="11007" width="8" style="61" customWidth="1"/>
    <col min="11008" max="11008" width="28.5" style="61" customWidth="1"/>
    <col min="11009" max="11020" width="9.125" style="61"/>
    <col min="11021" max="11021" width="10.625" style="61" customWidth="1"/>
    <col min="11022" max="11262" width="9.125" style="61"/>
    <col min="11263" max="11263" width="8" style="61" customWidth="1"/>
    <col min="11264" max="11264" width="28.5" style="61" customWidth="1"/>
    <col min="11265" max="11276" width="9.125" style="61"/>
    <col min="11277" max="11277" width="10.625" style="61" customWidth="1"/>
    <col min="11278" max="11518" width="9.125" style="61"/>
    <col min="11519" max="11519" width="8" style="61" customWidth="1"/>
    <col min="11520" max="11520" width="28.5" style="61" customWidth="1"/>
    <col min="11521" max="11532" width="9.125" style="61"/>
    <col min="11533" max="11533" width="10.625" style="61" customWidth="1"/>
    <col min="11534" max="11774" width="9.125" style="61"/>
    <col min="11775" max="11775" width="8" style="61" customWidth="1"/>
    <col min="11776" max="11776" width="28.5" style="61" customWidth="1"/>
    <col min="11777" max="11788" width="9.125" style="61"/>
    <col min="11789" max="11789" width="10.625" style="61" customWidth="1"/>
    <col min="11790" max="12030" width="9.125" style="61"/>
    <col min="12031" max="12031" width="8" style="61" customWidth="1"/>
    <col min="12032" max="12032" width="28.5" style="61" customWidth="1"/>
    <col min="12033" max="12044" width="9.125" style="61"/>
    <col min="12045" max="12045" width="10.625" style="61" customWidth="1"/>
    <col min="12046" max="12286" width="9.125" style="61"/>
    <col min="12287" max="12287" width="8" style="61" customWidth="1"/>
    <col min="12288" max="12288" width="28.5" style="61" customWidth="1"/>
    <col min="12289" max="12300" width="9.125" style="61"/>
    <col min="12301" max="12301" width="10.625" style="61" customWidth="1"/>
    <col min="12302" max="12542" width="9.125" style="61"/>
    <col min="12543" max="12543" width="8" style="61" customWidth="1"/>
    <col min="12544" max="12544" width="28.5" style="61" customWidth="1"/>
    <col min="12545" max="12556" width="9.125" style="61"/>
    <col min="12557" max="12557" width="10.625" style="61" customWidth="1"/>
    <col min="12558" max="12798" width="9.125" style="61"/>
    <col min="12799" max="12799" width="8" style="61" customWidth="1"/>
    <col min="12800" max="12800" width="28.5" style="61" customWidth="1"/>
    <col min="12801" max="12812" width="9.125" style="61"/>
    <col min="12813" max="12813" width="10.625" style="61" customWidth="1"/>
    <col min="12814" max="13054" width="9.125" style="61"/>
    <col min="13055" max="13055" width="8" style="61" customWidth="1"/>
    <col min="13056" max="13056" width="28.5" style="61" customWidth="1"/>
    <col min="13057" max="13068" width="9.125" style="61"/>
    <col min="13069" max="13069" width="10.625" style="61" customWidth="1"/>
    <col min="13070" max="13310" width="9.125" style="61"/>
    <col min="13311" max="13311" width="8" style="61" customWidth="1"/>
    <col min="13312" max="13312" width="28.5" style="61" customWidth="1"/>
    <col min="13313" max="13324" width="9.125" style="61"/>
    <col min="13325" max="13325" width="10.625" style="61" customWidth="1"/>
    <col min="13326" max="13566" width="9.125" style="61"/>
    <col min="13567" max="13567" width="8" style="61" customWidth="1"/>
    <col min="13568" max="13568" width="28.5" style="61" customWidth="1"/>
    <col min="13569" max="13580" width="9.125" style="61"/>
    <col min="13581" max="13581" width="10.625" style="61" customWidth="1"/>
    <col min="13582" max="13822" width="9.125" style="61"/>
    <col min="13823" max="13823" width="8" style="61" customWidth="1"/>
    <col min="13824" max="13824" width="28.5" style="61" customWidth="1"/>
    <col min="13825" max="13836" width="9.125" style="61"/>
    <col min="13837" max="13837" width="10.625" style="61" customWidth="1"/>
    <col min="13838" max="14078" width="9.125" style="61"/>
    <col min="14079" max="14079" width="8" style="61" customWidth="1"/>
    <col min="14080" max="14080" width="28.5" style="61" customWidth="1"/>
    <col min="14081" max="14092" width="9.125" style="61"/>
    <col min="14093" max="14093" width="10.625" style="61" customWidth="1"/>
    <col min="14094" max="14334" width="9.125" style="61"/>
    <col min="14335" max="14335" width="8" style="61" customWidth="1"/>
    <col min="14336" max="14336" width="28.5" style="61" customWidth="1"/>
    <col min="14337" max="14348" width="9.125" style="61"/>
    <col min="14349" max="14349" width="10.625" style="61" customWidth="1"/>
    <col min="14350" max="14590" width="9.125" style="61"/>
    <col min="14591" max="14591" width="8" style="61" customWidth="1"/>
    <col min="14592" max="14592" width="28.5" style="61" customWidth="1"/>
    <col min="14593" max="14604" width="9.125" style="61"/>
    <col min="14605" max="14605" width="10.625" style="61" customWidth="1"/>
    <col min="14606" max="14846" width="9.125" style="61"/>
    <col min="14847" max="14847" width="8" style="61" customWidth="1"/>
    <col min="14848" max="14848" width="28.5" style="61" customWidth="1"/>
    <col min="14849" max="14860" width="9.125" style="61"/>
    <col min="14861" max="14861" width="10.625" style="61" customWidth="1"/>
    <col min="14862" max="15102" width="9.125" style="61"/>
    <col min="15103" max="15103" width="8" style="61" customWidth="1"/>
    <col min="15104" max="15104" width="28.5" style="61" customWidth="1"/>
    <col min="15105" max="15116" width="9.125" style="61"/>
    <col min="15117" max="15117" width="10.625" style="61" customWidth="1"/>
    <col min="15118" max="15358" width="9.125" style="61"/>
    <col min="15359" max="15359" width="8" style="61" customWidth="1"/>
    <col min="15360" max="15360" width="28.5" style="61" customWidth="1"/>
    <col min="15361" max="15372" width="9.125" style="61"/>
    <col min="15373" max="15373" width="10.625" style="61" customWidth="1"/>
    <col min="15374" max="15614" width="9.125" style="61"/>
    <col min="15615" max="15615" width="8" style="61" customWidth="1"/>
    <col min="15616" max="15616" width="28.5" style="61" customWidth="1"/>
    <col min="15617" max="15628" width="9.125" style="61"/>
    <col min="15629" max="15629" width="10.625" style="61" customWidth="1"/>
    <col min="15630" max="15870" width="9.125" style="61"/>
    <col min="15871" max="15871" width="8" style="61" customWidth="1"/>
    <col min="15872" max="15872" width="28.5" style="61" customWidth="1"/>
    <col min="15873" max="15884" width="9.125" style="61"/>
    <col min="15885" max="15885" width="10.625" style="61" customWidth="1"/>
    <col min="15886" max="16126" width="9.125" style="61"/>
    <col min="16127" max="16127" width="8" style="61" customWidth="1"/>
    <col min="16128" max="16128" width="28.5" style="61" customWidth="1"/>
    <col min="16129" max="16140" width="9.125" style="61"/>
    <col min="16141" max="16141" width="10.625" style="61" customWidth="1"/>
    <col min="16142" max="16384" width="9.125" style="61"/>
  </cols>
  <sheetData>
    <row r="1" spans="1:13" ht="18.75">
      <c r="A1" s="62" t="s">
        <v>105</v>
      </c>
      <c r="B1" s="63"/>
      <c r="C1" s="64"/>
      <c r="D1" s="64"/>
      <c r="E1" s="63"/>
      <c r="F1" s="64"/>
      <c r="G1" s="64"/>
      <c r="H1" s="63"/>
      <c r="I1" s="64"/>
      <c r="J1" s="64"/>
      <c r="K1" s="64"/>
      <c r="L1" s="64"/>
      <c r="M1" s="64"/>
    </row>
    <row r="2" spans="1:13" ht="12">
      <c r="A2" s="61" t="s">
        <v>106</v>
      </c>
      <c r="B2" s="65"/>
    </row>
    <row r="3" spans="1:13" ht="16.899999999999999" customHeight="1">
      <c r="A3" s="66" t="s">
        <v>13</v>
      </c>
      <c r="B3" s="66" t="s">
        <v>107</v>
      </c>
      <c r="C3" s="252" t="s">
        <v>108</v>
      </c>
      <c r="D3" s="252"/>
      <c r="E3" s="252"/>
      <c r="F3" s="68"/>
      <c r="G3" s="69"/>
      <c r="H3" s="70"/>
      <c r="I3" s="70"/>
      <c r="J3" s="70" t="s">
        <v>109</v>
      </c>
      <c r="K3" s="70"/>
      <c r="L3" s="70"/>
      <c r="M3" s="91"/>
    </row>
    <row r="4" spans="1:13" ht="16.149999999999999" customHeight="1">
      <c r="A4" s="71"/>
      <c r="B4" s="71" t="s">
        <v>110</v>
      </c>
      <c r="C4" s="67">
        <v>2017</v>
      </c>
      <c r="D4" s="67">
        <f t="shared" ref="D4:L4" si="0">C4+1</f>
        <v>2018</v>
      </c>
      <c r="E4" s="67">
        <f t="shared" si="0"/>
        <v>2019</v>
      </c>
      <c r="F4" s="67">
        <f t="shared" si="0"/>
        <v>2020</v>
      </c>
      <c r="G4" s="67">
        <f t="shared" si="0"/>
        <v>2021</v>
      </c>
      <c r="H4" s="72">
        <f t="shared" si="0"/>
        <v>2022</v>
      </c>
      <c r="I4" s="72">
        <f t="shared" si="0"/>
        <v>2023</v>
      </c>
      <c r="J4" s="72">
        <f t="shared" si="0"/>
        <v>2024</v>
      </c>
      <c r="K4" s="72">
        <f t="shared" si="0"/>
        <v>2025</v>
      </c>
      <c r="L4" s="72">
        <f t="shared" si="0"/>
        <v>2026</v>
      </c>
      <c r="M4" s="92" t="s">
        <v>111</v>
      </c>
    </row>
    <row r="5" spans="1:13" ht="15.6" customHeight="1">
      <c r="A5" s="73">
        <v>1</v>
      </c>
      <c r="B5" s="74" t="s">
        <v>112</v>
      </c>
      <c r="C5" s="75">
        <f>SUM(C6:C9)</f>
        <v>0</v>
      </c>
      <c r="D5" s="75">
        <f t="shared" ref="D5:L5" si="1">SUM(D6:D9)</f>
        <v>0</v>
      </c>
      <c r="E5" s="75" t="e">
        <f t="shared" si="1"/>
        <v>#REF!</v>
      </c>
      <c r="F5" s="75">
        <f t="shared" si="1"/>
        <v>5683520</v>
      </c>
      <c r="G5" s="75">
        <f t="shared" si="1"/>
        <v>7236690</v>
      </c>
      <c r="H5" s="75">
        <f t="shared" si="1"/>
        <v>7977750</v>
      </c>
      <c r="I5" s="75" t="e">
        <f t="shared" si="1"/>
        <v>#REF!</v>
      </c>
      <c r="J5" s="75" t="e">
        <f t="shared" si="1"/>
        <v>#REF!</v>
      </c>
      <c r="K5" s="75" t="e">
        <f t="shared" si="1"/>
        <v>#REF!</v>
      </c>
      <c r="L5" s="75">
        <f t="shared" si="1"/>
        <v>37839410</v>
      </c>
      <c r="M5" s="79" t="e">
        <f t="shared" ref="M5:M17" si="2">SUM(C5:L5)</f>
        <v>#REF!</v>
      </c>
    </row>
    <row r="6" spans="1:13" ht="15.6" customHeight="1">
      <c r="A6" s="73">
        <v>1.1000000000000001</v>
      </c>
      <c r="B6" s="76" t="s">
        <v>113</v>
      </c>
      <c r="C6" s="77"/>
      <c r="D6" s="77"/>
      <c r="E6" s="77" t="e">
        <f>损益表!#REF!</f>
        <v>#REF!</v>
      </c>
      <c r="F6" s="77">
        <f>损益表!C5</f>
        <v>5683520</v>
      </c>
      <c r="G6" s="77">
        <f>损益表!D5</f>
        <v>7236690</v>
      </c>
      <c r="H6" s="77">
        <f>损益表!G5</f>
        <v>7977750</v>
      </c>
      <c r="I6" s="77" t="e">
        <f>损益表!#REF!</f>
        <v>#REF!</v>
      </c>
      <c r="J6" s="77" t="e">
        <f>损益表!#REF!</f>
        <v>#REF!</v>
      </c>
      <c r="K6" s="77" t="e">
        <f>损益表!#REF!</f>
        <v>#REF!</v>
      </c>
      <c r="L6" s="77">
        <f>损益表!H5</f>
        <v>37839410</v>
      </c>
      <c r="M6" s="79" t="e">
        <f t="shared" si="2"/>
        <v>#REF!</v>
      </c>
    </row>
    <row r="7" spans="1:13" ht="15.6" customHeight="1">
      <c r="A7" s="73">
        <v>1.2</v>
      </c>
      <c r="B7" s="76" t="s">
        <v>114</v>
      </c>
      <c r="C7" s="77"/>
      <c r="D7" s="77"/>
      <c r="E7" s="77">
        <f>[1]折、摊!G18</f>
        <v>0</v>
      </c>
      <c r="F7" s="77">
        <f>[1]折、摊!H18</f>
        <v>0</v>
      </c>
      <c r="G7" s="77">
        <f>[1]折、摊!I18</f>
        <v>0</v>
      </c>
      <c r="H7" s="77">
        <f>[1]折、摊!J18</f>
        <v>0</v>
      </c>
      <c r="I7" s="77">
        <f>[1]折、摊!K18</f>
        <v>0</v>
      </c>
      <c r="J7" s="77">
        <f>[1]折、摊!L18</f>
        <v>0</v>
      </c>
      <c r="K7" s="77">
        <f>[1]折、摊!M18</f>
        <v>0</v>
      </c>
      <c r="L7" s="77">
        <f>[1]折、摊!N18</f>
        <v>0</v>
      </c>
      <c r="M7" s="79">
        <f t="shared" si="2"/>
        <v>0</v>
      </c>
    </row>
    <row r="8" spans="1:13" ht="15.6" customHeight="1">
      <c r="A8" s="73">
        <v>1.3</v>
      </c>
      <c r="B8" s="76" t="s">
        <v>115</v>
      </c>
      <c r="C8" s="77" t="s">
        <v>116</v>
      </c>
      <c r="D8" s="77" t="s">
        <v>116</v>
      </c>
      <c r="E8" s="77" t="s">
        <v>116</v>
      </c>
      <c r="F8" s="77" t="s">
        <v>116</v>
      </c>
      <c r="G8" s="77" t="s">
        <v>116</v>
      </c>
      <c r="H8" s="77" t="s">
        <v>116</v>
      </c>
      <c r="I8" s="77" t="s">
        <v>116</v>
      </c>
      <c r="J8" s="77" t="s">
        <v>116</v>
      </c>
      <c r="K8" s="77" t="s">
        <v>116</v>
      </c>
      <c r="L8" s="77"/>
      <c r="M8" s="79">
        <f t="shared" si="2"/>
        <v>0</v>
      </c>
    </row>
    <row r="9" spans="1:13" s="60" customFormat="1" ht="15.6" customHeight="1">
      <c r="A9" s="78">
        <v>1.4</v>
      </c>
      <c r="B9" s="79" t="s">
        <v>117</v>
      </c>
      <c r="C9" s="77" t="s">
        <v>116</v>
      </c>
      <c r="D9" s="77" t="s">
        <v>116</v>
      </c>
      <c r="E9" s="77" t="s">
        <v>116</v>
      </c>
      <c r="F9" s="77" t="s">
        <v>116</v>
      </c>
      <c r="G9" s="77" t="s">
        <v>116</v>
      </c>
      <c r="H9" s="77" t="s">
        <v>116</v>
      </c>
      <c r="I9" s="77" t="s">
        <v>116</v>
      </c>
      <c r="J9" s="77" t="s">
        <v>116</v>
      </c>
      <c r="K9" s="77" t="s">
        <v>116</v>
      </c>
      <c r="L9" s="77" t="s">
        <v>116</v>
      </c>
      <c r="M9" s="79">
        <f t="shared" si="2"/>
        <v>0</v>
      </c>
    </row>
    <row r="10" spans="1:13" ht="15.6" customHeight="1">
      <c r="A10" s="78">
        <v>2</v>
      </c>
      <c r="B10" s="74" t="s">
        <v>118</v>
      </c>
      <c r="C10" s="75">
        <f t="shared" ref="C10:L10" si="3">SUM(C11:C16)</f>
        <v>0</v>
      </c>
      <c r="D10" s="75">
        <f t="shared" si="3"/>
        <v>0</v>
      </c>
      <c r="E10" s="75">
        <f t="shared" si="3"/>
        <v>0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3"/>
        <v>0</v>
      </c>
      <c r="L10" s="75">
        <f t="shared" si="3"/>
        <v>0</v>
      </c>
      <c r="M10" s="79">
        <f t="shared" si="2"/>
        <v>0</v>
      </c>
    </row>
    <row r="11" spans="1:13" ht="15" customHeight="1">
      <c r="A11" s="73">
        <v>2.1</v>
      </c>
      <c r="B11" s="73" t="s">
        <v>119</v>
      </c>
      <c r="C11" s="77">
        <f>([1]计划!C6-[1]计划!C7)</f>
        <v>0</v>
      </c>
      <c r="D11" s="77">
        <f>([1]计划!D6-[1]计划!D7)</f>
        <v>0</v>
      </c>
      <c r="E11" s="77">
        <f>([1]计划!E6-[1]计划!E7)</f>
        <v>0</v>
      </c>
      <c r="F11" s="77">
        <f>([1]计划!F6-[1]计划!F7)</f>
        <v>0</v>
      </c>
      <c r="G11" s="77">
        <f>([1]计划!G6-[1]计划!G7)</f>
        <v>0</v>
      </c>
      <c r="H11" s="77">
        <f>([1]计划!H6-[1]计划!H7)</f>
        <v>0</v>
      </c>
      <c r="I11" s="77">
        <f>([1]计划!I6-[1]计划!I7)</f>
        <v>0</v>
      </c>
      <c r="J11" s="77">
        <f>([1]计划!J6-[1]计划!J7)</f>
        <v>0</v>
      </c>
      <c r="K11" s="77">
        <f>([1]计划!K6-[1]计划!K7)</f>
        <v>0</v>
      </c>
      <c r="L11" s="77">
        <f>([1]计划!L6-[1]计划!L7)</f>
        <v>0</v>
      </c>
      <c r="M11" s="79">
        <f t="shared" si="2"/>
        <v>0</v>
      </c>
    </row>
    <row r="12" spans="1:13" s="60" customFormat="1" ht="15" customHeight="1">
      <c r="A12" s="73">
        <v>2.2000000000000002</v>
      </c>
      <c r="B12" s="79" t="s">
        <v>120</v>
      </c>
      <c r="C12" s="77">
        <f>[1]计划!C8</f>
        <v>0</v>
      </c>
      <c r="D12" s="77">
        <f>[1]计划!D8</f>
        <v>0</v>
      </c>
      <c r="E12" s="77">
        <f>[1]计划!E8</f>
        <v>0</v>
      </c>
      <c r="F12" s="77">
        <f>[1]计划!F8</f>
        <v>0</v>
      </c>
      <c r="G12" s="77">
        <f>[1]计划!G8</f>
        <v>0</v>
      </c>
      <c r="H12" s="77">
        <f>[1]计划!H8</f>
        <v>0</v>
      </c>
      <c r="I12" s="77">
        <f>[1]计划!I8</f>
        <v>0</v>
      </c>
      <c r="J12" s="77">
        <f>[1]计划!J8</f>
        <v>0</v>
      </c>
      <c r="K12" s="77">
        <f>[1]计划!K8</f>
        <v>0</v>
      </c>
      <c r="L12" s="77">
        <f>[1]计划!L8</f>
        <v>0</v>
      </c>
      <c r="M12" s="79">
        <f t="shared" si="2"/>
        <v>0</v>
      </c>
    </row>
    <row r="13" spans="1:13" ht="15" customHeight="1">
      <c r="A13" s="73">
        <v>2.2999999999999998</v>
      </c>
      <c r="B13" s="76" t="s">
        <v>121</v>
      </c>
      <c r="C13" s="77">
        <f>[1]总成本!C22</f>
        <v>0</v>
      </c>
      <c r="D13" s="77">
        <f>[1]总成本!D22</f>
        <v>0</v>
      </c>
      <c r="E13" s="77">
        <f>[1]总成本!E22</f>
        <v>0</v>
      </c>
      <c r="F13" s="77">
        <f>[1]总成本!F22</f>
        <v>0</v>
      </c>
      <c r="G13" s="77">
        <f>[1]总成本!G22</f>
        <v>0</v>
      </c>
      <c r="H13" s="77">
        <f>[1]总成本!H22</f>
        <v>0</v>
      </c>
      <c r="I13" s="77">
        <f>[1]总成本!I22</f>
        <v>0</v>
      </c>
      <c r="J13" s="77">
        <f>[1]总成本!J22</f>
        <v>0</v>
      </c>
      <c r="K13" s="77">
        <f>[1]总成本!K22</f>
        <v>0</v>
      </c>
      <c r="L13" s="77">
        <f>[1]总成本!L22</f>
        <v>0</v>
      </c>
      <c r="M13" s="79">
        <f t="shared" si="2"/>
        <v>0</v>
      </c>
    </row>
    <row r="14" spans="1:13" ht="15" customHeight="1">
      <c r="A14" s="73">
        <v>2.4</v>
      </c>
      <c r="B14" s="76" t="s">
        <v>122</v>
      </c>
      <c r="C14" s="77">
        <f>[1]价格!D15</f>
        <v>0</v>
      </c>
      <c r="D14" s="77">
        <f>[1]价格!E15</f>
        <v>0</v>
      </c>
      <c r="E14" s="77">
        <f>[1]价格!F15</f>
        <v>0</v>
      </c>
      <c r="F14" s="77">
        <f>[1]价格!G15</f>
        <v>0</v>
      </c>
      <c r="G14" s="77">
        <f>[1]价格!H15</f>
        <v>0</v>
      </c>
      <c r="H14" s="77">
        <f>[1]价格!I15</f>
        <v>0</v>
      </c>
      <c r="I14" s="77">
        <f>[1]价格!J15</f>
        <v>0</v>
      </c>
      <c r="J14" s="77">
        <f>[1]价格!K15</f>
        <v>0</v>
      </c>
      <c r="K14" s="77">
        <f>[1]价格!L15</f>
        <v>0</v>
      </c>
      <c r="L14" s="77">
        <f>[1]价格!M15</f>
        <v>0</v>
      </c>
      <c r="M14" s="79">
        <f t="shared" si="2"/>
        <v>0</v>
      </c>
    </row>
    <row r="15" spans="1:13" ht="15" customHeight="1">
      <c r="A15" s="73">
        <v>2.5</v>
      </c>
      <c r="B15" s="76" t="s">
        <v>53</v>
      </c>
      <c r="C15" s="77">
        <f>[1]利润!C13</f>
        <v>0</v>
      </c>
      <c r="D15" s="77">
        <f>[1]利润!D13</f>
        <v>0</v>
      </c>
      <c r="E15" s="77">
        <f>[1]利润!E13</f>
        <v>0</v>
      </c>
      <c r="F15" s="77">
        <f>[1]利润!F13</f>
        <v>0</v>
      </c>
      <c r="G15" s="77">
        <f>[1]利润!G13</f>
        <v>0</v>
      </c>
      <c r="H15" s="77">
        <f>[1]利润!H13</f>
        <v>0</v>
      </c>
      <c r="I15" s="77">
        <f>[1]利润!I13</f>
        <v>0</v>
      </c>
      <c r="J15" s="77">
        <f>[1]利润!J13</f>
        <v>0</v>
      </c>
      <c r="K15" s="77">
        <f>[1]利润!K13</f>
        <v>0</v>
      </c>
      <c r="L15" s="77">
        <f>[1]利润!L13</f>
        <v>0</v>
      </c>
      <c r="M15" s="79">
        <f t="shared" si="2"/>
        <v>0</v>
      </c>
    </row>
    <row r="16" spans="1:13" ht="15" customHeight="1">
      <c r="A16" s="73">
        <v>2.6</v>
      </c>
      <c r="B16" s="76" t="s">
        <v>123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9">
        <f t="shared" si="2"/>
        <v>0</v>
      </c>
    </row>
    <row r="17" spans="1:18" ht="12">
      <c r="A17" s="73">
        <v>3</v>
      </c>
      <c r="B17" s="74" t="s">
        <v>124</v>
      </c>
      <c r="C17" s="75">
        <f t="shared" ref="C17:L17" si="4">C5-C10</f>
        <v>0</v>
      </c>
      <c r="D17" s="75">
        <f t="shared" si="4"/>
        <v>0</v>
      </c>
      <c r="E17" s="75" t="e">
        <f t="shared" si="4"/>
        <v>#REF!</v>
      </c>
      <c r="F17" s="75">
        <f t="shared" si="4"/>
        <v>5683520</v>
      </c>
      <c r="G17" s="75">
        <f t="shared" si="4"/>
        <v>7236690</v>
      </c>
      <c r="H17" s="75">
        <f t="shared" si="4"/>
        <v>7977750</v>
      </c>
      <c r="I17" s="75" t="e">
        <f t="shared" si="4"/>
        <v>#REF!</v>
      </c>
      <c r="J17" s="75" t="e">
        <f t="shared" si="4"/>
        <v>#REF!</v>
      </c>
      <c r="K17" s="75" t="e">
        <f t="shared" si="4"/>
        <v>#REF!</v>
      </c>
      <c r="L17" s="75">
        <f t="shared" si="4"/>
        <v>37839410</v>
      </c>
      <c r="M17" s="79" t="e">
        <f t="shared" si="2"/>
        <v>#REF!</v>
      </c>
    </row>
    <row r="18" spans="1:18" ht="12">
      <c r="A18" s="80">
        <v>4</v>
      </c>
      <c r="B18" s="76" t="s">
        <v>125</v>
      </c>
      <c r="C18" s="77">
        <f>C17</f>
        <v>0</v>
      </c>
      <c r="D18" s="77">
        <f t="shared" ref="D18:L18" si="5">C18+D17</f>
        <v>0</v>
      </c>
      <c r="E18" s="77" t="e">
        <f t="shared" si="5"/>
        <v>#REF!</v>
      </c>
      <c r="F18" s="77" t="e">
        <f t="shared" si="5"/>
        <v>#REF!</v>
      </c>
      <c r="G18" s="77" t="e">
        <f t="shared" si="5"/>
        <v>#REF!</v>
      </c>
      <c r="H18" s="77" t="e">
        <f t="shared" si="5"/>
        <v>#REF!</v>
      </c>
      <c r="I18" s="77" t="e">
        <f t="shared" si="5"/>
        <v>#REF!</v>
      </c>
      <c r="J18" s="77" t="e">
        <f t="shared" si="5"/>
        <v>#REF!</v>
      </c>
      <c r="K18" s="77" t="e">
        <f t="shared" si="5"/>
        <v>#REF!</v>
      </c>
      <c r="L18" s="77" t="e">
        <f t="shared" si="5"/>
        <v>#REF!</v>
      </c>
      <c r="M18" s="76" t="s">
        <v>116</v>
      </c>
    </row>
    <row r="19" spans="1:18" s="60" customFormat="1" ht="12">
      <c r="A19" s="80">
        <v>5</v>
      </c>
      <c r="B19" s="76" t="s">
        <v>126</v>
      </c>
      <c r="C19" s="77">
        <f t="shared" ref="C19:L19" si="6">C17+C15</f>
        <v>0</v>
      </c>
      <c r="D19" s="77">
        <f t="shared" si="6"/>
        <v>0</v>
      </c>
      <c r="E19" s="77" t="e">
        <f t="shared" si="6"/>
        <v>#REF!</v>
      </c>
      <c r="F19" s="77">
        <f t="shared" si="6"/>
        <v>5683520</v>
      </c>
      <c r="G19" s="77">
        <f t="shared" si="6"/>
        <v>7236690</v>
      </c>
      <c r="H19" s="77">
        <f t="shared" si="6"/>
        <v>7977750</v>
      </c>
      <c r="I19" s="77" t="e">
        <f t="shared" si="6"/>
        <v>#REF!</v>
      </c>
      <c r="J19" s="77" t="e">
        <f t="shared" si="6"/>
        <v>#REF!</v>
      </c>
      <c r="K19" s="77" t="e">
        <f t="shared" si="6"/>
        <v>#REF!</v>
      </c>
      <c r="L19" s="77">
        <f t="shared" si="6"/>
        <v>37839410</v>
      </c>
      <c r="M19" s="79" t="e">
        <f>SUM(C19:L19)</f>
        <v>#REF!</v>
      </c>
    </row>
    <row r="20" spans="1:18" s="60" customFormat="1" ht="12">
      <c r="A20" s="73">
        <v>6</v>
      </c>
      <c r="B20" s="76" t="s">
        <v>127</v>
      </c>
      <c r="C20" s="77">
        <f>C19</f>
        <v>0</v>
      </c>
      <c r="D20" s="77">
        <f t="shared" ref="D20:L20" si="7">C20+D19</f>
        <v>0</v>
      </c>
      <c r="E20" s="77" t="e">
        <f t="shared" si="7"/>
        <v>#REF!</v>
      </c>
      <c r="F20" s="77" t="e">
        <f t="shared" si="7"/>
        <v>#REF!</v>
      </c>
      <c r="G20" s="77" t="e">
        <f t="shared" si="7"/>
        <v>#REF!</v>
      </c>
      <c r="H20" s="77" t="e">
        <f t="shared" si="7"/>
        <v>#REF!</v>
      </c>
      <c r="I20" s="77" t="e">
        <f t="shared" si="7"/>
        <v>#REF!</v>
      </c>
      <c r="J20" s="77" t="e">
        <f t="shared" si="7"/>
        <v>#REF!</v>
      </c>
      <c r="K20" s="77" t="e">
        <f t="shared" si="7"/>
        <v>#REF!</v>
      </c>
      <c r="L20" s="77" t="e">
        <f t="shared" si="7"/>
        <v>#REF!</v>
      </c>
      <c r="M20" s="76" t="s">
        <v>116</v>
      </c>
    </row>
    <row r="21" spans="1:18" ht="12">
      <c r="A21" s="81"/>
      <c r="B21" s="82" t="s">
        <v>128</v>
      </c>
      <c r="C21" s="82"/>
      <c r="D21" s="82"/>
      <c r="E21" s="82" t="s">
        <v>129</v>
      </c>
      <c r="F21" s="82"/>
      <c r="G21" s="82"/>
      <c r="H21" s="82"/>
      <c r="I21" s="82" t="s">
        <v>130</v>
      </c>
      <c r="J21" s="82"/>
      <c r="K21" s="82"/>
      <c r="L21" s="82"/>
      <c r="M21" s="93"/>
    </row>
    <row r="22" spans="1:18" ht="12">
      <c r="A22" s="83"/>
      <c r="B22" s="84" t="s">
        <v>131</v>
      </c>
      <c r="C22" s="84"/>
      <c r="D22" s="85" t="s">
        <v>132</v>
      </c>
      <c r="E22" s="86" t="e">
        <f>IRR(C17:L17,0.15)</f>
        <v>#VALUE!</v>
      </c>
      <c r="F22" s="84"/>
      <c r="G22" s="84"/>
      <c r="H22" s="84"/>
      <c r="I22" s="86" t="e">
        <f>IRR(C19:L19,0.15)</f>
        <v>#VALUE!</v>
      </c>
      <c r="J22" s="84"/>
      <c r="K22" s="84"/>
      <c r="L22" s="84"/>
      <c r="M22" s="94"/>
    </row>
    <row r="23" spans="1:18" ht="12">
      <c r="A23" s="83"/>
      <c r="B23" s="84" t="s">
        <v>133</v>
      </c>
      <c r="C23" s="84"/>
      <c r="D23" s="84"/>
      <c r="E23" s="87" t="e">
        <f>NPV(0.12,C17:L17)</f>
        <v>#REF!</v>
      </c>
      <c r="F23" s="84"/>
      <c r="G23" s="84"/>
      <c r="H23" s="84"/>
      <c r="I23" s="87" t="e">
        <f>NPV(0.12,C19:L19)</f>
        <v>#REF!</v>
      </c>
      <c r="J23" s="84"/>
      <c r="K23" s="84"/>
      <c r="L23" s="84"/>
      <c r="M23" s="94"/>
      <c r="R23" s="61">
        <f>30.9-29.82</f>
        <v>1.0799999999999983</v>
      </c>
    </row>
    <row r="24" spans="1:18" ht="12">
      <c r="A24" s="88"/>
      <c r="B24" s="89" t="s">
        <v>134</v>
      </c>
      <c r="C24" s="89"/>
      <c r="D24" s="89"/>
      <c r="E24" s="90" t="e">
        <f>6-H18/I17</f>
        <v>#REF!</v>
      </c>
      <c r="F24" s="89"/>
      <c r="G24" s="89"/>
      <c r="H24" s="89"/>
      <c r="I24" s="90" t="e">
        <f>6-H20/I19</f>
        <v>#REF!</v>
      </c>
      <c r="J24" s="89"/>
      <c r="K24" s="89"/>
      <c r="L24" s="89"/>
      <c r="M24" s="95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32" activePane="bottomRight" state="frozen"/>
      <selection pane="topRight"/>
      <selection pane="bottomLeft"/>
      <selection pane="bottomRight" activeCell="C38" sqref="C38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4" width="9" style="36"/>
    <col min="35" max="35" width="4.375" style="36" customWidth="1"/>
    <col min="36" max="36" width="13.875" style="36" customWidth="1"/>
    <col min="37" max="16384" width="9" style="36"/>
  </cols>
  <sheetData>
    <row r="1" spans="1:37">
      <c r="A1" s="253" t="s">
        <v>135</v>
      </c>
      <c r="B1" s="253"/>
      <c r="C1" s="257" t="s">
        <v>235</v>
      </c>
      <c r="D1" s="258"/>
      <c r="E1" s="258"/>
      <c r="F1" s="258"/>
      <c r="G1" s="258"/>
      <c r="H1" s="258"/>
      <c r="I1" s="258"/>
      <c r="J1" s="258"/>
      <c r="K1" s="259"/>
    </row>
    <row r="2" spans="1:37">
      <c r="A2" s="253" t="s">
        <v>136</v>
      </c>
      <c r="B2" s="253"/>
      <c r="C2" s="260" t="s">
        <v>264</v>
      </c>
      <c r="D2" s="260"/>
      <c r="E2" s="260"/>
      <c r="F2" s="260"/>
      <c r="G2" s="260"/>
      <c r="H2" s="260"/>
      <c r="I2" s="260"/>
      <c r="J2" s="260"/>
      <c r="K2" s="260"/>
    </row>
    <row r="3" spans="1:37">
      <c r="A3" s="253" t="s">
        <v>137</v>
      </c>
      <c r="B3" s="253"/>
      <c r="C3" s="147" t="str">
        <f>销量!C5</f>
        <v>驾驶员座总成</v>
      </c>
      <c r="D3" s="147" t="str">
        <f>销量!D5</f>
        <v>驾驶员座总成</v>
      </c>
      <c r="E3" s="147" t="str">
        <f>销量!E5</f>
        <v>座垫总成-前座</v>
      </c>
      <c r="F3" s="147" t="str">
        <f>销量!F5</f>
        <v>座垫总成-前座</v>
      </c>
      <c r="G3" s="147" t="str">
        <f>销量!G5</f>
        <v>主靠背总成-前座</v>
      </c>
      <c r="H3" s="147" t="str">
        <f>销量!H5</f>
        <v>副靠背总成</v>
      </c>
      <c r="I3" s="147" t="str">
        <f>销量!I5</f>
        <v>副靠背总成</v>
      </c>
      <c r="J3" s="147" t="str">
        <f>销量!J5</f>
        <v>虎V副司机</v>
      </c>
      <c r="K3" s="254" t="s">
        <v>14</v>
      </c>
    </row>
    <row r="4" spans="1:37" ht="43.5" customHeight="1">
      <c r="A4" s="253" t="s">
        <v>138</v>
      </c>
      <c r="B4" s="253"/>
      <c r="C4" s="147" t="str">
        <f>销量!C6</f>
        <v>6800010MA96</v>
      </c>
      <c r="D4" s="147" t="str">
        <f>销量!D6</f>
        <v>6800010MA98</v>
      </c>
      <c r="E4" s="147" t="str">
        <f>销量!E6</f>
        <v>6903010MA96</v>
      </c>
      <c r="F4" s="147" t="str">
        <f>销量!F6</f>
        <v>6903010MA98</v>
      </c>
      <c r="G4" s="147" t="str">
        <f>销量!G6</f>
        <v>6905020MA96</v>
      </c>
      <c r="H4" s="147" t="str">
        <f>销量!H6</f>
        <v>6905100MA96</v>
      </c>
      <c r="I4" s="147" t="str">
        <f>销量!I6</f>
        <v>6905100MA98</v>
      </c>
      <c r="J4" s="147" t="str">
        <f>销量!J6</f>
        <v>6903010AE411、6905020AE411、6905100AE411</v>
      </c>
      <c r="K4" s="255"/>
    </row>
    <row r="5" spans="1:37">
      <c r="A5" s="253" t="s">
        <v>139</v>
      </c>
      <c r="B5" s="253"/>
      <c r="C5" s="39"/>
      <c r="D5" s="39"/>
      <c r="E5" s="39"/>
      <c r="F5" s="39"/>
      <c r="G5" s="39"/>
      <c r="H5" s="39"/>
      <c r="I5" s="39"/>
      <c r="J5" s="39"/>
      <c r="K5" s="256"/>
      <c r="AK5" s="36" t="s">
        <v>15</v>
      </c>
    </row>
    <row r="6" spans="1:37" ht="17.25">
      <c r="A6" s="40" t="s">
        <v>13</v>
      </c>
      <c r="B6" s="41" t="s">
        <v>140</v>
      </c>
      <c r="C6" s="12">
        <f>销量!C9</f>
        <v>1200</v>
      </c>
      <c r="D6" s="12">
        <f>销量!D9</f>
        <v>1800</v>
      </c>
      <c r="E6" s="12">
        <f>销量!E9</f>
        <v>1200</v>
      </c>
      <c r="F6" s="12">
        <f>销量!F9</f>
        <v>1800</v>
      </c>
      <c r="G6" s="12">
        <f>销量!G9</f>
        <v>2000</v>
      </c>
      <c r="H6" s="12">
        <f>销量!H9</f>
        <v>1200</v>
      </c>
      <c r="I6" s="12">
        <f>销量!I9</f>
        <v>1800</v>
      </c>
      <c r="J6" s="12">
        <f>销量!J9</f>
        <v>5000</v>
      </c>
      <c r="K6" s="42">
        <f t="shared" ref="K6:K15" si="0">SUM(C6:J6)</f>
        <v>16000</v>
      </c>
      <c r="AI6" s="40" t="s">
        <v>13</v>
      </c>
      <c r="AJ6" s="41" t="s">
        <v>3</v>
      </c>
      <c r="AK6" s="36" t="s">
        <v>16</v>
      </c>
    </row>
    <row r="7" spans="1:37">
      <c r="A7" s="38">
        <v>1</v>
      </c>
      <c r="B7" s="41" t="s">
        <v>17</v>
      </c>
      <c r="C7" s="42">
        <f>C6*销量!C8</f>
        <v>1201704</v>
      </c>
      <c r="D7" s="42">
        <f>D6*销量!D8</f>
        <v>1822824</v>
      </c>
      <c r="E7" s="42">
        <f>E6*销量!E8</f>
        <v>129228</v>
      </c>
      <c r="F7" s="42">
        <f>F6*销量!F8</f>
        <v>205074</v>
      </c>
      <c r="G7" s="42">
        <f>G6*销量!G8</f>
        <v>309620</v>
      </c>
      <c r="H7" s="42">
        <f>H6*销量!H8</f>
        <v>180264</v>
      </c>
      <c r="I7" s="42">
        <f>I6*销量!I8</f>
        <v>191556</v>
      </c>
      <c r="J7" s="42">
        <f>J6*销量!J8</f>
        <v>1643250</v>
      </c>
      <c r="K7" s="42">
        <f t="shared" si="0"/>
        <v>5683520</v>
      </c>
      <c r="L7" s="37"/>
      <c r="AI7" s="40" t="s">
        <v>18</v>
      </c>
      <c r="AJ7" s="41" t="s">
        <v>17</v>
      </c>
      <c r="AK7" s="36" t="s">
        <v>16</v>
      </c>
    </row>
    <row r="8" spans="1:37">
      <c r="A8" s="38">
        <v>2</v>
      </c>
      <c r="B8" s="38" t="s">
        <v>19</v>
      </c>
      <c r="C8" s="42"/>
      <c r="D8" s="42"/>
      <c r="E8" s="42"/>
      <c r="F8" s="42"/>
      <c r="G8" s="42"/>
      <c r="H8" s="42"/>
      <c r="I8" s="42"/>
      <c r="J8" s="42"/>
      <c r="K8" s="42">
        <f t="shared" si="0"/>
        <v>0</v>
      </c>
      <c r="L8" s="57"/>
      <c r="AI8" s="40" t="s">
        <v>20</v>
      </c>
      <c r="AJ8" s="38" t="s">
        <v>21</v>
      </c>
      <c r="AK8" s="36" t="s">
        <v>16</v>
      </c>
    </row>
    <row r="9" spans="1:37">
      <c r="A9" s="38">
        <v>3</v>
      </c>
      <c r="B9" s="41" t="s">
        <v>22</v>
      </c>
      <c r="C9" s="42">
        <f>+C7-C8</f>
        <v>1201704</v>
      </c>
      <c r="D9" s="42">
        <f t="shared" ref="D9:J9" si="1">+D7-D8</f>
        <v>1822824</v>
      </c>
      <c r="E9" s="42">
        <f t="shared" si="1"/>
        <v>129228</v>
      </c>
      <c r="F9" s="42">
        <f t="shared" si="1"/>
        <v>205074</v>
      </c>
      <c r="G9" s="42">
        <f t="shared" si="1"/>
        <v>309620</v>
      </c>
      <c r="H9" s="42">
        <f t="shared" si="1"/>
        <v>180264</v>
      </c>
      <c r="I9" s="42">
        <f t="shared" si="1"/>
        <v>191556</v>
      </c>
      <c r="J9" s="42">
        <f t="shared" si="1"/>
        <v>1643250</v>
      </c>
      <c r="K9" s="42">
        <f t="shared" si="0"/>
        <v>5683520</v>
      </c>
      <c r="AI9" s="40" t="s">
        <v>23</v>
      </c>
      <c r="AJ9" s="41" t="s">
        <v>22</v>
      </c>
      <c r="AK9" s="36" t="s">
        <v>24</v>
      </c>
    </row>
    <row r="10" spans="1:37">
      <c r="A10" s="38">
        <v>4</v>
      </c>
      <c r="B10" s="40" t="s">
        <v>25</v>
      </c>
      <c r="C10" s="42">
        <f>C6*C33</f>
        <v>826296</v>
      </c>
      <c r="D10" s="42">
        <f>D6*D33</f>
        <v>1256040</v>
      </c>
      <c r="E10" s="42">
        <f t="shared" ref="E10:J10" si="2">E6*E33</f>
        <v>117132</v>
      </c>
      <c r="F10" s="42">
        <f t="shared" si="2"/>
        <v>168696</v>
      </c>
      <c r="G10" s="42">
        <f t="shared" si="2"/>
        <v>268100</v>
      </c>
      <c r="H10" s="42">
        <f t="shared" si="2"/>
        <v>83880</v>
      </c>
      <c r="I10" s="42">
        <f t="shared" si="2"/>
        <v>120222.00000000001</v>
      </c>
      <c r="J10" s="42">
        <f t="shared" si="2"/>
        <v>1514950</v>
      </c>
      <c r="K10" s="42">
        <f t="shared" si="0"/>
        <v>4355316</v>
      </c>
      <c r="AI10" s="40" t="s">
        <v>26</v>
      </c>
      <c r="AJ10" s="40" t="s">
        <v>25</v>
      </c>
      <c r="AK10" s="36" t="s">
        <v>27</v>
      </c>
    </row>
    <row r="11" spans="1:37">
      <c r="A11" s="38">
        <v>5</v>
      </c>
      <c r="B11" s="40" t="s">
        <v>28</v>
      </c>
      <c r="C11" s="42">
        <f>+C6*C36</f>
        <v>69867.791734439859</v>
      </c>
      <c r="D11" s="42">
        <f t="shared" ref="D11:J11" si="3">+D6*D36</f>
        <v>105980.08128502412</v>
      </c>
      <c r="E11" s="42">
        <f t="shared" si="3"/>
        <v>7513.3934731499567</v>
      </c>
      <c r="F11" s="42">
        <f t="shared" si="3"/>
        <v>11923.12543034601</v>
      </c>
      <c r="G11" s="42">
        <f t="shared" si="3"/>
        <v>18001.492611173195</v>
      </c>
      <c r="H11" s="42">
        <f t="shared" si="3"/>
        <v>10480.657141207043</v>
      </c>
      <c r="I11" s="42">
        <f t="shared" si="3"/>
        <v>11137.18079783571</v>
      </c>
      <c r="J11" s="42">
        <f t="shared" si="3"/>
        <v>95539.541157904358</v>
      </c>
      <c r="K11" s="42">
        <f t="shared" si="0"/>
        <v>330443.26363108022</v>
      </c>
      <c r="AI11" s="40" t="s">
        <v>29</v>
      </c>
      <c r="AJ11" s="40" t="s">
        <v>28</v>
      </c>
    </row>
    <row r="12" spans="1:37">
      <c r="A12" s="38">
        <v>6</v>
      </c>
      <c r="B12" s="40" t="s">
        <v>30</v>
      </c>
      <c r="C12" s="42">
        <f>+C6*C37</f>
        <v>21712.816749586447</v>
      </c>
      <c r="D12" s="42">
        <f t="shared" ref="D12:J12" si="4">+D6*D37</f>
        <v>32935.434581850583</v>
      </c>
      <c r="E12" s="42">
        <f t="shared" si="4"/>
        <v>2334.9376243364068</v>
      </c>
      <c r="F12" s="42">
        <f t="shared" si="4"/>
        <v>3705.3502211066052</v>
      </c>
      <c r="G12" s="42">
        <f t="shared" si="4"/>
        <v>5594.3246606543344</v>
      </c>
      <c r="H12" s="42">
        <f t="shared" si="4"/>
        <v>3257.0742866358537</v>
      </c>
      <c r="I12" s="42">
        <f t="shared" si="4"/>
        <v>3461.10217265132</v>
      </c>
      <c r="J12" s="42">
        <f t="shared" si="4"/>
        <v>29690.827461469653</v>
      </c>
      <c r="K12" s="42">
        <f t="shared" si="0"/>
        <v>102691.86775829121</v>
      </c>
      <c r="AI12" s="40" t="s">
        <v>31</v>
      </c>
      <c r="AJ12" s="40" t="s">
        <v>30</v>
      </c>
    </row>
    <row r="13" spans="1:37">
      <c r="A13" s="38">
        <v>7</v>
      </c>
      <c r="B13" s="40" t="s">
        <v>32</v>
      </c>
      <c r="C13" s="42">
        <f>+C6*C38</f>
        <v>39656.232000000004</v>
      </c>
      <c r="D13" s="42">
        <f t="shared" ref="D13:J13" si="5">+D6*D38</f>
        <v>60153.191999999995</v>
      </c>
      <c r="E13" s="42">
        <f t="shared" si="5"/>
        <v>4264.5240000000003</v>
      </c>
      <c r="F13" s="42">
        <f t="shared" si="5"/>
        <v>6767.4420000000009</v>
      </c>
      <c r="G13" s="42">
        <f t="shared" si="5"/>
        <v>10217.460000000001</v>
      </c>
      <c r="H13" s="42">
        <f t="shared" si="5"/>
        <v>5948.7119999999995</v>
      </c>
      <c r="I13" s="42">
        <f t="shared" si="5"/>
        <v>6321.3480000000009</v>
      </c>
      <c r="J13" s="42">
        <f t="shared" si="5"/>
        <v>54227.25</v>
      </c>
      <c r="K13" s="42">
        <f t="shared" si="0"/>
        <v>187556.16</v>
      </c>
      <c r="AI13" s="40" t="s">
        <v>33</v>
      </c>
      <c r="AJ13" s="40" t="s">
        <v>32</v>
      </c>
      <c r="AK13" s="36" t="s">
        <v>16</v>
      </c>
    </row>
    <row r="14" spans="1:37">
      <c r="A14" s="38">
        <v>8</v>
      </c>
      <c r="B14" s="43" t="s">
        <v>34</v>
      </c>
      <c r="C14" s="42">
        <f>SUM(C11:C13)</f>
        <v>131236.8404840263</v>
      </c>
      <c r="D14" s="42">
        <f t="shared" ref="D14:J14" si="6">SUM(D11:D13)</f>
        <v>199068.7078668747</v>
      </c>
      <c r="E14" s="42">
        <f t="shared" si="6"/>
        <v>14112.855097486365</v>
      </c>
      <c r="F14" s="42">
        <f t="shared" si="6"/>
        <v>22395.917651452619</v>
      </c>
      <c r="G14" s="42">
        <f t="shared" si="6"/>
        <v>33813.27727182753</v>
      </c>
      <c r="H14" s="42">
        <f t="shared" si="6"/>
        <v>19686.443427842896</v>
      </c>
      <c r="I14" s="42">
        <f t="shared" si="6"/>
        <v>20919.630970487033</v>
      </c>
      <c r="J14" s="42">
        <f t="shared" si="6"/>
        <v>179457.618619374</v>
      </c>
      <c r="K14" s="42">
        <f t="shared" si="0"/>
        <v>620691.29138937138</v>
      </c>
      <c r="AI14" s="40" t="s">
        <v>35</v>
      </c>
      <c r="AJ14" s="43" t="s">
        <v>34</v>
      </c>
    </row>
    <row r="15" spans="1:37">
      <c r="A15" s="38">
        <v>9</v>
      </c>
      <c r="B15" s="43" t="s">
        <v>36</v>
      </c>
      <c r="C15" s="42">
        <f>+C9-C10-C14</f>
        <v>244171.1595159737</v>
      </c>
      <c r="D15" s="42">
        <f t="shared" ref="D15:J15" si="7">+D9-D10-D14</f>
        <v>367715.2921331253</v>
      </c>
      <c r="E15" s="42">
        <f t="shared" si="7"/>
        <v>-2016.8550974863647</v>
      </c>
      <c r="F15" s="42">
        <f t="shared" si="7"/>
        <v>13982.082348547381</v>
      </c>
      <c r="G15" s="42">
        <f t="shared" si="7"/>
        <v>7706.7227281724699</v>
      </c>
      <c r="H15" s="42">
        <f t="shared" si="7"/>
        <v>76697.556572157104</v>
      </c>
      <c r="I15" s="42">
        <f t="shared" si="7"/>
        <v>50414.369029512949</v>
      </c>
      <c r="J15" s="42">
        <f t="shared" si="7"/>
        <v>-51157.618619374</v>
      </c>
      <c r="K15" s="42">
        <f t="shared" si="0"/>
        <v>707512.7086106285</v>
      </c>
      <c r="AI15" s="40" t="s">
        <v>37</v>
      </c>
      <c r="AJ15" s="43" t="s">
        <v>36</v>
      </c>
    </row>
    <row r="16" spans="1:37">
      <c r="A16" s="38">
        <v>10</v>
      </c>
      <c r="B16" s="40" t="s">
        <v>38</v>
      </c>
      <c r="C16" s="44">
        <f>+C15/C9</f>
        <v>0.20318744009837172</v>
      </c>
      <c r="D16" s="44">
        <f t="shared" ref="D16:J16" si="8">+D15/D9</f>
        <v>0.20172835783000734</v>
      </c>
      <c r="E16" s="44">
        <f t="shared" si="8"/>
        <v>-1.5606951260457212E-2</v>
      </c>
      <c r="F16" s="44">
        <f t="shared" si="8"/>
        <v>6.8180668190737884E-2</v>
      </c>
      <c r="G16" s="44">
        <f t="shared" si="8"/>
        <v>2.4890907332124765E-2</v>
      </c>
      <c r="H16" s="44">
        <f t="shared" si="8"/>
        <v>0.42547350869922507</v>
      </c>
      <c r="I16" s="44">
        <f t="shared" si="8"/>
        <v>0.26318345042448654</v>
      </c>
      <c r="J16" s="44">
        <f t="shared" si="8"/>
        <v>-3.1131975426364825E-2</v>
      </c>
      <c r="K16" s="44">
        <f t="shared" ref="K16" si="9">+K15/K9</f>
        <v>0.1244849509829522</v>
      </c>
      <c r="AI16" s="40" t="s">
        <v>39</v>
      </c>
      <c r="AJ16" s="40" t="s">
        <v>38</v>
      </c>
    </row>
    <row r="17" spans="1:37">
      <c r="A17" s="38">
        <v>11</v>
      </c>
      <c r="B17" s="40" t="s">
        <v>40</v>
      </c>
      <c r="C17" s="42">
        <f>C6*C43+C18</f>
        <v>54076.679999999993</v>
      </c>
      <c r="D17" s="42">
        <f t="shared" ref="D17:J17" si="10">D6*D43+D18</f>
        <v>82027.08</v>
      </c>
      <c r="E17" s="42">
        <f t="shared" si="10"/>
        <v>5815.26</v>
      </c>
      <c r="F17" s="42">
        <f t="shared" si="10"/>
        <v>9228.33</v>
      </c>
      <c r="G17" s="42">
        <f t="shared" si="10"/>
        <v>13932.9</v>
      </c>
      <c r="H17" s="42">
        <f t="shared" si="10"/>
        <v>8111.88</v>
      </c>
      <c r="I17" s="42">
        <f t="shared" si="10"/>
        <v>8620.02</v>
      </c>
      <c r="J17" s="42">
        <f t="shared" si="10"/>
        <v>73946.25</v>
      </c>
      <c r="K17" s="42">
        <f>SUM(C17:J17)</f>
        <v>255758.4</v>
      </c>
      <c r="AI17" s="40" t="s">
        <v>41</v>
      </c>
      <c r="AJ17" s="40" t="s">
        <v>40</v>
      </c>
    </row>
    <row r="18" spans="1:37" s="34" customFormat="1">
      <c r="A18" s="38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154" t="s">
        <v>142</v>
      </c>
      <c r="M18" s="154"/>
      <c r="N18" s="36"/>
    </row>
    <row r="19" spans="1:37">
      <c r="A19" s="38">
        <v>13</v>
      </c>
      <c r="B19" s="40" t="s">
        <v>42</v>
      </c>
      <c r="C19" s="42">
        <f>C6*C44</f>
        <v>9493.4616000000005</v>
      </c>
      <c r="D19" s="42">
        <f t="shared" ref="D19:J19" si="12">D6*D44</f>
        <v>14400.309600000002</v>
      </c>
      <c r="E19" s="42">
        <f t="shared" si="12"/>
        <v>1020.9012</v>
      </c>
      <c r="F19" s="42">
        <f t="shared" si="12"/>
        <v>1620.0846000000004</v>
      </c>
      <c r="G19" s="42">
        <f t="shared" si="12"/>
        <v>2445.9980000000005</v>
      </c>
      <c r="H19" s="42">
        <f t="shared" si="12"/>
        <v>1424.0856000000001</v>
      </c>
      <c r="I19" s="42">
        <f t="shared" si="12"/>
        <v>1513.2924</v>
      </c>
      <c r="J19" s="42">
        <f t="shared" si="12"/>
        <v>12981.675000000001</v>
      </c>
      <c r="K19" s="42">
        <f>SUM(C19:J19)</f>
        <v>44899.808000000005</v>
      </c>
      <c r="AI19" s="40" t="s">
        <v>43</v>
      </c>
      <c r="AJ19" s="40" t="s">
        <v>42</v>
      </c>
      <c r="AK19" s="36" t="s">
        <v>16</v>
      </c>
    </row>
    <row r="20" spans="1:37">
      <c r="A20" s="38">
        <v>14</v>
      </c>
      <c r="B20" s="40" t="s">
        <v>44</v>
      </c>
      <c r="C20" s="42">
        <f>C6*C45</f>
        <v>48745.091028688235</v>
      </c>
      <c r="D20" s="42">
        <f t="shared" ref="D20:J20" si="13">D6*D45</f>
        <v>73939.773695750046</v>
      </c>
      <c r="E20" s="42">
        <f t="shared" si="13"/>
        <v>5241.9153331064244</v>
      </c>
      <c r="F20" s="42">
        <f t="shared" si="13"/>
        <v>8318.480089620416</v>
      </c>
      <c r="G20" s="42">
        <f t="shared" si="13"/>
        <v>12559.211822797006</v>
      </c>
      <c r="H20" s="42">
        <f t="shared" si="13"/>
        <v>7312.1043861012831</v>
      </c>
      <c r="I20" s="42">
        <f t="shared" si="13"/>
        <v>7770.1452746195437</v>
      </c>
      <c r="J20" s="42">
        <f t="shared" si="13"/>
        <v>66655.657993059809</v>
      </c>
      <c r="K20" s="42">
        <f>SUM(C20:J20)</f>
        <v>230542.37962374275</v>
      </c>
      <c r="AI20" s="40" t="s">
        <v>45</v>
      </c>
      <c r="AJ20" s="40" t="s">
        <v>44</v>
      </c>
    </row>
    <row r="21" spans="1:37">
      <c r="A21" s="38">
        <v>15</v>
      </c>
      <c r="B21" s="40" t="s">
        <v>46</v>
      </c>
      <c r="C21" s="47">
        <f>$K$21/$K$6*C6</f>
        <v>930</v>
      </c>
      <c r="D21" s="47">
        <f t="shared" ref="D21:J21" si="14">$K$21/$K$6*D6</f>
        <v>1395</v>
      </c>
      <c r="E21" s="47">
        <f t="shared" si="14"/>
        <v>930</v>
      </c>
      <c r="F21" s="47">
        <f t="shared" si="14"/>
        <v>1395</v>
      </c>
      <c r="G21" s="47">
        <f t="shared" si="14"/>
        <v>1550</v>
      </c>
      <c r="H21" s="47">
        <f t="shared" si="14"/>
        <v>930</v>
      </c>
      <c r="I21" s="47">
        <f t="shared" si="14"/>
        <v>1395</v>
      </c>
      <c r="J21" s="47">
        <f t="shared" si="14"/>
        <v>3875</v>
      </c>
      <c r="K21" s="42">
        <f>项目投资!D27</f>
        <v>12400</v>
      </c>
      <c r="AI21" s="40"/>
      <c r="AJ21" s="40"/>
    </row>
    <row r="22" spans="1:37">
      <c r="A22" s="38">
        <v>16</v>
      </c>
      <c r="B22" s="40" t="s">
        <v>47</v>
      </c>
      <c r="C22" s="42">
        <f>C6*C47</f>
        <v>25596.2952</v>
      </c>
      <c r="D22" s="42">
        <f t="shared" ref="D22:J22" si="15">D6*D47</f>
        <v>38826.151199999993</v>
      </c>
      <c r="E22" s="42">
        <f t="shared" si="15"/>
        <v>2752.5563999999999</v>
      </c>
      <c r="F22" s="42">
        <f t="shared" si="15"/>
        <v>4368.0762000000004</v>
      </c>
      <c r="G22" s="42">
        <f t="shared" si="15"/>
        <v>6594.9059999999999</v>
      </c>
      <c r="H22" s="42">
        <f t="shared" si="15"/>
        <v>3839.6232</v>
      </c>
      <c r="I22" s="42">
        <f t="shared" si="15"/>
        <v>4080.1428000000001</v>
      </c>
      <c r="J22" s="42">
        <f t="shared" si="15"/>
        <v>35001.224999999999</v>
      </c>
      <c r="K22" s="42">
        <f>SUM(C22:J22)</f>
        <v>121058.976</v>
      </c>
      <c r="AI22" s="40" t="s">
        <v>48</v>
      </c>
      <c r="AJ22" s="40" t="s">
        <v>47</v>
      </c>
    </row>
    <row r="23" spans="1:37">
      <c r="A23" s="38">
        <v>17</v>
      </c>
      <c r="B23" s="43" t="s">
        <v>49</v>
      </c>
      <c r="C23" s="47">
        <f>+C22+C21+C20+C19+C17</f>
        <v>138841.52782868821</v>
      </c>
      <c r="D23" s="47">
        <f t="shared" ref="D23:J23" si="16">+D22+D21+D20+D19+D17</f>
        <v>210588.31449575006</v>
      </c>
      <c r="E23" s="47">
        <f t="shared" si="16"/>
        <v>15760.632933106424</v>
      </c>
      <c r="F23" s="47">
        <f t="shared" si="16"/>
        <v>24929.970889620417</v>
      </c>
      <c r="G23" s="47">
        <f t="shared" si="16"/>
        <v>37083.015822797002</v>
      </c>
      <c r="H23" s="47">
        <f t="shared" si="16"/>
        <v>21617.693186101282</v>
      </c>
      <c r="I23" s="47">
        <f t="shared" si="16"/>
        <v>23378.600474619547</v>
      </c>
      <c r="J23" s="47">
        <f t="shared" si="16"/>
        <v>192459.8079930598</v>
      </c>
      <c r="K23" s="47">
        <f t="shared" ref="K23" si="17">+K22+K21+K20+K19+K17</f>
        <v>664659.56362374278</v>
      </c>
      <c r="AI23" s="40" t="s">
        <v>50</v>
      </c>
      <c r="AJ23" s="43" t="s">
        <v>49</v>
      </c>
    </row>
    <row r="24" spans="1:37">
      <c r="A24" s="38">
        <v>18</v>
      </c>
      <c r="B24" s="48" t="s">
        <v>51</v>
      </c>
      <c r="C24" s="47">
        <f>+C15-C23</f>
        <v>105329.63168728549</v>
      </c>
      <c r="D24" s="47">
        <f t="shared" ref="D24:J24" si="18">+D15-D23</f>
        <v>157126.97763737524</v>
      </c>
      <c r="E24" s="47">
        <f t="shared" si="18"/>
        <v>-17777.488030592787</v>
      </c>
      <c r="F24" s="47">
        <f t="shared" si="18"/>
        <v>-10947.888541073036</v>
      </c>
      <c r="G24" s="47">
        <f t="shared" si="18"/>
        <v>-29376.293094624532</v>
      </c>
      <c r="H24" s="47">
        <f t="shared" si="18"/>
        <v>55079.863386055818</v>
      </c>
      <c r="I24" s="47">
        <f t="shared" si="18"/>
        <v>27035.768554893402</v>
      </c>
      <c r="J24" s="47">
        <f t="shared" si="18"/>
        <v>-243617.4266124338</v>
      </c>
      <c r="K24" s="47">
        <f t="shared" ref="K24" si="19">+K15-K23</f>
        <v>42853.144986885716</v>
      </c>
      <c r="M24" s="59"/>
      <c r="AI24" s="40" t="s">
        <v>52</v>
      </c>
      <c r="AJ24" s="40" t="s">
        <v>51</v>
      </c>
    </row>
    <row r="25" spans="1:37">
      <c r="A25" s="38">
        <v>19</v>
      </c>
      <c r="B25" s="40" t="s">
        <v>231</v>
      </c>
      <c r="C25" s="47">
        <f>IF(C24&lt;0,0,C24*0.15)</f>
        <v>15799.444753092823</v>
      </c>
      <c r="D25" s="47">
        <f t="shared" ref="D25:J25" si="20">IF(D24&lt;0,0,D24*0.15)</f>
        <v>23569.046645606286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8261.9795079083724</v>
      </c>
      <c r="I25" s="47">
        <f t="shared" si="20"/>
        <v>4055.3652832340103</v>
      </c>
      <c r="J25" s="47">
        <f t="shared" si="20"/>
        <v>0</v>
      </c>
      <c r="K25" s="47">
        <f>IF(K24&lt;0,0,K24*0.15)</f>
        <v>6427.9717480328572</v>
      </c>
      <c r="L25" s="55"/>
      <c r="M25" s="55"/>
      <c r="N25" s="55"/>
      <c r="AI25" s="40" t="s">
        <v>54</v>
      </c>
      <c r="AJ25" s="40" t="s">
        <v>53</v>
      </c>
    </row>
    <row r="26" spans="1:37">
      <c r="A26" s="38">
        <v>20</v>
      </c>
      <c r="B26" s="40" t="s">
        <v>55</v>
      </c>
      <c r="C26" s="47">
        <f t="shared" ref="C26" si="21">C24-C25</f>
        <v>89530.186934192665</v>
      </c>
      <c r="D26" s="47">
        <f t="shared" ref="D26:J26" si="22">D24-D25</f>
        <v>133557.93099176895</v>
      </c>
      <c r="E26" s="47">
        <f t="shared" si="22"/>
        <v>-17777.488030592787</v>
      </c>
      <c r="F26" s="47">
        <f t="shared" si="22"/>
        <v>-10947.888541073036</v>
      </c>
      <c r="G26" s="47">
        <f t="shared" si="22"/>
        <v>-29376.293094624532</v>
      </c>
      <c r="H26" s="47">
        <f t="shared" si="22"/>
        <v>46817.883878147448</v>
      </c>
      <c r="I26" s="47">
        <f t="shared" si="22"/>
        <v>22980.403271659394</v>
      </c>
      <c r="J26" s="47">
        <f t="shared" si="22"/>
        <v>-243617.4266124338</v>
      </c>
      <c r="K26" s="42">
        <f>K24-K25</f>
        <v>36425.173238852862</v>
      </c>
      <c r="L26" s="55"/>
      <c r="M26" s="55"/>
      <c r="N26" s="55"/>
      <c r="AI26" s="40" t="s">
        <v>56</v>
      </c>
      <c r="AJ26" s="40" t="s">
        <v>55</v>
      </c>
    </row>
    <row r="27" spans="1:37">
      <c r="A27" s="38">
        <v>21</v>
      </c>
      <c r="B27" s="40" t="s">
        <v>59</v>
      </c>
      <c r="C27" s="49">
        <f t="shared" ref="C27:K27" si="23">C26/C7</f>
        <v>7.4502695284523204E-2</v>
      </c>
      <c r="D27" s="49">
        <f t="shared" ref="D27:J27" si="24">D26/D7</f>
        <v>7.3269789618618672E-2</v>
      </c>
      <c r="E27" s="49">
        <f t="shared" si="24"/>
        <v>-0.13756684333575375</v>
      </c>
      <c r="F27" s="49">
        <f t="shared" si="24"/>
        <v>-5.3385063640798133E-2</v>
      </c>
      <c r="G27" s="49">
        <f t="shared" si="24"/>
        <v>-9.4878538513741145E-2</v>
      </c>
      <c r="H27" s="49">
        <f t="shared" si="24"/>
        <v>0.25971843450798521</v>
      </c>
      <c r="I27" s="49">
        <f t="shared" si="24"/>
        <v>0.1199670241164954</v>
      </c>
      <c r="J27" s="49">
        <f t="shared" si="24"/>
        <v>-0.1482534164688476</v>
      </c>
      <c r="K27" s="49">
        <f t="shared" si="23"/>
        <v>6.4089108930474184E-3</v>
      </c>
      <c r="L27" s="55"/>
      <c r="M27" s="55"/>
      <c r="N27" s="55"/>
      <c r="AI27" s="40" t="s">
        <v>58</v>
      </c>
      <c r="AJ27" s="40" t="s">
        <v>59</v>
      </c>
    </row>
    <row r="28" spans="1:37">
      <c r="L28" s="55"/>
      <c r="M28" s="55"/>
      <c r="N28" s="55"/>
    </row>
    <row r="29" spans="1:37">
      <c r="A29" s="36" t="s">
        <v>60</v>
      </c>
      <c r="K29" s="37" t="s">
        <v>143</v>
      </c>
      <c r="L29" s="55"/>
      <c r="M29" s="55"/>
      <c r="N29" s="55"/>
      <c r="AI29" s="36" t="s">
        <v>60</v>
      </c>
    </row>
    <row r="30" spans="1:37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I30" s="40" t="s">
        <v>63</v>
      </c>
      <c r="AJ30" s="43" t="s">
        <v>62</v>
      </c>
    </row>
    <row r="31" spans="1:37">
      <c r="A31" s="50">
        <v>1</v>
      </c>
      <c r="B31" s="45" t="s">
        <v>64</v>
      </c>
      <c r="C31" s="51">
        <f>销量!C8</f>
        <v>1001.42</v>
      </c>
      <c r="D31" s="51">
        <f>销量!D8</f>
        <v>1012.68</v>
      </c>
      <c r="E31" s="51">
        <f>销量!E8</f>
        <v>107.69</v>
      </c>
      <c r="F31" s="51">
        <f>销量!F8</f>
        <v>113.93</v>
      </c>
      <c r="G31" s="51">
        <f>销量!G8</f>
        <v>154.81</v>
      </c>
      <c r="H31" s="51">
        <f>销量!H8</f>
        <v>150.22</v>
      </c>
      <c r="I31" s="51">
        <f>销量!I8</f>
        <v>106.42</v>
      </c>
      <c r="J31" s="51">
        <f>销量!J8</f>
        <v>328.65</v>
      </c>
      <c r="K31" s="47"/>
      <c r="L31" s="55"/>
      <c r="M31" s="55"/>
      <c r="N31" s="55"/>
      <c r="P31" s="55"/>
      <c r="AI31" s="40" t="s">
        <v>18</v>
      </c>
      <c r="AJ31" s="40" t="s">
        <v>64</v>
      </c>
    </row>
    <row r="32" spans="1:37">
      <c r="A32" s="50">
        <v>2</v>
      </c>
      <c r="B32" s="40" t="s">
        <v>144</v>
      </c>
      <c r="C32" s="42">
        <f>C31*1</f>
        <v>1001.42</v>
      </c>
      <c r="D32" s="42">
        <f t="shared" ref="D32:J32" si="25">D31*1</f>
        <v>1012.68</v>
      </c>
      <c r="E32" s="42">
        <f t="shared" si="25"/>
        <v>107.69</v>
      </c>
      <c r="F32" s="42">
        <f t="shared" si="25"/>
        <v>113.93</v>
      </c>
      <c r="G32" s="42">
        <f t="shared" si="25"/>
        <v>154.81</v>
      </c>
      <c r="H32" s="42">
        <f t="shared" si="25"/>
        <v>150.22</v>
      </c>
      <c r="I32" s="42">
        <f t="shared" si="25"/>
        <v>106.42</v>
      </c>
      <c r="J32" s="42">
        <f t="shared" si="25"/>
        <v>328.65</v>
      </c>
      <c r="K32" s="47"/>
      <c r="L32" s="55"/>
      <c r="M32" s="55"/>
      <c r="N32" s="55"/>
      <c r="O32" s="55"/>
      <c r="P32" s="55"/>
      <c r="Q32" s="55"/>
      <c r="R32" s="55"/>
      <c r="AI32" s="40"/>
      <c r="AJ32" s="40"/>
    </row>
    <row r="33" spans="1:36">
      <c r="A33" s="50">
        <v>3</v>
      </c>
      <c r="B33" s="45" t="s">
        <v>65</v>
      </c>
      <c r="C33" s="185">
        <f>材料成本!E20</f>
        <v>688.58</v>
      </c>
      <c r="D33" s="185">
        <f>材料成本!E21</f>
        <v>697.8</v>
      </c>
      <c r="E33" s="185">
        <f>材料成本!E22</f>
        <v>97.61</v>
      </c>
      <c r="F33" s="185">
        <f>材料成本!E23</f>
        <v>93.72</v>
      </c>
      <c r="G33" s="185">
        <f>材料成本!E24</f>
        <v>134.05000000000001</v>
      </c>
      <c r="H33" s="185">
        <f>材料成本!E25</f>
        <v>69.900000000000006</v>
      </c>
      <c r="I33" s="185">
        <f>材料成本!E26</f>
        <v>66.790000000000006</v>
      </c>
      <c r="J33" s="185">
        <f>材料成本!E27</f>
        <v>302.99</v>
      </c>
      <c r="K33" s="47"/>
      <c r="M33" s="55"/>
      <c r="N33" s="55"/>
      <c r="O33" s="55"/>
      <c r="P33" s="55"/>
      <c r="Q33" s="55"/>
      <c r="R33" s="55"/>
      <c r="AI33" s="40" t="s">
        <v>20</v>
      </c>
      <c r="AJ33" s="40" t="s">
        <v>65</v>
      </c>
    </row>
    <row r="34" spans="1:36" ht="17.25" customHeight="1">
      <c r="A34" s="50">
        <v>4</v>
      </c>
      <c r="B34" s="40" t="s">
        <v>67</v>
      </c>
      <c r="C34" s="52">
        <f>C32-C33</f>
        <v>312.83999999999992</v>
      </c>
      <c r="D34" s="52">
        <f t="shared" ref="D34:J34" si="26">D32-D33</f>
        <v>314.88</v>
      </c>
      <c r="E34" s="52">
        <f t="shared" si="26"/>
        <v>10.079999999999998</v>
      </c>
      <c r="F34" s="52">
        <f t="shared" si="26"/>
        <v>20.210000000000008</v>
      </c>
      <c r="G34" s="52">
        <f t="shared" si="26"/>
        <v>20.759999999999991</v>
      </c>
      <c r="H34" s="52">
        <f t="shared" si="26"/>
        <v>80.319999999999993</v>
      </c>
      <c r="I34" s="52">
        <f t="shared" si="26"/>
        <v>39.629999999999995</v>
      </c>
      <c r="J34" s="52">
        <f t="shared" si="26"/>
        <v>25.659999999999968</v>
      </c>
      <c r="K34" s="47"/>
      <c r="M34" s="55"/>
      <c r="N34" s="55"/>
      <c r="O34" s="55"/>
      <c r="P34" s="55"/>
      <c r="Q34" s="55"/>
      <c r="R34" s="55"/>
      <c r="AI34" s="40" t="s">
        <v>66</v>
      </c>
      <c r="AJ34" s="40" t="s">
        <v>67</v>
      </c>
    </row>
    <row r="35" spans="1:36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AI35" s="40" t="s">
        <v>69</v>
      </c>
      <c r="AJ35" s="43" t="s">
        <v>7</v>
      </c>
    </row>
    <row r="36" spans="1:36">
      <c r="A36" s="50">
        <v>1</v>
      </c>
      <c r="B36" s="40" t="s">
        <v>70</v>
      </c>
      <c r="C36" s="46">
        <f>标准成本!D4</f>
        <v>58.223159778699888</v>
      </c>
      <c r="D36" s="46">
        <f>标准成本!D18</f>
        <v>58.87782293612451</v>
      </c>
      <c r="E36" s="46">
        <f>标准成本!D32</f>
        <v>6.2611612276249637</v>
      </c>
      <c r="F36" s="46">
        <f>标准成本!D45</f>
        <v>6.6239585724144501</v>
      </c>
      <c r="G36" s="46">
        <f>标准成本!D58</f>
        <v>9.0007463055865973</v>
      </c>
      <c r="H36" s="46">
        <f>标准成本!D71</f>
        <v>8.7338809510058688</v>
      </c>
      <c r="I36" s="46">
        <f>标准成本!D84</f>
        <v>6.1873226654642837</v>
      </c>
      <c r="J36" s="46">
        <f>标准成本!D97</f>
        <v>19.107908231580872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AI36" s="40" t="s">
        <v>66</v>
      </c>
      <c r="AJ36" s="40" t="s">
        <v>70</v>
      </c>
    </row>
    <row r="37" spans="1:36">
      <c r="A37" s="50">
        <v>2</v>
      </c>
      <c r="B37" s="40" t="s">
        <v>71</v>
      </c>
      <c r="C37" s="46">
        <f>标准成本!D6</f>
        <v>18.094013957988707</v>
      </c>
      <c r="D37" s="46">
        <f>标准成本!D20</f>
        <v>18.297463656583655</v>
      </c>
      <c r="E37" s="46">
        <f>标准成本!D34</f>
        <v>1.9457813536136723</v>
      </c>
      <c r="F37" s="46">
        <f>标准成本!D47</f>
        <v>2.0585279006147807</v>
      </c>
      <c r="G37" s="46">
        <f>标准成本!D60</f>
        <v>2.7971623303271671</v>
      </c>
      <c r="H37" s="46">
        <f>标准成本!D73</f>
        <v>2.7142285721965447</v>
      </c>
      <c r="I37" s="46">
        <f>标准成本!D86</f>
        <v>1.9228345403618445</v>
      </c>
      <c r="J37" s="46">
        <f>标准成本!D99</f>
        <v>5.9381654922939306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AI37" s="40" t="s">
        <v>23</v>
      </c>
      <c r="AJ37" s="40" t="s">
        <v>71</v>
      </c>
    </row>
    <row r="38" spans="1:36">
      <c r="A38" s="50">
        <v>3</v>
      </c>
      <c r="B38" s="40" t="s">
        <v>72</v>
      </c>
      <c r="C38" s="46">
        <f>标准成本!D10</f>
        <v>33.046860000000002</v>
      </c>
      <c r="D38" s="46">
        <f>标准成本!D24</f>
        <v>33.418439999999997</v>
      </c>
      <c r="E38" s="46">
        <f>标准成本!D38</f>
        <v>3.5537700000000001</v>
      </c>
      <c r="F38" s="46">
        <f>标准成本!D51</f>
        <v>3.7596900000000004</v>
      </c>
      <c r="G38" s="46">
        <f>标准成本!D64</f>
        <v>5.1087300000000004</v>
      </c>
      <c r="H38" s="46">
        <f>标准成本!D77</f>
        <v>4.9572599999999998</v>
      </c>
      <c r="I38" s="46">
        <f>标准成本!D90</f>
        <v>3.5118600000000004</v>
      </c>
      <c r="J38" s="46">
        <f>标准成本!D103</f>
        <v>10.84545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AI38" s="40" t="s">
        <v>29</v>
      </c>
      <c r="AJ38" s="40" t="s">
        <v>72</v>
      </c>
    </row>
    <row r="39" spans="1:36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AI39" s="40" t="s">
        <v>73</v>
      </c>
      <c r="AJ39" s="43" t="s">
        <v>74</v>
      </c>
    </row>
    <row r="40" spans="1:36">
      <c r="A40" s="50">
        <v>1</v>
      </c>
      <c r="B40" s="40" t="s">
        <v>75</v>
      </c>
      <c r="C40" s="47">
        <f>C34-C36-C37-C38</f>
        <v>203.47596626331134</v>
      </c>
      <c r="D40" s="47">
        <f t="shared" ref="D40:J40" si="27">D34-D36-D37-D38</f>
        <v>204.28627340729182</v>
      </c>
      <c r="E40" s="47">
        <f t="shared" si="27"/>
        <v>-1.6807125812386379</v>
      </c>
      <c r="F40" s="47">
        <f t="shared" si="27"/>
        <v>7.7678235269707763</v>
      </c>
      <c r="G40" s="47">
        <f t="shared" si="27"/>
        <v>3.8533613640862265</v>
      </c>
      <c r="H40" s="47">
        <f t="shared" si="27"/>
        <v>63.914630476797576</v>
      </c>
      <c r="I40" s="47">
        <f t="shared" si="27"/>
        <v>28.007982794173863</v>
      </c>
      <c r="J40" s="47">
        <f t="shared" si="27"/>
        <v>-10.231523723874833</v>
      </c>
      <c r="K40" s="47"/>
      <c r="AI40" s="40" t="s">
        <v>18</v>
      </c>
      <c r="AJ40" s="40" t="s">
        <v>75</v>
      </c>
    </row>
    <row r="41" spans="1:36">
      <c r="A41" s="50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AI41" s="40" t="s">
        <v>20</v>
      </c>
      <c r="AJ41" s="40" t="s">
        <v>76</v>
      </c>
    </row>
    <row r="42" spans="1:36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AI42" s="40" t="s">
        <v>77</v>
      </c>
      <c r="AJ42" s="43" t="s">
        <v>78</v>
      </c>
    </row>
    <row r="43" spans="1:36">
      <c r="A43" s="50">
        <v>1</v>
      </c>
      <c r="B43" s="48" t="s">
        <v>79</v>
      </c>
      <c r="C43" s="46">
        <f>标准成本!D5</f>
        <v>45.063899999999997</v>
      </c>
      <c r="D43" s="46">
        <f>标准成本!D19</f>
        <v>45.570599999999999</v>
      </c>
      <c r="E43" s="46">
        <f>标准成本!D33</f>
        <v>4.84605</v>
      </c>
      <c r="F43" s="46">
        <f>标准成本!D46</f>
        <v>5.1268500000000001</v>
      </c>
      <c r="G43" s="46">
        <f>标准成本!D59</f>
        <v>6.96645</v>
      </c>
      <c r="H43" s="46">
        <f>标准成本!D72</f>
        <v>6.7599</v>
      </c>
      <c r="I43" s="46">
        <f>标准成本!D85</f>
        <v>4.7888999999999999</v>
      </c>
      <c r="J43" s="46">
        <f>标准成本!D98</f>
        <v>14.789249999999999</v>
      </c>
      <c r="K43" s="47"/>
      <c r="AI43" s="40" t="s">
        <v>18</v>
      </c>
      <c r="AJ43" s="40" t="s">
        <v>79</v>
      </c>
    </row>
    <row r="44" spans="1:36">
      <c r="A44" s="50">
        <v>2</v>
      </c>
      <c r="B44" s="48" t="s">
        <v>80</v>
      </c>
      <c r="C44" s="46">
        <f>标准成本!D9</f>
        <v>7.9112180000000007</v>
      </c>
      <c r="D44" s="46">
        <f>标准成本!D23</f>
        <v>8.0001720000000009</v>
      </c>
      <c r="E44" s="46">
        <f>标准成本!D37</f>
        <v>0.85075100000000003</v>
      </c>
      <c r="F44" s="46">
        <f>标准成本!D50</f>
        <v>0.90004700000000015</v>
      </c>
      <c r="G44" s="46">
        <f>标准成本!D63</f>
        <v>1.2229990000000002</v>
      </c>
      <c r="H44" s="46">
        <f>标准成本!D76</f>
        <v>1.1867380000000001</v>
      </c>
      <c r="I44" s="46">
        <f>标准成本!D89</f>
        <v>0.84071800000000008</v>
      </c>
      <c r="J44" s="46">
        <f>标准成本!D102</f>
        <v>2.5963350000000003</v>
      </c>
      <c r="K44" s="47"/>
      <c r="AI44" s="40" t="s">
        <v>20</v>
      </c>
      <c r="AJ44" s="40" t="s">
        <v>80</v>
      </c>
    </row>
    <row r="45" spans="1:36">
      <c r="A45" s="50">
        <v>3</v>
      </c>
      <c r="B45" s="48" t="s">
        <v>81</v>
      </c>
      <c r="C45" s="46">
        <f>标准成本!D8</f>
        <v>40.620909190573528</v>
      </c>
      <c r="D45" s="46">
        <f>标准成本!D22</f>
        <v>41.07765205319447</v>
      </c>
      <c r="E45" s="46">
        <f>标准成本!D36</f>
        <v>4.3682627775886873</v>
      </c>
      <c r="F45" s="46">
        <f>标准成本!D49</f>
        <v>4.6213778275668975</v>
      </c>
      <c r="G45" s="46">
        <f>标准成本!D62</f>
        <v>6.2796059113985025</v>
      </c>
      <c r="H45" s="46">
        <f>标准成本!D75</f>
        <v>6.0934203217510694</v>
      </c>
      <c r="I45" s="46">
        <f>标准成本!D88</f>
        <v>4.3167473747886351</v>
      </c>
      <c r="J45" s="46">
        <f>标准成本!D101</f>
        <v>13.331131598611961</v>
      </c>
      <c r="K45" s="47"/>
      <c r="AI45" s="40" t="s">
        <v>66</v>
      </c>
      <c r="AJ45" s="40" t="s">
        <v>81</v>
      </c>
    </row>
    <row r="46" spans="1:36" s="35" customFormat="1">
      <c r="A46" s="50">
        <v>4</v>
      </c>
      <c r="B46" s="48" t="s">
        <v>82</v>
      </c>
      <c r="C46" s="53">
        <f>C21/C6</f>
        <v>0.77500000000000002</v>
      </c>
      <c r="D46" s="53">
        <f t="shared" ref="D46:J46" si="28">D21/D6</f>
        <v>0.77500000000000002</v>
      </c>
      <c r="E46" s="53">
        <f t="shared" si="28"/>
        <v>0.77500000000000002</v>
      </c>
      <c r="F46" s="53">
        <f t="shared" si="28"/>
        <v>0.77500000000000002</v>
      </c>
      <c r="G46" s="53">
        <f t="shared" si="28"/>
        <v>0.77500000000000002</v>
      </c>
      <c r="H46" s="53">
        <f t="shared" si="28"/>
        <v>0.77500000000000002</v>
      </c>
      <c r="I46" s="53">
        <f t="shared" si="28"/>
        <v>0.77500000000000002</v>
      </c>
      <c r="J46" s="53">
        <f t="shared" si="28"/>
        <v>0.77500000000000002</v>
      </c>
      <c r="K46" s="53"/>
      <c r="AI46" s="48" t="s">
        <v>26</v>
      </c>
      <c r="AJ46" s="48" t="s">
        <v>84</v>
      </c>
    </row>
    <row r="47" spans="1:36" s="35" customFormat="1">
      <c r="A47" s="50">
        <v>5</v>
      </c>
      <c r="B47" s="48" t="s">
        <v>84</v>
      </c>
      <c r="C47" s="46">
        <f>标准成本!D11</f>
        <v>21.330245999999999</v>
      </c>
      <c r="D47" s="46">
        <f>标准成本!D25</f>
        <v>21.570083999999998</v>
      </c>
      <c r="E47" s="46">
        <f>标准成本!D39</f>
        <v>2.2937970000000001</v>
      </c>
      <c r="F47" s="46">
        <f>标准成本!D52</f>
        <v>2.4267090000000002</v>
      </c>
      <c r="G47" s="46">
        <f>标准成本!D65</f>
        <v>3.297453</v>
      </c>
      <c r="H47" s="46">
        <f>标准成本!D78</f>
        <v>3.1996859999999998</v>
      </c>
      <c r="I47" s="46">
        <f>标准成本!D91</f>
        <v>2.2667459999999999</v>
      </c>
      <c r="J47" s="46">
        <f>标准成本!D104</f>
        <v>7.0002449999999996</v>
      </c>
      <c r="K47" s="53"/>
      <c r="AI47" s="48" t="s">
        <v>26</v>
      </c>
      <c r="AJ47" s="48" t="s">
        <v>84</v>
      </c>
    </row>
    <row r="48" spans="1:36">
      <c r="A48" s="40" t="s">
        <v>77</v>
      </c>
      <c r="B48" s="43" t="s">
        <v>95</v>
      </c>
      <c r="C48" s="47">
        <f>C40-C43-C44-C45-C47-C46</f>
        <v>87.774693072737819</v>
      </c>
      <c r="D48" s="47">
        <f t="shared" ref="D48:J48" si="29">D40-D43-D44-D45-D47-D46</f>
        <v>87.292765354097369</v>
      </c>
      <c r="E48" s="47">
        <f t="shared" si="29"/>
        <v>-14.814573358827325</v>
      </c>
      <c r="F48" s="47">
        <f t="shared" si="29"/>
        <v>-6.0821603005961222</v>
      </c>
      <c r="G48" s="47">
        <f t="shared" si="29"/>
        <v>-14.688146547312277</v>
      </c>
      <c r="H48" s="47">
        <f t="shared" si="29"/>
        <v>45.899886155046509</v>
      </c>
      <c r="I48" s="47">
        <f t="shared" si="29"/>
        <v>15.019871419385229</v>
      </c>
      <c r="J48" s="47">
        <f t="shared" si="29"/>
        <v>-48.723485322486795</v>
      </c>
      <c r="K48" s="47"/>
      <c r="AI48" s="40" t="s">
        <v>94</v>
      </c>
      <c r="AJ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9" activePane="bottomRight" state="frozen"/>
      <selection pane="topRight"/>
      <selection pane="bottomLeft"/>
      <selection pane="bottomRight" activeCell="D37" sqref="D37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3" t="s">
        <v>135</v>
      </c>
      <c r="B1" s="253"/>
      <c r="C1" s="257" t="s">
        <v>234</v>
      </c>
      <c r="D1" s="258"/>
      <c r="E1" s="258"/>
      <c r="F1" s="258"/>
      <c r="G1" s="258"/>
      <c r="H1" s="258"/>
      <c r="I1" s="258"/>
      <c r="J1" s="258"/>
      <c r="K1" s="259"/>
    </row>
    <row r="2" spans="1:40">
      <c r="A2" s="253" t="s">
        <v>136</v>
      </c>
      <c r="B2" s="253"/>
      <c r="C2" s="260" t="str">
        <f>'2023年'!C2:K2</f>
        <v>一汽解放青岛汽车有限公司</v>
      </c>
      <c r="D2" s="260"/>
      <c r="E2" s="260"/>
      <c r="F2" s="260"/>
      <c r="G2" s="260"/>
      <c r="H2" s="260"/>
      <c r="I2" s="260"/>
      <c r="J2" s="260"/>
      <c r="K2" s="260"/>
    </row>
    <row r="3" spans="1:40">
      <c r="A3" s="253" t="s">
        <v>137</v>
      </c>
      <c r="B3" s="253"/>
      <c r="C3" s="147" t="str">
        <f>'2023年'!C3</f>
        <v>驾驶员座总成</v>
      </c>
      <c r="D3" s="147" t="str">
        <f>'2023年'!D3</f>
        <v>驾驶员座总成</v>
      </c>
      <c r="E3" s="147" t="str">
        <f>'2023年'!E3</f>
        <v>座垫总成-前座</v>
      </c>
      <c r="F3" s="147" t="str">
        <f>'2023年'!F3</f>
        <v>座垫总成-前座</v>
      </c>
      <c r="G3" s="147" t="str">
        <f>'2023年'!G3</f>
        <v>主靠背总成-前座</v>
      </c>
      <c r="H3" s="147" t="str">
        <f>'2023年'!H3</f>
        <v>副靠背总成</v>
      </c>
      <c r="I3" s="147" t="str">
        <f>'2023年'!I3</f>
        <v>副靠背总成</v>
      </c>
      <c r="J3" s="147" t="str">
        <f>'2023年'!J3</f>
        <v>虎V副司机</v>
      </c>
      <c r="K3" s="254" t="s">
        <v>14</v>
      </c>
    </row>
    <row r="4" spans="1:40" ht="42.75">
      <c r="A4" s="253" t="s">
        <v>138</v>
      </c>
      <c r="B4" s="253"/>
      <c r="C4" s="147" t="str">
        <f>'2023年'!C4</f>
        <v>6800010MA96</v>
      </c>
      <c r="D4" s="147" t="str">
        <f>'2023年'!D4</f>
        <v>6800010MA98</v>
      </c>
      <c r="E4" s="147" t="str">
        <f>'2023年'!E4</f>
        <v>6903010MA96</v>
      </c>
      <c r="F4" s="147" t="str">
        <f>'2023年'!F4</f>
        <v>6903010MA98</v>
      </c>
      <c r="G4" s="147" t="str">
        <f>'2023年'!G4</f>
        <v>6905020MA96</v>
      </c>
      <c r="H4" s="147" t="str">
        <f>'2023年'!H4</f>
        <v>6905100MA96</v>
      </c>
      <c r="I4" s="147" t="str">
        <f>'2023年'!I4</f>
        <v>6905100MA98</v>
      </c>
      <c r="J4" s="147" t="str">
        <f>'2023年'!J4</f>
        <v>6903010AE411、6905020AE411、6905100AE411</v>
      </c>
      <c r="K4" s="255"/>
    </row>
    <row r="5" spans="1:40">
      <c r="A5" s="253" t="s">
        <v>139</v>
      </c>
      <c r="B5" s="253"/>
      <c r="C5" s="39"/>
      <c r="D5" s="39"/>
      <c r="E5" s="39"/>
      <c r="F5" s="39"/>
      <c r="G5" s="39"/>
      <c r="H5" s="39"/>
      <c r="I5" s="39"/>
      <c r="J5" s="39"/>
      <c r="K5" s="256"/>
      <c r="AN5" s="36" t="s">
        <v>15</v>
      </c>
    </row>
    <row r="6" spans="1:40" ht="17.25">
      <c r="A6" s="40" t="s">
        <v>13</v>
      </c>
      <c r="B6" s="41" t="s">
        <v>140</v>
      </c>
      <c r="C6" s="12">
        <f>销量!C10</f>
        <v>1600</v>
      </c>
      <c r="D6" s="12">
        <f>销量!D10</f>
        <v>2400</v>
      </c>
      <c r="E6" s="12">
        <f>销量!E10</f>
        <v>1600</v>
      </c>
      <c r="F6" s="12">
        <f>销量!F10</f>
        <v>2400</v>
      </c>
      <c r="G6" s="12">
        <f>销量!G10</f>
        <v>4000</v>
      </c>
      <c r="H6" s="12">
        <f>销量!H10</f>
        <v>1600</v>
      </c>
      <c r="I6" s="12">
        <f>销量!I10</f>
        <v>2400</v>
      </c>
      <c r="J6" s="12">
        <f>销量!J10</f>
        <v>5000</v>
      </c>
      <c r="K6" s="42">
        <f t="shared" ref="K6:K15" si="0">SUM(C6:J6)</f>
        <v>21000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6">
        <v>1</v>
      </c>
      <c r="B7" s="41" t="s">
        <v>17</v>
      </c>
      <c r="C7" s="42">
        <f>C6*销量!C8</f>
        <v>1602272</v>
      </c>
      <c r="D7" s="42">
        <f>D6*销量!D8</f>
        <v>2430432</v>
      </c>
      <c r="E7" s="42">
        <f>E6*销量!E8</f>
        <v>172304</v>
      </c>
      <c r="F7" s="42">
        <f>F6*销量!F8</f>
        <v>273432</v>
      </c>
      <c r="G7" s="42">
        <f>G6*销量!G8</f>
        <v>619240</v>
      </c>
      <c r="H7" s="42">
        <f>H6*销量!H8</f>
        <v>240352</v>
      </c>
      <c r="I7" s="42">
        <f>I6*销量!I8</f>
        <v>255408</v>
      </c>
      <c r="J7" s="42">
        <f>J6*销量!J8</f>
        <v>1643250</v>
      </c>
      <c r="K7" s="42">
        <f>SUM(C7:J7)</f>
        <v>7236690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6">
        <v>2</v>
      </c>
      <c r="B8" s="146" t="s">
        <v>19</v>
      </c>
      <c r="C8" s="42">
        <f>C7*(1-销量!$O$7)</f>
        <v>40056.800000000032</v>
      </c>
      <c r="D8" s="42">
        <f>D7*(1-销量!$O$7)</f>
        <v>60760.800000000054</v>
      </c>
      <c r="E8" s="42">
        <f>E7*(1-销量!$O$7)</f>
        <v>4307.600000000004</v>
      </c>
      <c r="F8" s="42">
        <f>F7*(1-销量!$O$7)</f>
        <v>6835.8000000000056</v>
      </c>
      <c r="G8" s="42">
        <f>G7*(1-销量!$O$7)</f>
        <v>15481.000000000015</v>
      </c>
      <c r="H8" s="42">
        <f>H7*(1-销量!$O$7)</f>
        <v>6008.8000000000056</v>
      </c>
      <c r="I8" s="42">
        <f>I7*(1-销量!$O$7)</f>
        <v>6385.2000000000053</v>
      </c>
      <c r="J8" s="42">
        <f>J7*(1-销量!$O$7)</f>
        <v>41081.250000000036</v>
      </c>
      <c r="K8" s="42">
        <f t="shared" si="0"/>
        <v>180917.25000000017</v>
      </c>
      <c r="L8" s="57"/>
      <c r="V8" s="146" t="s">
        <v>21</v>
      </c>
      <c r="AL8" s="40" t="s">
        <v>20</v>
      </c>
      <c r="AM8" s="146" t="s">
        <v>21</v>
      </c>
      <c r="AN8" s="36" t="s">
        <v>16</v>
      </c>
    </row>
    <row r="9" spans="1:40">
      <c r="A9" s="146">
        <v>3</v>
      </c>
      <c r="B9" s="41" t="s">
        <v>22</v>
      </c>
      <c r="C9" s="42">
        <f>+C7-C8</f>
        <v>1562215.2</v>
      </c>
      <c r="D9" s="42">
        <f t="shared" ref="D9:J9" si="1">+D7-D8</f>
        <v>2369671.1999999997</v>
      </c>
      <c r="E9" s="42">
        <f t="shared" si="1"/>
        <v>167996.4</v>
      </c>
      <c r="F9" s="42">
        <f t="shared" si="1"/>
        <v>266596.2</v>
      </c>
      <c r="G9" s="42">
        <f t="shared" si="1"/>
        <v>603759</v>
      </c>
      <c r="H9" s="42">
        <f t="shared" si="1"/>
        <v>234343.19999999998</v>
      </c>
      <c r="I9" s="42">
        <f t="shared" si="1"/>
        <v>249022.8</v>
      </c>
      <c r="J9" s="42">
        <f t="shared" si="1"/>
        <v>1602168.75</v>
      </c>
      <c r="K9" s="42">
        <f t="shared" si="0"/>
        <v>7055772.7499999991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6">
        <v>4</v>
      </c>
      <c r="B10" s="40" t="s">
        <v>25</v>
      </c>
      <c r="C10" s="42">
        <f>C6*C33</f>
        <v>1074184.8</v>
      </c>
      <c r="D10" s="42">
        <f t="shared" ref="D10:J10" si="2">D6*D33</f>
        <v>1632851.9999999998</v>
      </c>
      <c r="E10" s="42">
        <f t="shared" si="2"/>
        <v>152271.59999999998</v>
      </c>
      <c r="F10" s="42">
        <f t="shared" si="2"/>
        <v>219304.8</v>
      </c>
      <c r="G10" s="42">
        <f t="shared" si="2"/>
        <v>522795.00000000006</v>
      </c>
      <c r="H10" s="42">
        <f t="shared" si="2"/>
        <v>109044</v>
      </c>
      <c r="I10" s="42">
        <f t="shared" si="2"/>
        <v>156288.6</v>
      </c>
      <c r="J10" s="42">
        <f t="shared" si="2"/>
        <v>1477076.25</v>
      </c>
      <c r="K10" s="42">
        <f t="shared" si="0"/>
        <v>5343817.05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6">
        <v>5</v>
      </c>
      <c r="B11" s="40" t="s">
        <v>28</v>
      </c>
      <c r="C11" s="42">
        <f>+C6*C36</f>
        <v>93157.055645919827</v>
      </c>
      <c r="D11" s="42">
        <f t="shared" ref="D11:J11" si="3">+D6*D36</f>
        <v>141306.77504669884</v>
      </c>
      <c r="E11" s="42">
        <f t="shared" si="3"/>
        <v>10017.857964199942</v>
      </c>
      <c r="F11" s="42">
        <f t="shared" si="3"/>
        <v>15897.500573794679</v>
      </c>
      <c r="G11" s="42">
        <f t="shared" si="3"/>
        <v>36002.985222346389</v>
      </c>
      <c r="H11" s="42">
        <f t="shared" si="3"/>
        <v>13974.209521609389</v>
      </c>
      <c r="I11" s="42">
        <f t="shared" si="3"/>
        <v>14849.57439711428</v>
      </c>
      <c r="J11" s="42">
        <f t="shared" si="3"/>
        <v>95539.541157904358</v>
      </c>
      <c r="K11" s="42">
        <f t="shared" si="0"/>
        <v>420745.49952958775</v>
      </c>
      <c r="V11" s="40" t="s">
        <v>28</v>
      </c>
      <c r="AL11" s="40" t="s">
        <v>29</v>
      </c>
      <c r="AM11" s="40" t="s">
        <v>28</v>
      </c>
    </row>
    <row r="12" spans="1:40">
      <c r="A12" s="146">
        <v>6</v>
      </c>
      <c r="B12" s="40" t="s">
        <v>30</v>
      </c>
      <c r="C12" s="42">
        <f>+C6*C37</f>
        <v>28950.422332781931</v>
      </c>
      <c r="D12" s="42">
        <f t="shared" ref="D12:J12" si="4">+D6*D37</f>
        <v>43913.912775800774</v>
      </c>
      <c r="E12" s="42">
        <f t="shared" si="4"/>
        <v>3113.2501657818757</v>
      </c>
      <c r="F12" s="42">
        <f t="shared" si="4"/>
        <v>4940.4669614754739</v>
      </c>
      <c r="G12" s="42">
        <f t="shared" si="4"/>
        <v>11188.649321308669</v>
      </c>
      <c r="H12" s="42">
        <f t="shared" si="4"/>
        <v>4342.7657155144716</v>
      </c>
      <c r="I12" s="42">
        <f t="shared" si="4"/>
        <v>4614.8028968684266</v>
      </c>
      <c r="J12" s="42">
        <f t="shared" si="4"/>
        <v>29690.827461469653</v>
      </c>
      <c r="K12" s="42">
        <f t="shared" si="0"/>
        <v>130755.09763100126</v>
      </c>
      <c r="V12" s="40" t="s">
        <v>30</v>
      </c>
      <c r="AL12" s="40" t="s">
        <v>31</v>
      </c>
      <c r="AM12" s="40" t="s">
        <v>30</v>
      </c>
    </row>
    <row r="13" spans="1:40">
      <c r="A13" s="146">
        <v>7</v>
      </c>
      <c r="B13" s="40" t="s">
        <v>32</v>
      </c>
      <c r="C13" s="42">
        <f>+C6*C38</f>
        <v>52874.976000000002</v>
      </c>
      <c r="D13" s="42">
        <f t="shared" ref="D13:J13" si="5">+D6*D38</f>
        <v>80204.255999999994</v>
      </c>
      <c r="E13" s="42">
        <f t="shared" si="5"/>
        <v>5686.0320000000002</v>
      </c>
      <c r="F13" s="42">
        <f t="shared" si="5"/>
        <v>9023.2560000000012</v>
      </c>
      <c r="G13" s="42">
        <f t="shared" si="5"/>
        <v>20434.920000000002</v>
      </c>
      <c r="H13" s="42">
        <f t="shared" si="5"/>
        <v>7931.616</v>
      </c>
      <c r="I13" s="42">
        <f t="shared" si="5"/>
        <v>8428.4640000000018</v>
      </c>
      <c r="J13" s="42">
        <f t="shared" si="5"/>
        <v>54227.25</v>
      </c>
      <c r="K13" s="42">
        <f t="shared" si="0"/>
        <v>238810.77000000002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6">
        <v>8</v>
      </c>
      <c r="B14" s="43" t="s">
        <v>34</v>
      </c>
      <c r="C14" s="42">
        <f>SUM(C11:C13)</f>
        <v>174982.45397870176</v>
      </c>
      <c r="D14" s="42">
        <f t="shared" ref="D14:J14" si="6">SUM(D11:D13)</f>
        <v>265424.9438224996</v>
      </c>
      <c r="E14" s="42">
        <f t="shared" si="6"/>
        <v>18817.140129981817</v>
      </c>
      <c r="F14" s="42">
        <f t="shared" si="6"/>
        <v>29861.223535270154</v>
      </c>
      <c r="G14" s="42">
        <f t="shared" si="6"/>
        <v>67626.55454365506</v>
      </c>
      <c r="H14" s="42">
        <f t="shared" si="6"/>
        <v>26248.591237123859</v>
      </c>
      <c r="I14" s="42">
        <f t="shared" si="6"/>
        <v>27892.84129398271</v>
      </c>
      <c r="J14" s="42">
        <f t="shared" si="6"/>
        <v>179457.618619374</v>
      </c>
      <c r="K14" s="42">
        <f t="shared" si="0"/>
        <v>790311.36716058885</v>
      </c>
      <c r="V14" s="43" t="s">
        <v>34</v>
      </c>
      <c r="AL14" s="40" t="s">
        <v>35</v>
      </c>
      <c r="AM14" s="43" t="s">
        <v>34</v>
      </c>
    </row>
    <row r="15" spans="1:40">
      <c r="A15" s="146">
        <v>9</v>
      </c>
      <c r="B15" s="43" t="s">
        <v>36</v>
      </c>
      <c r="C15" s="42">
        <f>+C9-C10-C14</f>
        <v>313047.94602129818</v>
      </c>
      <c r="D15" s="42">
        <f t="shared" ref="D15:J15" si="7">+D9-D10-D14</f>
        <v>471394.25617750036</v>
      </c>
      <c r="E15" s="42">
        <f t="shared" si="7"/>
        <v>-3092.3401299817997</v>
      </c>
      <c r="F15" s="42">
        <f t="shared" si="7"/>
        <v>17430.17646472987</v>
      </c>
      <c r="G15" s="42">
        <f t="shared" si="7"/>
        <v>13337.445456344882</v>
      </c>
      <c r="H15" s="42">
        <f t="shared" si="7"/>
        <v>99050.608762876131</v>
      </c>
      <c r="I15" s="42">
        <f t="shared" si="7"/>
        <v>64841.358706017272</v>
      </c>
      <c r="J15" s="42">
        <f t="shared" si="7"/>
        <v>-54365.118619374</v>
      </c>
      <c r="K15" s="42">
        <f t="shared" si="0"/>
        <v>921644.33283941087</v>
      </c>
      <c r="V15" s="43" t="s">
        <v>36</v>
      </c>
      <c r="AL15" s="40" t="s">
        <v>37</v>
      </c>
      <c r="AM15" s="43" t="s">
        <v>36</v>
      </c>
    </row>
    <row r="16" spans="1:40">
      <c r="A16" s="146">
        <v>10</v>
      </c>
      <c r="B16" s="40" t="s">
        <v>38</v>
      </c>
      <c r="C16" s="44">
        <f>+C15/C9</f>
        <v>0.20038721043125057</v>
      </c>
      <c r="D16" s="44">
        <f t="shared" ref="D16:J16" si="8">+D15/D9</f>
        <v>0.19892812816288624</v>
      </c>
      <c r="E16" s="44">
        <f t="shared" si="8"/>
        <v>-1.8407180927578207E-2</v>
      </c>
      <c r="F16" s="44">
        <f t="shared" si="8"/>
        <v>6.5380438523616871E-2</v>
      </c>
      <c r="G16" s="44">
        <f t="shared" si="8"/>
        <v>2.2090677665003555E-2</v>
      </c>
      <c r="H16" s="44">
        <f t="shared" si="8"/>
        <v>0.42267327903210394</v>
      </c>
      <c r="I16" s="44">
        <f t="shared" si="8"/>
        <v>0.26038322075736547</v>
      </c>
      <c r="J16" s="44">
        <f t="shared" si="8"/>
        <v>-3.3932205093485941E-2</v>
      </c>
      <c r="K16" s="44">
        <f t="shared" ref="K16" si="9">+K15/K9</f>
        <v>0.13062273481517825</v>
      </c>
      <c r="V16" s="40" t="s">
        <v>38</v>
      </c>
      <c r="AL16" s="40" t="s">
        <v>39</v>
      </c>
      <c r="AM16" s="40" t="s">
        <v>38</v>
      </c>
    </row>
    <row r="17" spans="1:40">
      <c r="A17" s="146">
        <v>11</v>
      </c>
      <c r="B17" s="40" t="s">
        <v>40</v>
      </c>
      <c r="C17" s="42">
        <f>C6*C43+C18</f>
        <v>72102.239999999991</v>
      </c>
      <c r="D17" s="42">
        <f t="shared" ref="D17:J17" si="10">D6*D43+D18</f>
        <v>109369.44</v>
      </c>
      <c r="E17" s="42">
        <f t="shared" si="10"/>
        <v>7753.68</v>
      </c>
      <c r="F17" s="42">
        <f t="shared" si="10"/>
        <v>12304.44</v>
      </c>
      <c r="G17" s="42">
        <f t="shared" si="10"/>
        <v>27865.8</v>
      </c>
      <c r="H17" s="42">
        <f t="shared" si="10"/>
        <v>10815.84</v>
      </c>
      <c r="I17" s="42">
        <f t="shared" si="10"/>
        <v>11493.36</v>
      </c>
      <c r="J17" s="42">
        <f t="shared" si="10"/>
        <v>73946.25</v>
      </c>
      <c r="K17" s="42">
        <f>SUM(C17:J17)</f>
        <v>325651.05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6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142</v>
      </c>
      <c r="M18" s="58"/>
      <c r="N18" s="58"/>
    </row>
    <row r="19" spans="1:40">
      <c r="A19" s="146">
        <v>13</v>
      </c>
      <c r="B19" s="40" t="s">
        <v>42</v>
      </c>
      <c r="C19" s="42">
        <f>C6*C44</f>
        <v>12657.948800000002</v>
      </c>
      <c r="D19" s="42">
        <f t="shared" ref="D19:J19" si="12">D6*D44</f>
        <v>19200.412800000002</v>
      </c>
      <c r="E19" s="42">
        <f t="shared" si="12"/>
        <v>1361.2016000000001</v>
      </c>
      <c r="F19" s="42">
        <f t="shared" si="12"/>
        <v>2160.1128000000003</v>
      </c>
      <c r="G19" s="42">
        <f t="shared" si="12"/>
        <v>4891.996000000001</v>
      </c>
      <c r="H19" s="42">
        <f t="shared" si="12"/>
        <v>1898.7808</v>
      </c>
      <c r="I19" s="42">
        <f t="shared" si="12"/>
        <v>2017.7232000000001</v>
      </c>
      <c r="J19" s="42">
        <f t="shared" si="12"/>
        <v>12981.675000000001</v>
      </c>
      <c r="K19" s="42">
        <f>SUM(C19:J19)</f>
        <v>57169.85100000001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6">
        <v>14</v>
      </c>
      <c r="B20" s="40" t="s">
        <v>44</v>
      </c>
      <c r="C20" s="42">
        <f>C6*C45</f>
        <v>64993.454704917647</v>
      </c>
      <c r="D20" s="42">
        <f t="shared" ref="D20:J20" si="13">D6*D45</f>
        <v>98586.364927666727</v>
      </c>
      <c r="E20" s="42">
        <f t="shared" si="13"/>
        <v>6989.2204441418999</v>
      </c>
      <c r="F20" s="42">
        <f t="shared" si="13"/>
        <v>11091.306786160554</v>
      </c>
      <c r="G20" s="42">
        <f t="shared" si="13"/>
        <v>25118.423645594012</v>
      </c>
      <c r="H20" s="42">
        <f t="shared" si="13"/>
        <v>9749.4725148017114</v>
      </c>
      <c r="I20" s="42">
        <f t="shared" si="13"/>
        <v>10360.193699492724</v>
      </c>
      <c r="J20" s="42">
        <f t="shared" si="13"/>
        <v>66655.657993059809</v>
      </c>
      <c r="K20" s="42">
        <f>SUM(C20:J20)</f>
        <v>293544.09471583506</v>
      </c>
      <c r="V20" s="40" t="s">
        <v>44</v>
      </c>
      <c r="AL20" s="40" t="s">
        <v>45</v>
      </c>
      <c r="AM20" s="40" t="s">
        <v>44</v>
      </c>
    </row>
    <row r="21" spans="1:40">
      <c r="A21" s="146">
        <v>15</v>
      </c>
      <c r="B21" s="40" t="s">
        <v>46</v>
      </c>
      <c r="C21" s="47">
        <f>$K$21/$K$6*C6</f>
        <v>944.76190476190482</v>
      </c>
      <c r="D21" s="47">
        <f t="shared" ref="D21:J21" si="14">$K$21/$K$6*D6</f>
        <v>1417.1428571428571</v>
      </c>
      <c r="E21" s="47">
        <f t="shared" si="14"/>
        <v>944.76190476190482</v>
      </c>
      <c r="F21" s="47">
        <f t="shared" si="14"/>
        <v>1417.1428571428571</v>
      </c>
      <c r="G21" s="47">
        <f t="shared" si="14"/>
        <v>2361.9047619047619</v>
      </c>
      <c r="H21" s="47">
        <f t="shared" si="14"/>
        <v>944.76190476190482</v>
      </c>
      <c r="I21" s="47">
        <f t="shared" si="14"/>
        <v>1417.1428571428571</v>
      </c>
      <c r="J21" s="47">
        <f t="shared" si="14"/>
        <v>2952.3809523809523</v>
      </c>
      <c r="K21" s="42">
        <f>项目投资!E27</f>
        <v>12400</v>
      </c>
      <c r="V21" s="40" t="s">
        <v>46</v>
      </c>
      <c r="AL21" s="40"/>
      <c r="AM21" s="40"/>
    </row>
    <row r="22" spans="1:40">
      <c r="A22" s="146">
        <v>16</v>
      </c>
      <c r="B22" s="40" t="s">
        <v>47</v>
      </c>
      <c r="C22" s="42">
        <f>C6*C47</f>
        <v>34128.393599999996</v>
      </c>
      <c r="D22" s="42">
        <f t="shared" ref="D22:J22" si="15">D6*D47</f>
        <v>51768.201599999993</v>
      </c>
      <c r="E22" s="42">
        <f t="shared" si="15"/>
        <v>3670.0752000000002</v>
      </c>
      <c r="F22" s="42">
        <f t="shared" si="15"/>
        <v>5824.1016000000009</v>
      </c>
      <c r="G22" s="42">
        <f t="shared" si="15"/>
        <v>13189.812</v>
      </c>
      <c r="H22" s="42">
        <f t="shared" si="15"/>
        <v>5119.4975999999997</v>
      </c>
      <c r="I22" s="42">
        <f t="shared" si="15"/>
        <v>5440.1903999999995</v>
      </c>
      <c r="J22" s="42">
        <f t="shared" si="15"/>
        <v>35001.224999999999</v>
      </c>
      <c r="K22" s="42">
        <f>SUM(C22:J22)</f>
        <v>154141.497</v>
      </c>
      <c r="V22" s="40" t="s">
        <v>47</v>
      </c>
      <c r="AL22" s="40" t="s">
        <v>48</v>
      </c>
      <c r="AM22" s="40" t="s">
        <v>47</v>
      </c>
    </row>
    <row r="23" spans="1:40">
      <c r="A23" s="146">
        <v>17</v>
      </c>
      <c r="B23" s="43" t="s">
        <v>49</v>
      </c>
      <c r="C23" s="47">
        <f>+C22+C21+C20+C19+C17</f>
        <v>184826.79900967953</v>
      </c>
      <c r="D23" s="47">
        <f t="shared" ref="D23:J23" si="16">+D22+D21+D20+D19+D17</f>
        <v>280341.56218480959</v>
      </c>
      <c r="E23" s="47">
        <f t="shared" si="16"/>
        <v>20718.939148903806</v>
      </c>
      <c r="F23" s="47">
        <f t="shared" si="16"/>
        <v>32797.104043303414</v>
      </c>
      <c r="G23" s="47">
        <f t="shared" si="16"/>
        <v>73427.936407498768</v>
      </c>
      <c r="H23" s="47">
        <f t="shared" si="16"/>
        <v>28528.352819563617</v>
      </c>
      <c r="I23" s="47">
        <f t="shared" si="16"/>
        <v>30728.610156635579</v>
      </c>
      <c r="J23" s="47">
        <f t="shared" si="16"/>
        <v>191537.18894544075</v>
      </c>
      <c r="K23" s="47">
        <f t="shared" ref="K23" si="17">+K22+K21+K20+K19+K17</f>
        <v>842906.49271583511</v>
      </c>
      <c r="V23" s="43" t="s">
        <v>49</v>
      </c>
      <c r="AL23" s="40" t="s">
        <v>50</v>
      </c>
      <c r="AM23" s="43" t="s">
        <v>49</v>
      </c>
    </row>
    <row r="24" spans="1:40">
      <c r="A24" s="146">
        <v>18</v>
      </c>
      <c r="B24" s="48" t="s">
        <v>51</v>
      </c>
      <c r="C24" s="47">
        <f>+C15-C23</f>
        <v>128221.14701161865</v>
      </c>
      <c r="D24" s="47">
        <f t="shared" ref="D24:J24" si="18">+D15-D23</f>
        <v>191052.69399269077</v>
      </c>
      <c r="E24" s="47">
        <f t="shared" si="18"/>
        <v>-23811.279278885606</v>
      </c>
      <c r="F24" s="47">
        <f t="shared" si="18"/>
        <v>-15366.927578573544</v>
      </c>
      <c r="G24" s="47">
        <f t="shared" si="18"/>
        <v>-60090.490951153886</v>
      </c>
      <c r="H24" s="47">
        <f t="shared" si="18"/>
        <v>70522.255943312513</v>
      </c>
      <c r="I24" s="47">
        <f t="shared" si="18"/>
        <v>34112.748549381693</v>
      </c>
      <c r="J24" s="47">
        <f t="shared" si="18"/>
        <v>-245902.30756481475</v>
      </c>
      <c r="K24" s="47">
        <f t="shared" ref="K24" si="19">+K15-K23</f>
        <v>78737.840123575763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6">
        <v>19</v>
      </c>
      <c r="B25" s="40" t="s">
        <v>230</v>
      </c>
      <c r="C25" s="47">
        <f>IF(C24&lt;0,0,C24*0.15)</f>
        <v>19233.172051742797</v>
      </c>
      <c r="D25" s="47">
        <f t="shared" ref="D25:J25" si="20">IF(D24&lt;0,0,D24*0.15)</f>
        <v>28657.904098903615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10578.338391496876</v>
      </c>
      <c r="I25" s="47">
        <f t="shared" si="20"/>
        <v>5116.9122824072538</v>
      </c>
      <c r="J25" s="47">
        <f t="shared" si="20"/>
        <v>0</v>
      </c>
      <c r="K25" s="47">
        <f>IF(K24&lt;0,0,K24*0.15)</f>
        <v>11810.676018536364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6">
        <v>20</v>
      </c>
      <c r="B26" s="40" t="s">
        <v>55</v>
      </c>
      <c r="C26" s="47">
        <f t="shared" ref="C26" si="21">C24-C25</f>
        <v>108987.97495987586</v>
      </c>
      <c r="D26" s="47">
        <f t="shared" ref="D26:J26" si="22">D24-D25</f>
        <v>162394.78989378715</v>
      </c>
      <c r="E26" s="47">
        <f t="shared" si="22"/>
        <v>-23811.279278885606</v>
      </c>
      <c r="F26" s="47">
        <f t="shared" si="22"/>
        <v>-15366.927578573544</v>
      </c>
      <c r="G26" s="47">
        <f t="shared" si="22"/>
        <v>-60090.490951153886</v>
      </c>
      <c r="H26" s="47">
        <f t="shared" si="22"/>
        <v>59943.917551815641</v>
      </c>
      <c r="I26" s="47">
        <f t="shared" si="22"/>
        <v>28995.836266974438</v>
      </c>
      <c r="J26" s="47">
        <f t="shared" si="22"/>
        <v>-245902.30756481475</v>
      </c>
      <c r="K26" s="42">
        <f>K24-K25</f>
        <v>66927.164105039396</v>
      </c>
      <c r="L26" s="55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6">
        <v>21</v>
      </c>
      <c r="B27" s="40" t="s">
        <v>59</v>
      </c>
      <c r="C27" s="49">
        <f t="shared" ref="C27:K27" si="23">C26/C7</f>
        <v>6.8020894679477556E-2</v>
      </c>
      <c r="D27" s="49">
        <f t="shared" ref="D27:J27" si="24">D26/D7</f>
        <v>6.6817253020774556E-2</v>
      </c>
      <c r="E27" s="49">
        <f t="shared" si="24"/>
        <v>-0.13819342138827656</v>
      </c>
      <c r="F27" s="49">
        <f t="shared" si="24"/>
        <v>-5.6200179856686648E-2</v>
      </c>
      <c r="G27" s="49">
        <f t="shared" si="24"/>
        <v>-9.7039097847609793E-2</v>
      </c>
      <c r="H27" s="49">
        <f t="shared" si="24"/>
        <v>0.24940053568023415</v>
      </c>
      <c r="I27" s="49">
        <f t="shared" si="24"/>
        <v>0.11352751780278784</v>
      </c>
      <c r="J27" s="49">
        <f t="shared" si="24"/>
        <v>-0.14964388106789275</v>
      </c>
      <c r="K27" s="49">
        <f t="shared" si="23"/>
        <v>9.2483116044820759E-3</v>
      </c>
      <c r="L27" s="55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6">
        <v>1</v>
      </c>
      <c r="B31" s="45" t="s">
        <v>64</v>
      </c>
      <c r="C31" s="51">
        <f>'2023年'!C31</f>
        <v>1001.42</v>
      </c>
      <c r="D31" s="51">
        <f>'2023年'!D31</f>
        <v>1012.68</v>
      </c>
      <c r="E31" s="51">
        <f>'2023年'!E31</f>
        <v>107.69</v>
      </c>
      <c r="F31" s="51">
        <f>'2023年'!F31</f>
        <v>113.93</v>
      </c>
      <c r="G31" s="51">
        <f>'2023年'!G31</f>
        <v>154.81</v>
      </c>
      <c r="H31" s="51">
        <f>'2023年'!H31</f>
        <v>150.22</v>
      </c>
      <c r="I31" s="51">
        <f>'2023年'!I31</f>
        <v>106.42</v>
      </c>
      <c r="J31" s="51">
        <f>'2023年'!J31</f>
        <v>328.65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6">
        <v>2</v>
      </c>
      <c r="B32" s="40" t="s">
        <v>144</v>
      </c>
      <c r="C32" s="42">
        <f>C9/C6</f>
        <v>976.3845</v>
      </c>
      <c r="D32" s="42">
        <f t="shared" ref="D32:J32" si="25">D9/D6</f>
        <v>987.36299999999983</v>
      </c>
      <c r="E32" s="42">
        <f t="shared" si="25"/>
        <v>104.99775</v>
      </c>
      <c r="F32" s="42">
        <f t="shared" si="25"/>
        <v>111.08175</v>
      </c>
      <c r="G32" s="42">
        <f t="shared" si="25"/>
        <v>150.93975</v>
      </c>
      <c r="H32" s="42">
        <f t="shared" si="25"/>
        <v>146.46449999999999</v>
      </c>
      <c r="I32" s="42">
        <f t="shared" si="25"/>
        <v>103.75949999999999</v>
      </c>
      <c r="J32" s="42">
        <f t="shared" si="25"/>
        <v>320.43374999999997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65</v>
      </c>
      <c r="C33" s="155">
        <f>'2023年'!C33*(1-0.025)</f>
        <v>671.3655</v>
      </c>
      <c r="D33" s="155">
        <f>'2023年'!D33*(1-0.025)</f>
        <v>680.3549999999999</v>
      </c>
      <c r="E33" s="155">
        <f>'2023年'!E33*(1-0.025)</f>
        <v>95.169749999999993</v>
      </c>
      <c r="F33" s="155">
        <f>'2023年'!F33*(1-0.025)</f>
        <v>91.376999999999995</v>
      </c>
      <c r="G33" s="155">
        <f>'2023年'!G33*(1-0.025)</f>
        <v>130.69875000000002</v>
      </c>
      <c r="H33" s="155">
        <f>'2023年'!H33*(1-0.025)</f>
        <v>68.152500000000003</v>
      </c>
      <c r="I33" s="155">
        <f>'2023年'!I33*(1-0.025)</f>
        <v>65.120249999999999</v>
      </c>
      <c r="J33" s="155">
        <f>'2023年'!J33*(1-0.025)</f>
        <v>295.41525000000001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6">
        <v>4</v>
      </c>
      <c r="B34" s="40" t="s">
        <v>67</v>
      </c>
      <c r="C34" s="52">
        <f>C32-C33</f>
        <v>305.01900000000001</v>
      </c>
      <c r="D34" s="52">
        <f t="shared" ref="D34:J34" si="26">D32-D33</f>
        <v>307.00799999999992</v>
      </c>
      <c r="E34" s="52">
        <f t="shared" si="26"/>
        <v>9.828000000000003</v>
      </c>
      <c r="F34" s="52">
        <f t="shared" si="26"/>
        <v>19.704750000000004</v>
      </c>
      <c r="G34" s="52">
        <f t="shared" si="26"/>
        <v>20.240999999999985</v>
      </c>
      <c r="H34" s="52">
        <f t="shared" si="26"/>
        <v>78.311999999999983</v>
      </c>
      <c r="I34" s="52">
        <f t="shared" si="26"/>
        <v>38.63924999999999</v>
      </c>
      <c r="J34" s="52">
        <f t="shared" si="26"/>
        <v>25.01849999999996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7</v>
      </c>
      <c r="AL35" s="40" t="s">
        <v>69</v>
      </c>
      <c r="AM35" s="43" t="s">
        <v>7</v>
      </c>
    </row>
    <row r="36" spans="1:39">
      <c r="A36" s="146">
        <v>1</v>
      </c>
      <c r="B36" s="40" t="s">
        <v>70</v>
      </c>
      <c r="C36" s="46">
        <f>'2023年'!C36</f>
        <v>58.223159778699888</v>
      </c>
      <c r="D36" s="46">
        <f>'2023年'!D36</f>
        <v>58.87782293612451</v>
      </c>
      <c r="E36" s="46">
        <f>'2023年'!E36</f>
        <v>6.2611612276249637</v>
      </c>
      <c r="F36" s="46">
        <f>'2023年'!F36</f>
        <v>6.6239585724144501</v>
      </c>
      <c r="G36" s="46">
        <f>'2023年'!G36</f>
        <v>9.0007463055865973</v>
      </c>
      <c r="H36" s="46">
        <f>'2023年'!H36</f>
        <v>8.7338809510058688</v>
      </c>
      <c r="I36" s="46">
        <f>'2023年'!I36</f>
        <v>6.1873226654642837</v>
      </c>
      <c r="J36" s="46">
        <f>'2023年'!J36</f>
        <v>19.107908231580872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6">
        <v>2</v>
      </c>
      <c r="B37" s="40" t="s">
        <v>71</v>
      </c>
      <c r="C37" s="46">
        <f>'2023年'!C37</f>
        <v>18.094013957988707</v>
      </c>
      <c r="D37" s="46">
        <f>'2023年'!D37</f>
        <v>18.297463656583655</v>
      </c>
      <c r="E37" s="46">
        <f>'2023年'!E37</f>
        <v>1.9457813536136723</v>
      </c>
      <c r="F37" s="46">
        <f>'2023年'!F37</f>
        <v>2.0585279006147807</v>
      </c>
      <c r="G37" s="46">
        <f>'2023年'!G37</f>
        <v>2.7971623303271671</v>
      </c>
      <c r="H37" s="46">
        <f>'2023年'!H37</f>
        <v>2.7142285721965447</v>
      </c>
      <c r="I37" s="46">
        <f>'2023年'!I37</f>
        <v>1.9228345403618445</v>
      </c>
      <c r="J37" s="46">
        <f>'2023年'!J37</f>
        <v>5.9381654922939306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6">
        <v>3</v>
      </c>
      <c r="B38" s="40" t="s">
        <v>72</v>
      </c>
      <c r="C38" s="46">
        <f>'2023年'!C38</f>
        <v>33.046860000000002</v>
      </c>
      <c r="D38" s="46">
        <f>'2023年'!D38</f>
        <v>33.418439999999997</v>
      </c>
      <c r="E38" s="46">
        <f>'2023年'!E38</f>
        <v>3.5537700000000001</v>
      </c>
      <c r="F38" s="46">
        <f>'2023年'!F38</f>
        <v>3.7596900000000004</v>
      </c>
      <c r="G38" s="46">
        <f>'2023年'!G38</f>
        <v>5.1087300000000004</v>
      </c>
      <c r="H38" s="46">
        <f>'2023年'!H38</f>
        <v>4.9572599999999998</v>
      </c>
      <c r="I38" s="46">
        <f>'2023年'!I38</f>
        <v>3.5118600000000004</v>
      </c>
      <c r="J38" s="46">
        <f>'2023年'!J38</f>
        <v>10.84545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6">
        <v>1</v>
      </c>
      <c r="B40" s="40" t="s">
        <v>75</v>
      </c>
      <c r="C40" s="47">
        <f>C34-C36-C37-C38</f>
        <v>195.65496626331142</v>
      </c>
      <c r="D40" s="47">
        <f t="shared" ref="D40:J40" si="27">D34-D36-D37-D38</f>
        <v>196.41427340729174</v>
      </c>
      <c r="E40" s="47">
        <f t="shared" si="27"/>
        <v>-1.9327125812386332</v>
      </c>
      <c r="F40" s="47">
        <f t="shared" si="27"/>
        <v>7.2625735269707725</v>
      </c>
      <c r="G40" s="47">
        <f t="shared" si="27"/>
        <v>3.3343613640862211</v>
      </c>
      <c r="H40" s="47">
        <f t="shared" si="27"/>
        <v>61.906630476797567</v>
      </c>
      <c r="I40" s="47">
        <f t="shared" si="27"/>
        <v>27.017232794173857</v>
      </c>
      <c r="J40" s="47">
        <f t="shared" si="27"/>
        <v>-10.873023723874841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6">
        <v>1</v>
      </c>
      <c r="B43" s="48" t="s">
        <v>79</v>
      </c>
      <c r="C43" s="46">
        <f>'2023年'!C43</f>
        <v>45.063899999999997</v>
      </c>
      <c r="D43" s="46">
        <f>'2023年'!D43</f>
        <v>45.570599999999999</v>
      </c>
      <c r="E43" s="46">
        <f>'2023年'!E43</f>
        <v>4.84605</v>
      </c>
      <c r="F43" s="46">
        <f>'2023年'!F43</f>
        <v>5.1268500000000001</v>
      </c>
      <c r="G43" s="46">
        <f>'2023年'!G43</f>
        <v>6.96645</v>
      </c>
      <c r="H43" s="46">
        <f>'2023年'!H43</f>
        <v>6.7599</v>
      </c>
      <c r="I43" s="46">
        <f>'2023年'!I43</f>
        <v>4.7888999999999999</v>
      </c>
      <c r="J43" s="46">
        <f>'2023年'!J43</f>
        <v>14.789249999999999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6">
        <v>2</v>
      </c>
      <c r="B44" s="48" t="s">
        <v>80</v>
      </c>
      <c r="C44" s="46">
        <f>'2023年'!C44</f>
        <v>7.9112180000000007</v>
      </c>
      <c r="D44" s="46">
        <f>'2023年'!D44</f>
        <v>8.0001720000000009</v>
      </c>
      <c r="E44" s="46">
        <f>'2023年'!E44</f>
        <v>0.85075100000000003</v>
      </c>
      <c r="F44" s="46">
        <f>'2023年'!F44</f>
        <v>0.90004700000000015</v>
      </c>
      <c r="G44" s="46">
        <f>'2023年'!G44</f>
        <v>1.2229990000000002</v>
      </c>
      <c r="H44" s="46">
        <f>'2023年'!H44</f>
        <v>1.1867380000000001</v>
      </c>
      <c r="I44" s="46">
        <f>'2023年'!I44</f>
        <v>0.84071800000000008</v>
      </c>
      <c r="J44" s="46">
        <f>'2023年'!J44</f>
        <v>2.5963350000000003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6">
        <v>3</v>
      </c>
      <c r="B45" s="48" t="s">
        <v>81</v>
      </c>
      <c r="C45" s="46">
        <f>'2023年'!C45</f>
        <v>40.620909190573528</v>
      </c>
      <c r="D45" s="46">
        <f>'2023年'!D45</f>
        <v>41.07765205319447</v>
      </c>
      <c r="E45" s="46">
        <f>'2023年'!E45</f>
        <v>4.3682627775886873</v>
      </c>
      <c r="F45" s="46">
        <f>'2023年'!F45</f>
        <v>4.6213778275668975</v>
      </c>
      <c r="G45" s="46">
        <f>'2023年'!G45</f>
        <v>6.2796059113985025</v>
      </c>
      <c r="H45" s="46">
        <f>'2023年'!H45</f>
        <v>6.0934203217510694</v>
      </c>
      <c r="I45" s="46">
        <f>'2023年'!I45</f>
        <v>4.3167473747886351</v>
      </c>
      <c r="J45" s="46">
        <f>'2023年'!J45</f>
        <v>13.331131598611961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6">
        <v>4</v>
      </c>
      <c r="B46" s="48" t="s">
        <v>82</v>
      </c>
      <c r="C46" s="53">
        <f>C21/C6</f>
        <v>0.59047619047619049</v>
      </c>
      <c r="D46" s="53">
        <f t="shared" ref="D46:J46" si="28">D21/D6</f>
        <v>0.59047619047619049</v>
      </c>
      <c r="E46" s="53">
        <f t="shared" si="28"/>
        <v>0.59047619047619049</v>
      </c>
      <c r="F46" s="53">
        <f t="shared" si="28"/>
        <v>0.59047619047619049</v>
      </c>
      <c r="G46" s="53">
        <f t="shared" si="28"/>
        <v>0.59047619047619049</v>
      </c>
      <c r="H46" s="53">
        <f t="shared" si="28"/>
        <v>0.59047619047619049</v>
      </c>
      <c r="I46" s="53">
        <f t="shared" si="28"/>
        <v>0.59047619047619049</v>
      </c>
      <c r="J46" s="53">
        <f t="shared" si="28"/>
        <v>0.59047619047619049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6">
        <v>5</v>
      </c>
      <c r="B47" s="48" t="s">
        <v>84</v>
      </c>
      <c r="C47" s="53">
        <f>'2023年'!C47</f>
        <v>21.330245999999999</v>
      </c>
      <c r="D47" s="53">
        <f>'2023年'!D47</f>
        <v>21.570083999999998</v>
      </c>
      <c r="E47" s="53">
        <f>'2023年'!E47</f>
        <v>2.2937970000000001</v>
      </c>
      <c r="F47" s="53">
        <f>'2023年'!F47</f>
        <v>2.4267090000000002</v>
      </c>
      <c r="G47" s="53">
        <f>'2023年'!G47</f>
        <v>3.297453</v>
      </c>
      <c r="H47" s="53">
        <f>'2023年'!H47</f>
        <v>3.1996859999999998</v>
      </c>
      <c r="I47" s="53">
        <f>'2023年'!I47</f>
        <v>2.2667459999999999</v>
      </c>
      <c r="J47" s="53">
        <f>'2023年'!J47</f>
        <v>7.0002449999999996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>
        <f>C40-C43-C44-C45-C47-C46</f>
        <v>80.138216882261716</v>
      </c>
      <c r="D48" s="47">
        <f t="shared" ref="D48:J48" si="29">D40-D43-D44-D45-D47-D46</f>
        <v>79.605289163621109</v>
      </c>
      <c r="E48" s="47">
        <f t="shared" si="29"/>
        <v>-14.88204954930351</v>
      </c>
      <c r="F48" s="47">
        <f t="shared" si="29"/>
        <v>-6.4028864910723158</v>
      </c>
      <c r="G48" s="47">
        <f t="shared" si="29"/>
        <v>-15.022622737788472</v>
      </c>
      <c r="H48" s="47">
        <f t="shared" si="29"/>
        <v>44.07640996457031</v>
      </c>
      <c r="I48" s="47">
        <f t="shared" si="29"/>
        <v>14.213645228909034</v>
      </c>
      <c r="J48" s="47">
        <f t="shared" si="29"/>
        <v>-49.180461512962992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8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19" width="9" style="36" customWidth="1"/>
    <col min="20" max="32" width="9" style="36"/>
    <col min="33" max="33" width="4.375" style="36" customWidth="1"/>
    <col min="34" max="34" width="13.875" style="36" customWidth="1"/>
    <col min="35" max="16384" width="9" style="36"/>
  </cols>
  <sheetData>
    <row r="1" spans="1:35">
      <c r="A1" s="253" t="s">
        <v>135</v>
      </c>
      <c r="B1" s="253"/>
      <c r="C1" s="257" t="s">
        <v>226</v>
      </c>
      <c r="D1" s="258"/>
      <c r="E1" s="258"/>
      <c r="F1" s="258"/>
      <c r="G1" s="258"/>
      <c r="H1" s="258"/>
      <c r="I1" s="258"/>
      <c r="J1" s="258"/>
      <c r="K1" s="259"/>
    </row>
    <row r="2" spans="1:35">
      <c r="A2" s="253" t="s">
        <v>136</v>
      </c>
      <c r="B2" s="253"/>
      <c r="C2" s="261" t="str">
        <f>'2023年'!C2:K2</f>
        <v>一汽解放青岛汽车有限公司</v>
      </c>
      <c r="D2" s="262"/>
      <c r="E2" s="262"/>
      <c r="F2" s="262"/>
      <c r="G2" s="262"/>
      <c r="H2" s="262"/>
      <c r="I2" s="262"/>
      <c r="J2" s="262"/>
      <c r="K2" s="263"/>
    </row>
    <row r="3" spans="1:35">
      <c r="A3" s="253" t="s">
        <v>137</v>
      </c>
      <c r="B3" s="253"/>
      <c r="C3" s="147" t="str">
        <f>'2023年'!C3</f>
        <v>驾驶员座总成</v>
      </c>
      <c r="D3" s="147" t="str">
        <f>'2023年'!D3</f>
        <v>驾驶员座总成</v>
      </c>
      <c r="E3" s="147" t="str">
        <f>'2023年'!E3</f>
        <v>座垫总成-前座</v>
      </c>
      <c r="F3" s="147" t="str">
        <f>'2023年'!F3</f>
        <v>座垫总成-前座</v>
      </c>
      <c r="G3" s="147" t="str">
        <f>'2023年'!G3</f>
        <v>主靠背总成-前座</v>
      </c>
      <c r="H3" s="147" t="str">
        <f>'2023年'!H3</f>
        <v>副靠背总成</v>
      </c>
      <c r="I3" s="147" t="str">
        <f>'2023年'!I3</f>
        <v>副靠背总成</v>
      </c>
      <c r="J3" s="147" t="str">
        <f>'2023年'!J3</f>
        <v>虎V副司机</v>
      </c>
      <c r="K3" s="254" t="s">
        <v>14</v>
      </c>
    </row>
    <row r="4" spans="1:35" ht="16.5" customHeight="1">
      <c r="A4" s="253" t="s">
        <v>138</v>
      </c>
      <c r="B4" s="253"/>
      <c r="C4" s="147" t="str">
        <f>'2023年'!C4</f>
        <v>6800010MA96</v>
      </c>
      <c r="D4" s="147" t="str">
        <f>'2023年'!D4</f>
        <v>6800010MA98</v>
      </c>
      <c r="E4" s="147" t="str">
        <f>'2023年'!E4</f>
        <v>6903010MA96</v>
      </c>
      <c r="F4" s="147" t="str">
        <f>'2023年'!F4</f>
        <v>6903010MA98</v>
      </c>
      <c r="G4" s="147" t="str">
        <f>'2023年'!G4</f>
        <v>6905020MA96</v>
      </c>
      <c r="H4" s="147" t="str">
        <f>'2023年'!H4</f>
        <v>6905100MA96</v>
      </c>
      <c r="I4" s="147" t="str">
        <f>'2023年'!I4</f>
        <v>6905100MA98</v>
      </c>
      <c r="J4" s="147" t="str">
        <f>'2023年'!J4</f>
        <v>6903010AE411、6905020AE411、6905100AE411</v>
      </c>
      <c r="K4" s="255"/>
    </row>
    <row r="5" spans="1:35">
      <c r="A5" s="253" t="s">
        <v>139</v>
      </c>
      <c r="B5" s="253"/>
      <c r="C5" s="39"/>
      <c r="D5" s="39"/>
      <c r="E5" s="39"/>
      <c r="F5" s="39"/>
      <c r="G5" s="39"/>
      <c r="H5" s="39"/>
      <c r="I5" s="39"/>
      <c r="J5" s="39"/>
      <c r="K5" s="256"/>
      <c r="AI5" s="36" t="s">
        <v>15</v>
      </c>
    </row>
    <row r="6" spans="1:35" ht="17.25">
      <c r="A6" s="40" t="s">
        <v>13</v>
      </c>
      <c r="B6" s="41" t="s">
        <v>140</v>
      </c>
      <c r="C6" s="12">
        <f>销量!C11</f>
        <v>2000</v>
      </c>
      <c r="D6" s="12">
        <f>销量!D11</f>
        <v>3000</v>
      </c>
      <c r="E6" s="12">
        <f>销量!E11</f>
        <v>2000</v>
      </c>
      <c r="F6" s="12">
        <f>销量!F11</f>
        <v>3000</v>
      </c>
      <c r="G6" s="12">
        <f>销量!G11</f>
        <v>5000</v>
      </c>
      <c r="H6" s="12">
        <f>销量!H11</f>
        <v>2000</v>
      </c>
      <c r="I6" s="12">
        <f>销量!I11</f>
        <v>3000</v>
      </c>
      <c r="J6" s="12">
        <f>销量!J11</f>
        <v>5000</v>
      </c>
      <c r="K6" s="42">
        <f>SUM(C6:J6)</f>
        <v>25000</v>
      </c>
      <c r="AG6" s="40" t="s">
        <v>13</v>
      </c>
      <c r="AH6" s="41" t="s">
        <v>3</v>
      </c>
      <c r="AI6" s="36" t="s">
        <v>16</v>
      </c>
    </row>
    <row r="7" spans="1:35">
      <c r="A7" s="146">
        <v>1</v>
      </c>
      <c r="B7" s="41" t="s">
        <v>17</v>
      </c>
      <c r="C7" s="42">
        <f>C6*销量!C8</f>
        <v>2002840</v>
      </c>
      <c r="D7" s="42">
        <f>D6*销量!D8</f>
        <v>3038040</v>
      </c>
      <c r="E7" s="42">
        <f>E6*销量!E8</f>
        <v>215380</v>
      </c>
      <c r="F7" s="42">
        <f>F6*销量!F8</f>
        <v>341790</v>
      </c>
      <c r="G7" s="42">
        <f>G6*销量!G8</f>
        <v>774050</v>
      </c>
      <c r="H7" s="42">
        <f>H6*销量!H8</f>
        <v>300440</v>
      </c>
      <c r="I7" s="42">
        <f>I6*销量!I8</f>
        <v>319260</v>
      </c>
      <c r="J7" s="42">
        <f>J6*销量!J8</f>
        <v>1643250</v>
      </c>
      <c r="K7" s="42">
        <f t="shared" ref="K7:K17" si="0">SUM(C7:J7)</f>
        <v>8635050</v>
      </c>
      <c r="L7" s="37"/>
      <c r="AG7" s="40" t="s">
        <v>18</v>
      </c>
      <c r="AH7" s="41" t="s">
        <v>17</v>
      </c>
      <c r="AI7" s="36" t="s">
        <v>16</v>
      </c>
    </row>
    <row r="8" spans="1:35">
      <c r="A8" s="146">
        <v>2</v>
      </c>
      <c r="B8" s="146" t="s">
        <v>19</v>
      </c>
      <c r="C8" s="42">
        <f>C7*(1-销量!$O$8)</f>
        <v>98890.224999999889</v>
      </c>
      <c r="D8" s="42">
        <f>D7*(1-销量!$O$8)</f>
        <v>150003.22499999983</v>
      </c>
      <c r="E8" s="42">
        <f>E7*(1-销量!$O$8)</f>
        <v>10634.387499999988</v>
      </c>
      <c r="F8" s="42">
        <f>F7*(1-销量!$O$8)</f>
        <v>16875.88124999998</v>
      </c>
      <c r="G8" s="42">
        <f>G7*(1-销量!$O$8)</f>
        <v>38218.718749999956</v>
      </c>
      <c r="H8" s="42">
        <f>H7*(1-销量!$O$8)</f>
        <v>14834.224999999984</v>
      </c>
      <c r="I8" s="42">
        <f>I7*(1-销量!$O$8)</f>
        <v>15763.462499999983</v>
      </c>
      <c r="J8" s="42">
        <f>J7*(1-销量!$O$8)</f>
        <v>81135.468749999913</v>
      </c>
      <c r="K8" s="42">
        <f t="shared" si="0"/>
        <v>426355.59374999953</v>
      </c>
      <c r="L8" s="57"/>
      <c r="AG8" s="40" t="s">
        <v>20</v>
      </c>
      <c r="AH8" s="146" t="s">
        <v>21</v>
      </c>
      <c r="AI8" s="36" t="s">
        <v>16</v>
      </c>
    </row>
    <row r="9" spans="1:35">
      <c r="A9" s="146">
        <v>3</v>
      </c>
      <c r="B9" s="41" t="s">
        <v>22</v>
      </c>
      <c r="C9" s="42">
        <f>+C7-C8</f>
        <v>1903949.7750000001</v>
      </c>
      <c r="D9" s="42">
        <f t="shared" ref="D9:J9" si="1">+D7-D8</f>
        <v>2888036.7750000004</v>
      </c>
      <c r="E9" s="42">
        <f t="shared" si="1"/>
        <v>204745.61250000002</v>
      </c>
      <c r="F9" s="42">
        <f t="shared" si="1"/>
        <v>324914.11875000002</v>
      </c>
      <c r="G9" s="42">
        <f t="shared" si="1"/>
        <v>735831.28125</v>
      </c>
      <c r="H9" s="42">
        <f t="shared" si="1"/>
        <v>285605.77500000002</v>
      </c>
      <c r="I9" s="42">
        <f t="shared" si="1"/>
        <v>303496.53750000003</v>
      </c>
      <c r="J9" s="42">
        <f t="shared" si="1"/>
        <v>1562114.53125</v>
      </c>
      <c r="K9" s="42">
        <f t="shared" si="0"/>
        <v>8208694.4062500009</v>
      </c>
      <c r="AG9" s="40" t="s">
        <v>23</v>
      </c>
      <c r="AH9" s="41" t="s">
        <v>22</v>
      </c>
      <c r="AI9" s="36" t="s">
        <v>24</v>
      </c>
    </row>
    <row r="10" spans="1:35">
      <c r="A10" s="146">
        <v>4</v>
      </c>
      <c r="B10" s="40" t="s">
        <v>25</v>
      </c>
      <c r="C10" s="42">
        <f t="shared" ref="C10:J10" si="2">C6*C33</f>
        <v>1309162.7249999999</v>
      </c>
      <c r="D10" s="42">
        <f t="shared" si="2"/>
        <v>1990038.3749999998</v>
      </c>
      <c r="E10" s="42">
        <f t="shared" si="2"/>
        <v>185581.01249999998</v>
      </c>
      <c r="F10" s="42">
        <f t="shared" si="2"/>
        <v>267277.72499999998</v>
      </c>
      <c r="G10" s="42">
        <f t="shared" si="2"/>
        <v>637156.40625000012</v>
      </c>
      <c r="H10" s="42">
        <f t="shared" si="2"/>
        <v>132897.375</v>
      </c>
      <c r="I10" s="42">
        <f t="shared" si="2"/>
        <v>190476.73125000001</v>
      </c>
      <c r="J10" s="42">
        <f t="shared" si="2"/>
        <v>1440149.34375</v>
      </c>
      <c r="K10" s="42">
        <f t="shared" si="0"/>
        <v>6152739.6937500006</v>
      </c>
      <c r="AG10" s="40" t="s">
        <v>26</v>
      </c>
      <c r="AH10" s="40" t="s">
        <v>25</v>
      </c>
      <c r="AI10" s="36" t="s">
        <v>27</v>
      </c>
    </row>
    <row r="11" spans="1:35">
      <c r="A11" s="146">
        <v>5</v>
      </c>
      <c r="B11" s="40" t="s">
        <v>28</v>
      </c>
      <c r="C11" s="42">
        <f>+C6*C36</f>
        <v>116446.31955739978</v>
      </c>
      <c r="D11" s="42">
        <f t="shared" ref="D11:J11" si="3">+D6*D36</f>
        <v>176633.46880837352</v>
      </c>
      <c r="E11" s="42">
        <f t="shared" si="3"/>
        <v>12522.322455249927</v>
      </c>
      <c r="F11" s="42">
        <f t="shared" si="3"/>
        <v>19871.875717243351</v>
      </c>
      <c r="G11" s="42">
        <f t="shared" si="3"/>
        <v>45003.731527932985</v>
      </c>
      <c r="H11" s="42">
        <f t="shared" si="3"/>
        <v>17467.761902011738</v>
      </c>
      <c r="I11" s="42">
        <f t="shared" si="3"/>
        <v>18561.96799639285</v>
      </c>
      <c r="J11" s="42">
        <f t="shared" si="3"/>
        <v>95539.541157904358</v>
      </c>
      <c r="K11" s="42">
        <f t="shared" si="0"/>
        <v>502046.9891225085</v>
      </c>
      <c r="AG11" s="40" t="s">
        <v>29</v>
      </c>
      <c r="AH11" s="40" t="s">
        <v>28</v>
      </c>
    </row>
    <row r="12" spans="1:35">
      <c r="A12" s="146">
        <v>6</v>
      </c>
      <c r="B12" s="40" t="s">
        <v>30</v>
      </c>
      <c r="C12" s="42">
        <f>+C6*C37</f>
        <v>36188.027915977415</v>
      </c>
      <c r="D12" s="42">
        <f t="shared" ref="D12:J12" si="4">+D6*D37</f>
        <v>54892.390969750966</v>
      </c>
      <c r="E12" s="42">
        <f t="shared" si="4"/>
        <v>3891.5627072273446</v>
      </c>
      <c r="F12" s="42">
        <f t="shared" si="4"/>
        <v>6175.5837018443426</v>
      </c>
      <c r="G12" s="42">
        <f t="shared" si="4"/>
        <v>13985.811651635835</v>
      </c>
      <c r="H12" s="42">
        <f t="shared" si="4"/>
        <v>5428.457144393089</v>
      </c>
      <c r="I12" s="42">
        <f t="shared" si="4"/>
        <v>5768.5036210855333</v>
      </c>
      <c r="J12" s="42">
        <f t="shared" si="4"/>
        <v>29690.827461469653</v>
      </c>
      <c r="K12" s="42">
        <f t="shared" si="0"/>
        <v>156021.16517338416</v>
      </c>
      <c r="AG12" s="40" t="s">
        <v>31</v>
      </c>
      <c r="AH12" s="40" t="s">
        <v>30</v>
      </c>
    </row>
    <row r="13" spans="1:35">
      <c r="A13" s="146">
        <v>7</v>
      </c>
      <c r="B13" s="40" t="s">
        <v>32</v>
      </c>
      <c r="C13" s="42">
        <f>+C6*C38</f>
        <v>66093.72</v>
      </c>
      <c r="D13" s="42">
        <f t="shared" ref="D13:J13" si="5">+D6*D38</f>
        <v>100255.31999999999</v>
      </c>
      <c r="E13" s="42">
        <f t="shared" si="5"/>
        <v>7107.54</v>
      </c>
      <c r="F13" s="42">
        <f t="shared" si="5"/>
        <v>11279.070000000002</v>
      </c>
      <c r="G13" s="42">
        <f t="shared" si="5"/>
        <v>25543.65</v>
      </c>
      <c r="H13" s="42">
        <f t="shared" si="5"/>
        <v>9914.52</v>
      </c>
      <c r="I13" s="42">
        <f t="shared" si="5"/>
        <v>10535.580000000002</v>
      </c>
      <c r="J13" s="42">
        <f t="shared" si="5"/>
        <v>54227.25</v>
      </c>
      <c r="K13" s="42">
        <f t="shared" si="0"/>
        <v>284956.64999999997</v>
      </c>
      <c r="AG13" s="40" t="s">
        <v>33</v>
      </c>
      <c r="AH13" s="40" t="s">
        <v>32</v>
      </c>
      <c r="AI13" s="36" t="s">
        <v>16</v>
      </c>
    </row>
    <row r="14" spans="1:35">
      <c r="A14" s="146">
        <v>8</v>
      </c>
      <c r="B14" s="43" t="s">
        <v>34</v>
      </c>
      <c r="C14" s="42">
        <f>SUM(C11:C13)</f>
        <v>218728.06747337719</v>
      </c>
      <c r="D14" s="42">
        <f t="shared" ref="D14:J14" si="6">SUM(D11:D13)</f>
        <v>331781.1797781245</v>
      </c>
      <c r="E14" s="42">
        <f t="shared" si="6"/>
        <v>23521.425162477273</v>
      </c>
      <c r="F14" s="42">
        <f t="shared" si="6"/>
        <v>37326.529419087696</v>
      </c>
      <c r="G14" s="42">
        <f t="shared" si="6"/>
        <v>84533.193179568829</v>
      </c>
      <c r="H14" s="42">
        <f t="shared" si="6"/>
        <v>32810.739046404822</v>
      </c>
      <c r="I14" s="42">
        <f t="shared" si="6"/>
        <v>34866.051617478384</v>
      </c>
      <c r="J14" s="42">
        <f t="shared" si="6"/>
        <v>179457.618619374</v>
      </c>
      <c r="K14" s="42">
        <f t="shared" si="0"/>
        <v>943024.80429589271</v>
      </c>
      <c r="AG14" s="40" t="s">
        <v>35</v>
      </c>
      <c r="AH14" s="43" t="s">
        <v>34</v>
      </c>
    </row>
    <row r="15" spans="1:35">
      <c r="A15" s="146">
        <v>9</v>
      </c>
      <c r="B15" s="43" t="s">
        <v>36</v>
      </c>
      <c r="C15" s="42">
        <f>+C9-C10-C14</f>
        <v>376058.98252662306</v>
      </c>
      <c r="D15" s="42">
        <f t="shared" ref="D15:J15" si="7">+D9-D10-D14</f>
        <v>566217.22022187617</v>
      </c>
      <c r="E15" s="42">
        <f t="shared" si="7"/>
        <v>-4356.8251624772383</v>
      </c>
      <c r="F15" s="42">
        <f t="shared" si="7"/>
        <v>20309.864330912351</v>
      </c>
      <c r="G15" s="42">
        <f t="shared" si="7"/>
        <v>14141.681820431055</v>
      </c>
      <c r="H15" s="42">
        <f t="shared" si="7"/>
        <v>119897.6609535952</v>
      </c>
      <c r="I15" s="42">
        <f t="shared" si="7"/>
        <v>78153.754632521639</v>
      </c>
      <c r="J15" s="42">
        <f t="shared" si="7"/>
        <v>-57492.431119374</v>
      </c>
      <c r="K15" s="42">
        <f t="shared" si="0"/>
        <v>1112929.9082041082</v>
      </c>
      <c r="AG15" s="40" t="s">
        <v>37</v>
      </c>
      <c r="AH15" s="43" t="s">
        <v>36</v>
      </c>
    </row>
    <row r="16" spans="1:35">
      <c r="A16" s="146">
        <v>10</v>
      </c>
      <c r="B16" s="40" t="s">
        <v>38</v>
      </c>
      <c r="C16" s="44">
        <f>+C15/C9</f>
        <v>0.19751518000343418</v>
      </c>
      <c r="D16" s="44">
        <f t="shared" ref="D16:J16" si="8">+D15/D9</f>
        <v>0.19605609773506991</v>
      </c>
      <c r="E16" s="44">
        <f t="shared" si="8"/>
        <v>-2.1279211355394675E-2</v>
      </c>
      <c r="F16" s="44">
        <f t="shared" si="8"/>
        <v>6.2508408095800397E-2</v>
      </c>
      <c r="G16" s="44">
        <f t="shared" si="8"/>
        <v>1.9218647237186963E-2</v>
      </c>
      <c r="H16" s="44">
        <f t="shared" si="8"/>
        <v>0.41980124860428747</v>
      </c>
      <c r="I16" s="44">
        <f t="shared" si="8"/>
        <v>0.25751119032954906</v>
      </c>
      <c r="J16" s="44">
        <f t="shared" si="8"/>
        <v>-3.6804235521302464E-2</v>
      </c>
      <c r="K16" s="44">
        <f t="shared" ref="K16" si="9">+K15/K9</f>
        <v>0.13557940558205417</v>
      </c>
      <c r="AG16" s="40" t="s">
        <v>39</v>
      </c>
      <c r="AH16" s="40" t="s">
        <v>38</v>
      </c>
    </row>
    <row r="17" spans="1:35">
      <c r="A17" s="146">
        <v>11</v>
      </c>
      <c r="B17" s="40" t="s">
        <v>40</v>
      </c>
      <c r="C17" s="42">
        <f>C6*C43+C18</f>
        <v>90127.799999999988</v>
      </c>
      <c r="D17" s="42">
        <f t="shared" ref="D17:J17" si="10">D6*D43+D18</f>
        <v>136711.79999999999</v>
      </c>
      <c r="E17" s="42">
        <f t="shared" si="10"/>
        <v>9692.1</v>
      </c>
      <c r="F17" s="42">
        <f t="shared" si="10"/>
        <v>15380.550000000001</v>
      </c>
      <c r="G17" s="42">
        <f t="shared" si="10"/>
        <v>34832.25</v>
      </c>
      <c r="H17" s="42">
        <f t="shared" si="10"/>
        <v>13519.8</v>
      </c>
      <c r="I17" s="42">
        <f t="shared" si="10"/>
        <v>14366.699999999999</v>
      </c>
      <c r="J17" s="42">
        <f t="shared" si="10"/>
        <v>73946.25</v>
      </c>
      <c r="K17" s="42">
        <f t="shared" si="0"/>
        <v>388577.25</v>
      </c>
      <c r="L17" s="57"/>
      <c r="AG17" s="40" t="s">
        <v>41</v>
      </c>
      <c r="AH17" s="40" t="s">
        <v>40</v>
      </c>
    </row>
    <row r="18" spans="1:35" s="34" customFormat="1">
      <c r="A18" s="146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142</v>
      </c>
      <c r="M18" s="58"/>
      <c r="N18" s="58"/>
    </row>
    <row r="19" spans="1:35">
      <c r="A19" s="146">
        <v>13</v>
      </c>
      <c r="B19" s="40" t="s">
        <v>42</v>
      </c>
      <c r="C19" s="42">
        <f>C6*C44</f>
        <v>15822.436000000002</v>
      </c>
      <c r="D19" s="42">
        <f t="shared" ref="D19:J19" si="12">D6*D44</f>
        <v>24000.516000000003</v>
      </c>
      <c r="E19" s="42">
        <f t="shared" si="12"/>
        <v>1701.5020000000002</v>
      </c>
      <c r="F19" s="42">
        <f t="shared" si="12"/>
        <v>2700.1410000000005</v>
      </c>
      <c r="G19" s="42">
        <f t="shared" si="12"/>
        <v>6114.9950000000008</v>
      </c>
      <c r="H19" s="42">
        <f t="shared" si="12"/>
        <v>2373.4760000000001</v>
      </c>
      <c r="I19" s="42">
        <f t="shared" si="12"/>
        <v>2522.1540000000005</v>
      </c>
      <c r="J19" s="42">
        <f t="shared" si="12"/>
        <v>12981.675000000001</v>
      </c>
      <c r="K19" s="42">
        <f t="shared" ref="K19:K20" si="13">SUM(C19:J19)</f>
        <v>68216.895000000019</v>
      </c>
      <c r="L19" s="34"/>
      <c r="AG19" s="40" t="s">
        <v>43</v>
      </c>
      <c r="AH19" s="40" t="s">
        <v>42</v>
      </c>
      <c r="AI19" s="36" t="s">
        <v>16</v>
      </c>
    </row>
    <row r="20" spans="1:35">
      <c r="A20" s="146">
        <v>14</v>
      </c>
      <c r="B20" s="40" t="s">
        <v>44</v>
      </c>
      <c r="C20" s="42">
        <f>C6*C45</f>
        <v>81241.818381147052</v>
      </c>
      <c r="D20" s="42">
        <f t="shared" ref="D20:J20" si="14">D6*D45</f>
        <v>123232.95615958341</v>
      </c>
      <c r="E20" s="42">
        <f t="shared" si="14"/>
        <v>8736.5255551773753</v>
      </c>
      <c r="F20" s="42">
        <f t="shared" si="14"/>
        <v>13864.133482700692</v>
      </c>
      <c r="G20" s="42">
        <f t="shared" si="14"/>
        <v>31398.029556992511</v>
      </c>
      <c r="H20" s="42">
        <f t="shared" si="14"/>
        <v>12186.840643502139</v>
      </c>
      <c r="I20" s="42">
        <f t="shared" si="14"/>
        <v>12950.242124365905</v>
      </c>
      <c r="J20" s="42">
        <f t="shared" si="14"/>
        <v>66655.657993059809</v>
      </c>
      <c r="K20" s="42">
        <f t="shared" si="13"/>
        <v>350266.20389652892</v>
      </c>
      <c r="AG20" s="40" t="s">
        <v>45</v>
      </c>
      <c r="AH20" s="40" t="s">
        <v>44</v>
      </c>
    </row>
    <row r="21" spans="1:35">
      <c r="A21" s="146">
        <v>15</v>
      </c>
      <c r="B21" s="40" t="s">
        <v>46</v>
      </c>
      <c r="C21" s="47">
        <f>$K$21/$K$6*C6</f>
        <v>992</v>
      </c>
      <c r="D21" s="47">
        <f t="shared" ref="D21:J21" si="15">$K$21/$K$6*D6</f>
        <v>1488</v>
      </c>
      <c r="E21" s="47">
        <f t="shared" si="15"/>
        <v>992</v>
      </c>
      <c r="F21" s="47">
        <f t="shared" si="15"/>
        <v>1488</v>
      </c>
      <c r="G21" s="47">
        <f t="shared" si="15"/>
        <v>2480</v>
      </c>
      <c r="H21" s="47">
        <f t="shared" si="15"/>
        <v>992</v>
      </c>
      <c r="I21" s="47">
        <f t="shared" si="15"/>
        <v>1488</v>
      </c>
      <c r="J21" s="47">
        <f t="shared" si="15"/>
        <v>2480</v>
      </c>
      <c r="K21" s="42">
        <f>项目投资!F27</f>
        <v>12400</v>
      </c>
      <c r="AG21" s="40"/>
      <c r="AH21" s="40"/>
    </row>
    <row r="22" spans="1:35">
      <c r="A22" s="146">
        <v>16</v>
      </c>
      <c r="B22" s="40" t="s">
        <v>47</v>
      </c>
      <c r="C22" s="42">
        <f>C6*C47</f>
        <v>42660.491999999998</v>
      </c>
      <c r="D22" s="42">
        <f t="shared" ref="D22:J22" si="16">D6*D47</f>
        <v>64710.251999999993</v>
      </c>
      <c r="E22" s="42">
        <f t="shared" si="16"/>
        <v>4587.5940000000001</v>
      </c>
      <c r="F22" s="42">
        <f t="shared" si="16"/>
        <v>7280.1270000000004</v>
      </c>
      <c r="G22" s="42">
        <f t="shared" si="16"/>
        <v>16487.264999999999</v>
      </c>
      <c r="H22" s="42">
        <f t="shared" si="16"/>
        <v>6399.3719999999994</v>
      </c>
      <c r="I22" s="42">
        <f t="shared" si="16"/>
        <v>6800.2379999999994</v>
      </c>
      <c r="J22" s="42">
        <f t="shared" si="16"/>
        <v>35001.224999999999</v>
      </c>
      <c r="K22" s="42">
        <f t="shared" ref="K22" si="17">SUM(C22:J22)</f>
        <v>183926.565</v>
      </c>
      <c r="AG22" s="40" t="s">
        <v>48</v>
      </c>
      <c r="AH22" s="40" t="s">
        <v>47</v>
      </c>
    </row>
    <row r="23" spans="1:35">
      <c r="A23" s="146">
        <v>17</v>
      </c>
      <c r="B23" s="43" t="s">
        <v>49</v>
      </c>
      <c r="C23" s="47">
        <f>+C22+C21+C20+C19+C17</f>
        <v>230844.54638114705</v>
      </c>
      <c r="D23" s="47">
        <f t="shared" ref="D23:J23" si="18">+D22+D21+D20+D19+D17</f>
        <v>350143.52415958338</v>
      </c>
      <c r="E23" s="47">
        <f>+E22+E21+E20+E19+E17</f>
        <v>25709.721555177377</v>
      </c>
      <c r="F23" s="47">
        <f t="shared" si="18"/>
        <v>40712.951482700693</v>
      </c>
      <c r="G23" s="47">
        <f t="shared" si="18"/>
        <v>91312.539556992502</v>
      </c>
      <c r="H23" s="47">
        <f t="shared" si="18"/>
        <v>35471.488643502133</v>
      </c>
      <c r="I23" s="47">
        <f t="shared" si="18"/>
        <v>38127.334124365902</v>
      </c>
      <c r="J23" s="47">
        <f t="shared" si="18"/>
        <v>191064.8079930598</v>
      </c>
      <c r="K23" s="47">
        <f t="shared" ref="K23" si="19">+K22+K21+K20+K19+K17</f>
        <v>1003386.913896529</v>
      </c>
      <c r="AG23" s="40" t="s">
        <v>50</v>
      </c>
      <c r="AH23" s="43" t="s">
        <v>49</v>
      </c>
    </row>
    <row r="24" spans="1:35">
      <c r="A24" s="146">
        <v>18</v>
      </c>
      <c r="B24" s="48" t="s">
        <v>51</v>
      </c>
      <c r="C24" s="47">
        <f>+C15-C23</f>
        <v>145214.43614547601</v>
      </c>
      <c r="D24" s="47">
        <f t="shared" ref="D24:J24" si="20">+D15-D23</f>
        <v>216073.69606229279</v>
      </c>
      <c r="E24" s="47">
        <f t="shared" si="20"/>
        <v>-30066.546717654615</v>
      </c>
      <c r="F24" s="47">
        <f t="shared" si="20"/>
        <v>-20403.087151788342</v>
      </c>
      <c r="G24" s="47">
        <f t="shared" si="20"/>
        <v>-77170.857736561447</v>
      </c>
      <c r="H24" s="47">
        <f t="shared" si="20"/>
        <v>84426.172310093069</v>
      </c>
      <c r="I24" s="47">
        <f t="shared" si="20"/>
        <v>40026.420508155737</v>
      </c>
      <c r="J24" s="47">
        <f t="shared" si="20"/>
        <v>-248557.2391124338</v>
      </c>
      <c r="K24" s="47">
        <f t="shared" ref="K24" si="21">+K15-K23</f>
        <v>109542.99430757924</v>
      </c>
      <c r="M24" s="59"/>
      <c r="AG24" s="40" t="s">
        <v>52</v>
      </c>
      <c r="AH24" s="40" t="s">
        <v>51</v>
      </c>
    </row>
    <row r="25" spans="1:35">
      <c r="A25" s="146">
        <v>19</v>
      </c>
      <c r="B25" s="40" t="s">
        <v>228</v>
      </c>
      <c r="C25" s="47">
        <f>IF(C24&lt;0,0,C24*0.15)</f>
        <v>21782.165421821399</v>
      </c>
      <c r="D25" s="47">
        <f t="shared" ref="D25:J25" si="22">IF(D24&lt;0,0,D24*0.15)</f>
        <v>32411.054409343917</v>
      </c>
      <c r="E25" s="47">
        <f t="shared" si="22"/>
        <v>0</v>
      </c>
      <c r="F25" s="47">
        <f t="shared" si="22"/>
        <v>0</v>
      </c>
      <c r="G25" s="47">
        <f t="shared" si="22"/>
        <v>0</v>
      </c>
      <c r="H25" s="47">
        <f t="shared" si="22"/>
        <v>12663.925846513959</v>
      </c>
      <c r="I25" s="47">
        <f t="shared" si="22"/>
        <v>6003.9630762233601</v>
      </c>
      <c r="J25" s="47">
        <f t="shared" si="22"/>
        <v>0</v>
      </c>
      <c r="K25" s="47">
        <f>IF(K24&lt;0,0,K24*0.15)</f>
        <v>16431.449146136885</v>
      </c>
      <c r="L25" s="55"/>
      <c r="M25" s="55"/>
      <c r="N25" s="55"/>
      <c r="AG25" s="40" t="s">
        <v>54</v>
      </c>
      <c r="AH25" s="40" t="s">
        <v>53</v>
      </c>
    </row>
    <row r="26" spans="1:35">
      <c r="A26" s="146">
        <v>20</v>
      </c>
      <c r="B26" s="40" t="s">
        <v>55</v>
      </c>
      <c r="C26" s="47">
        <f t="shared" ref="C26" si="23">C24-C25</f>
        <v>123432.27072365461</v>
      </c>
      <c r="D26" s="47">
        <f t="shared" ref="D26:J26" si="24">D24-D25</f>
        <v>183662.64165294886</v>
      </c>
      <c r="E26" s="47">
        <f t="shared" si="24"/>
        <v>-30066.546717654615</v>
      </c>
      <c r="F26" s="47">
        <f t="shared" si="24"/>
        <v>-20403.087151788342</v>
      </c>
      <c r="G26" s="47">
        <f t="shared" si="24"/>
        <v>-77170.857736561447</v>
      </c>
      <c r="H26" s="47">
        <f t="shared" si="24"/>
        <v>71762.246463579111</v>
      </c>
      <c r="I26" s="47">
        <f t="shared" si="24"/>
        <v>34022.45743193238</v>
      </c>
      <c r="J26" s="47">
        <f t="shared" si="24"/>
        <v>-248557.2391124338</v>
      </c>
      <c r="K26" s="42">
        <f>+SUM(C26:J26)</f>
        <v>36681.885553676751</v>
      </c>
      <c r="L26" s="55"/>
      <c r="M26" s="55"/>
      <c r="N26" s="55"/>
      <c r="AG26" s="40" t="s">
        <v>56</v>
      </c>
      <c r="AH26" s="40" t="s">
        <v>55</v>
      </c>
    </row>
    <row r="27" spans="1:35">
      <c r="A27" s="146">
        <v>21</v>
      </c>
      <c r="B27" s="40" t="s">
        <v>59</v>
      </c>
      <c r="C27" s="49">
        <f t="shared" ref="C27:K27" si="25">C26/C7</f>
        <v>6.162862271756836E-2</v>
      </c>
      <c r="D27" s="49">
        <f t="shared" ref="D27:J27" si="26">D26/D7</f>
        <v>6.0454319776220476E-2</v>
      </c>
      <c r="E27" s="49">
        <f t="shared" si="26"/>
        <v>-0.13959767256780858</v>
      </c>
      <c r="F27" s="49">
        <f t="shared" si="26"/>
        <v>-5.9694804271009518E-2</v>
      </c>
      <c r="G27" s="49">
        <f t="shared" si="26"/>
        <v>-9.9697510156400035E-2</v>
      </c>
      <c r="H27" s="49">
        <f t="shared" si="26"/>
        <v>0.23885716437085311</v>
      </c>
      <c r="I27" s="49">
        <f t="shared" si="26"/>
        <v>0.10656661477144766</v>
      </c>
      <c r="J27" s="49">
        <f t="shared" si="26"/>
        <v>-0.15125954000452385</v>
      </c>
      <c r="K27" s="49">
        <f t="shared" si="25"/>
        <v>4.2480223685649474E-3</v>
      </c>
      <c r="L27" s="55"/>
      <c r="M27" s="55"/>
      <c r="N27" s="55"/>
      <c r="AG27" s="40" t="s">
        <v>58</v>
      </c>
      <c r="AH27" s="40" t="s">
        <v>59</v>
      </c>
    </row>
    <row r="28" spans="1:35">
      <c r="L28" s="55"/>
      <c r="M28" s="55"/>
      <c r="N28" s="55"/>
    </row>
    <row r="29" spans="1:35">
      <c r="A29" s="36" t="s">
        <v>60</v>
      </c>
      <c r="K29" s="37" t="s">
        <v>143</v>
      </c>
      <c r="L29" s="55"/>
      <c r="M29" s="55"/>
      <c r="N29" s="55"/>
      <c r="AG29" s="36" t="s">
        <v>60</v>
      </c>
    </row>
    <row r="30" spans="1:35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G30" s="40" t="s">
        <v>63</v>
      </c>
      <c r="AH30" s="43" t="s">
        <v>62</v>
      </c>
    </row>
    <row r="31" spans="1:35">
      <c r="A31" s="146">
        <v>1</v>
      </c>
      <c r="B31" s="45" t="s">
        <v>64</v>
      </c>
      <c r="C31" s="51">
        <f>'2023年'!C31</f>
        <v>1001.42</v>
      </c>
      <c r="D31" s="51">
        <f>'2023年'!D31</f>
        <v>1012.68</v>
      </c>
      <c r="E31" s="51">
        <f>'2023年'!E31</f>
        <v>107.69</v>
      </c>
      <c r="F31" s="51">
        <f>'2023年'!F31</f>
        <v>113.93</v>
      </c>
      <c r="G31" s="51">
        <f>'2023年'!G31</f>
        <v>154.81</v>
      </c>
      <c r="H31" s="51">
        <f>'2023年'!H31</f>
        <v>150.22</v>
      </c>
      <c r="I31" s="51">
        <f>'2023年'!I31</f>
        <v>106.42</v>
      </c>
      <c r="J31" s="51">
        <f>'2023年'!J31</f>
        <v>328.65</v>
      </c>
      <c r="K31" s="47"/>
      <c r="L31" s="55"/>
      <c r="M31" s="55"/>
      <c r="N31" s="55"/>
      <c r="P31" s="55"/>
      <c r="AG31" s="40" t="s">
        <v>18</v>
      </c>
      <c r="AH31" s="40" t="s">
        <v>64</v>
      </c>
    </row>
    <row r="32" spans="1:35">
      <c r="A32" s="146">
        <v>2</v>
      </c>
      <c r="B32" s="40" t="s">
        <v>144</v>
      </c>
      <c r="C32" s="42">
        <f>C9/C6</f>
        <v>951.97488750000002</v>
      </c>
      <c r="D32" s="42">
        <f t="shared" ref="D32:J32" si="27">D9/D6</f>
        <v>962.67892500000016</v>
      </c>
      <c r="E32" s="42">
        <f t="shared" si="27"/>
        <v>102.37280625000001</v>
      </c>
      <c r="F32" s="42">
        <f t="shared" si="27"/>
        <v>108.30470625000001</v>
      </c>
      <c r="G32" s="42">
        <f t="shared" si="27"/>
        <v>147.16625625</v>
      </c>
      <c r="H32" s="42">
        <f t="shared" si="27"/>
        <v>142.80288750000003</v>
      </c>
      <c r="I32" s="42">
        <f t="shared" si="27"/>
        <v>101.16551250000001</v>
      </c>
      <c r="J32" s="42">
        <f t="shared" si="27"/>
        <v>312.42290624999998</v>
      </c>
      <c r="K32" s="47"/>
      <c r="L32" s="55"/>
      <c r="M32" s="55"/>
      <c r="N32" s="55"/>
      <c r="O32" s="55"/>
      <c r="P32" s="55"/>
      <c r="Q32" s="55"/>
      <c r="R32" s="55"/>
      <c r="AG32" s="40"/>
      <c r="AH32" s="40"/>
    </row>
    <row r="33" spans="1:34">
      <c r="A33" s="146">
        <v>3</v>
      </c>
      <c r="B33" s="45" t="s">
        <v>65</v>
      </c>
      <c r="C33" s="42">
        <f>'2024年'!C33*(1-0.025)</f>
        <v>654.58136249999995</v>
      </c>
      <c r="D33" s="42">
        <f>'2024年'!D33*(1-0.025)</f>
        <v>663.34612499999992</v>
      </c>
      <c r="E33" s="42">
        <f>'2024年'!E33*(1-0.025)</f>
        <v>92.790506249999993</v>
      </c>
      <c r="F33" s="42">
        <f>'2024年'!F33*(1-0.025)</f>
        <v>89.092574999999997</v>
      </c>
      <c r="G33" s="42">
        <f>'2024年'!G33*(1-0.025)</f>
        <v>127.43128125000001</v>
      </c>
      <c r="H33" s="42">
        <f>'2024年'!H33*(1-0.025)</f>
        <v>66.448687500000005</v>
      </c>
      <c r="I33" s="42">
        <f>'2024年'!I33*(1-0.025)</f>
        <v>63.49224375</v>
      </c>
      <c r="J33" s="42">
        <f>'2024年'!J33*(1-0.025)</f>
        <v>288.02986874999999</v>
      </c>
      <c r="K33" s="47"/>
      <c r="M33" s="55"/>
      <c r="N33" s="55"/>
      <c r="O33" s="55"/>
      <c r="P33" s="55"/>
      <c r="Q33" s="55"/>
      <c r="R33" s="55"/>
      <c r="AG33" s="40" t="s">
        <v>20</v>
      </c>
      <c r="AH33" s="40" t="s">
        <v>65</v>
      </c>
    </row>
    <row r="34" spans="1:34" ht="17.25" customHeight="1">
      <c r="A34" s="146">
        <v>4</v>
      </c>
      <c r="B34" s="40" t="s">
        <v>67</v>
      </c>
      <c r="C34" s="52">
        <f>C32-C33</f>
        <v>297.39352500000007</v>
      </c>
      <c r="D34" s="52">
        <f t="shared" ref="D34:J34" si="28">D32-D33</f>
        <v>299.33280000000025</v>
      </c>
      <c r="E34" s="52">
        <f t="shared" si="28"/>
        <v>9.5823000000000178</v>
      </c>
      <c r="F34" s="52">
        <f t="shared" si="28"/>
        <v>19.212131250000013</v>
      </c>
      <c r="G34" s="52">
        <f t="shared" si="28"/>
        <v>19.734974999999991</v>
      </c>
      <c r="H34" s="52">
        <f t="shared" si="28"/>
        <v>76.35420000000002</v>
      </c>
      <c r="I34" s="52">
        <f t="shared" si="28"/>
        <v>37.673268750000005</v>
      </c>
      <c r="J34" s="52">
        <f t="shared" si="28"/>
        <v>24.393037499999991</v>
      </c>
      <c r="K34" s="47"/>
      <c r="M34" s="55"/>
      <c r="N34" s="55"/>
      <c r="O34" s="55"/>
      <c r="P34" s="55"/>
      <c r="Q34" s="55"/>
      <c r="R34" s="55"/>
      <c r="AG34" s="40" t="s">
        <v>66</v>
      </c>
      <c r="AH34" s="40" t="s">
        <v>67</v>
      </c>
    </row>
    <row r="35" spans="1:34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AG35" s="40" t="s">
        <v>69</v>
      </c>
      <c r="AH35" s="43" t="s">
        <v>7</v>
      </c>
    </row>
    <row r="36" spans="1:34">
      <c r="A36" s="146">
        <v>1</v>
      </c>
      <c r="B36" s="40" t="s">
        <v>70</v>
      </c>
      <c r="C36" s="46">
        <f>'2023年'!C36</f>
        <v>58.223159778699888</v>
      </c>
      <c r="D36" s="46">
        <f>'2023年'!D36</f>
        <v>58.87782293612451</v>
      </c>
      <c r="E36" s="46">
        <f>'2023年'!E36</f>
        <v>6.2611612276249637</v>
      </c>
      <c r="F36" s="46">
        <f>'2023年'!F36</f>
        <v>6.6239585724144501</v>
      </c>
      <c r="G36" s="46">
        <f>'2023年'!G36</f>
        <v>9.0007463055865973</v>
      </c>
      <c r="H36" s="46">
        <f>'2023年'!H36</f>
        <v>8.7338809510058688</v>
      </c>
      <c r="I36" s="46">
        <f>'2023年'!I36</f>
        <v>6.1873226654642837</v>
      </c>
      <c r="J36" s="46">
        <f>'2023年'!J36</f>
        <v>19.107908231580872</v>
      </c>
      <c r="K36" s="51"/>
      <c r="L36" s="55"/>
      <c r="M36" s="55"/>
      <c r="N36" s="55"/>
      <c r="O36" s="55"/>
      <c r="P36" s="55"/>
      <c r="Q36" s="55"/>
      <c r="R36" s="55"/>
      <c r="S36" s="55"/>
      <c r="AG36" s="40" t="s">
        <v>66</v>
      </c>
      <c r="AH36" s="40" t="s">
        <v>70</v>
      </c>
    </row>
    <row r="37" spans="1:34">
      <c r="A37" s="146">
        <v>2</v>
      </c>
      <c r="B37" s="40" t="s">
        <v>71</v>
      </c>
      <c r="C37" s="46">
        <f>'2023年'!C37</f>
        <v>18.094013957988707</v>
      </c>
      <c r="D37" s="46">
        <f>'2023年'!D37</f>
        <v>18.297463656583655</v>
      </c>
      <c r="E37" s="46">
        <f>'2023年'!E37</f>
        <v>1.9457813536136723</v>
      </c>
      <c r="F37" s="46">
        <f>'2023年'!F37</f>
        <v>2.0585279006147807</v>
      </c>
      <c r="G37" s="46">
        <f>'2023年'!G37</f>
        <v>2.7971623303271671</v>
      </c>
      <c r="H37" s="46">
        <f>'2023年'!H37</f>
        <v>2.7142285721965447</v>
      </c>
      <c r="I37" s="46">
        <f>'2023年'!I37</f>
        <v>1.9228345403618445</v>
      </c>
      <c r="J37" s="46">
        <f>'2023年'!J37</f>
        <v>5.9381654922939306</v>
      </c>
      <c r="K37" s="51"/>
      <c r="L37" s="55"/>
      <c r="M37" s="55"/>
      <c r="N37" s="55"/>
      <c r="O37" s="55"/>
      <c r="P37" s="55"/>
      <c r="Q37" s="55"/>
      <c r="R37" s="55"/>
      <c r="S37" s="55"/>
      <c r="AG37" s="40" t="s">
        <v>23</v>
      </c>
      <c r="AH37" s="40" t="s">
        <v>71</v>
      </c>
    </row>
    <row r="38" spans="1:34">
      <c r="A38" s="146">
        <v>3</v>
      </c>
      <c r="B38" s="40" t="s">
        <v>72</v>
      </c>
      <c r="C38" s="46">
        <f>'2023年'!C38</f>
        <v>33.046860000000002</v>
      </c>
      <c r="D38" s="46">
        <f>'2023年'!D38</f>
        <v>33.418439999999997</v>
      </c>
      <c r="E38" s="46">
        <f>'2023年'!E38</f>
        <v>3.5537700000000001</v>
      </c>
      <c r="F38" s="46">
        <f>'2023年'!F38</f>
        <v>3.7596900000000004</v>
      </c>
      <c r="G38" s="46">
        <f>'2023年'!G38</f>
        <v>5.1087300000000004</v>
      </c>
      <c r="H38" s="46">
        <f>'2023年'!H38</f>
        <v>4.9572599999999998</v>
      </c>
      <c r="I38" s="46">
        <f>'2023年'!I38</f>
        <v>3.5118600000000004</v>
      </c>
      <c r="J38" s="46">
        <f>'2023年'!J38</f>
        <v>10.84545</v>
      </c>
      <c r="K38" s="51"/>
      <c r="L38" s="55"/>
      <c r="M38" s="55"/>
      <c r="N38" s="55"/>
      <c r="O38" s="55"/>
      <c r="P38" s="55"/>
      <c r="Q38" s="55"/>
      <c r="R38" s="55"/>
      <c r="S38" s="55"/>
      <c r="AG38" s="40" t="s">
        <v>29</v>
      </c>
      <c r="AH38" s="40" t="s">
        <v>72</v>
      </c>
    </row>
    <row r="39" spans="1:34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AG39" s="40" t="s">
        <v>73</v>
      </c>
      <c r="AH39" s="43" t="s">
        <v>74</v>
      </c>
    </row>
    <row r="40" spans="1:34">
      <c r="A40" s="146">
        <v>1</v>
      </c>
      <c r="B40" s="40" t="s">
        <v>75</v>
      </c>
      <c r="C40" s="47">
        <f>C34-C36-C37-C38</f>
        <v>188.02949126331148</v>
      </c>
      <c r="D40" s="47">
        <f t="shared" ref="D40:J40" si="29">D34-D36-D37-D38</f>
        <v>188.73907340729207</v>
      </c>
      <c r="E40" s="47">
        <f t="shared" si="29"/>
        <v>-2.1784125812386184</v>
      </c>
      <c r="F40" s="47">
        <f t="shared" si="29"/>
        <v>6.7699547769707813</v>
      </c>
      <c r="G40" s="47">
        <f t="shared" si="29"/>
        <v>2.8283363640862271</v>
      </c>
      <c r="H40" s="47">
        <f t="shared" si="29"/>
        <v>59.948830476797603</v>
      </c>
      <c r="I40" s="47">
        <f t="shared" si="29"/>
        <v>26.05125154417388</v>
      </c>
      <c r="J40" s="47">
        <f t="shared" si="29"/>
        <v>-11.49848622387481</v>
      </c>
      <c r="K40" s="47"/>
      <c r="AG40" s="40" t="s">
        <v>18</v>
      </c>
      <c r="AH40" s="40" t="s">
        <v>75</v>
      </c>
    </row>
    <row r="41" spans="1:34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AG41" s="40" t="s">
        <v>20</v>
      </c>
      <c r="AH41" s="40" t="s">
        <v>76</v>
      </c>
    </row>
    <row r="42" spans="1:34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AG42" s="40" t="s">
        <v>77</v>
      </c>
      <c r="AH42" s="43" t="s">
        <v>78</v>
      </c>
    </row>
    <row r="43" spans="1:34">
      <c r="A43" s="146">
        <v>1</v>
      </c>
      <c r="B43" s="48" t="s">
        <v>79</v>
      </c>
      <c r="C43" s="46">
        <f>'2023年'!C43</f>
        <v>45.063899999999997</v>
      </c>
      <c r="D43" s="46">
        <f>'2023年'!D43</f>
        <v>45.570599999999999</v>
      </c>
      <c r="E43" s="46">
        <f>'2023年'!E43</f>
        <v>4.84605</v>
      </c>
      <c r="F43" s="46">
        <f>'2023年'!F43</f>
        <v>5.1268500000000001</v>
      </c>
      <c r="G43" s="46">
        <f>'2023年'!G43</f>
        <v>6.96645</v>
      </c>
      <c r="H43" s="46">
        <f>'2023年'!H43</f>
        <v>6.7599</v>
      </c>
      <c r="I43" s="46">
        <f>'2023年'!I43</f>
        <v>4.7888999999999999</v>
      </c>
      <c r="J43" s="46">
        <f>'2023年'!J43</f>
        <v>14.789249999999999</v>
      </c>
      <c r="K43" s="47"/>
      <c r="AG43" s="40" t="s">
        <v>18</v>
      </c>
      <c r="AH43" s="40" t="s">
        <v>79</v>
      </c>
    </row>
    <row r="44" spans="1:34">
      <c r="A44" s="146">
        <v>2</v>
      </c>
      <c r="B44" s="48" t="s">
        <v>80</v>
      </c>
      <c r="C44" s="46">
        <f>'2023年'!C44</f>
        <v>7.9112180000000007</v>
      </c>
      <c r="D44" s="46">
        <f>'2023年'!D44</f>
        <v>8.0001720000000009</v>
      </c>
      <c r="E44" s="46">
        <f>'2023年'!E44</f>
        <v>0.85075100000000003</v>
      </c>
      <c r="F44" s="46">
        <f>'2023年'!F44</f>
        <v>0.90004700000000015</v>
      </c>
      <c r="G44" s="46">
        <f>'2023年'!G44</f>
        <v>1.2229990000000002</v>
      </c>
      <c r="H44" s="46">
        <f>'2023年'!H44</f>
        <v>1.1867380000000001</v>
      </c>
      <c r="I44" s="46">
        <f>'2023年'!I44</f>
        <v>0.84071800000000008</v>
      </c>
      <c r="J44" s="46">
        <f>'2023年'!J44</f>
        <v>2.5963350000000003</v>
      </c>
      <c r="K44" s="47"/>
      <c r="AG44" s="40" t="s">
        <v>20</v>
      </c>
      <c r="AH44" s="40" t="s">
        <v>80</v>
      </c>
    </row>
    <row r="45" spans="1:34">
      <c r="A45" s="146">
        <v>3</v>
      </c>
      <c r="B45" s="48" t="s">
        <v>81</v>
      </c>
      <c r="C45" s="46">
        <f>'2023年'!C45</f>
        <v>40.620909190573528</v>
      </c>
      <c r="D45" s="46">
        <f>'2023年'!D45</f>
        <v>41.07765205319447</v>
      </c>
      <c r="E45" s="46">
        <f>'2023年'!E45</f>
        <v>4.3682627775886873</v>
      </c>
      <c r="F45" s="46">
        <f>'2023年'!F45</f>
        <v>4.6213778275668975</v>
      </c>
      <c r="G45" s="46">
        <f>'2023年'!G45</f>
        <v>6.2796059113985025</v>
      </c>
      <c r="H45" s="46">
        <f>'2023年'!H45</f>
        <v>6.0934203217510694</v>
      </c>
      <c r="I45" s="46">
        <f>'2023年'!I45</f>
        <v>4.3167473747886351</v>
      </c>
      <c r="J45" s="46">
        <f>'2023年'!J45</f>
        <v>13.331131598611961</v>
      </c>
      <c r="K45" s="47"/>
      <c r="AG45" s="40" t="s">
        <v>66</v>
      </c>
      <c r="AH45" s="40" t="s">
        <v>81</v>
      </c>
    </row>
    <row r="46" spans="1:34" s="35" customFormat="1">
      <c r="A46" s="146">
        <v>4</v>
      </c>
      <c r="B46" s="48" t="s">
        <v>82</v>
      </c>
      <c r="C46" s="53">
        <f>C21/C6</f>
        <v>0.496</v>
      </c>
      <c r="D46" s="53">
        <f t="shared" ref="D46:J46" si="30">D21/D6</f>
        <v>0.496</v>
      </c>
      <c r="E46" s="53">
        <f t="shared" si="30"/>
        <v>0.496</v>
      </c>
      <c r="F46" s="53">
        <f t="shared" si="30"/>
        <v>0.496</v>
      </c>
      <c r="G46" s="53">
        <f t="shared" si="30"/>
        <v>0.496</v>
      </c>
      <c r="H46" s="53">
        <f t="shared" si="30"/>
        <v>0.496</v>
      </c>
      <c r="I46" s="53">
        <f t="shared" si="30"/>
        <v>0.496</v>
      </c>
      <c r="J46" s="53">
        <f t="shared" si="30"/>
        <v>0.496</v>
      </c>
      <c r="K46" s="53"/>
      <c r="AG46" s="48" t="s">
        <v>26</v>
      </c>
      <c r="AH46" s="48" t="s">
        <v>84</v>
      </c>
    </row>
    <row r="47" spans="1:34" s="35" customFormat="1">
      <c r="A47" s="146">
        <v>5</v>
      </c>
      <c r="B47" s="48" t="s">
        <v>84</v>
      </c>
      <c r="C47" s="53">
        <f>'2023年'!C47</f>
        <v>21.330245999999999</v>
      </c>
      <c r="D47" s="53">
        <f>'2023年'!D47</f>
        <v>21.570083999999998</v>
      </c>
      <c r="E47" s="53">
        <f>'2023年'!E47</f>
        <v>2.2937970000000001</v>
      </c>
      <c r="F47" s="53">
        <f>'2023年'!F47</f>
        <v>2.4267090000000002</v>
      </c>
      <c r="G47" s="53">
        <f>'2023年'!G47</f>
        <v>3.297453</v>
      </c>
      <c r="H47" s="53">
        <f>'2023年'!H47</f>
        <v>3.1996859999999998</v>
      </c>
      <c r="I47" s="53">
        <f>'2023年'!I47</f>
        <v>2.2667459999999999</v>
      </c>
      <c r="J47" s="53">
        <f>'2023年'!J47</f>
        <v>7.0002449999999996</v>
      </c>
      <c r="K47" s="53"/>
      <c r="AG47" s="48" t="s">
        <v>26</v>
      </c>
      <c r="AH47" s="48" t="s">
        <v>84</v>
      </c>
    </row>
    <row r="48" spans="1:34">
      <c r="A48" s="40" t="s">
        <v>77</v>
      </c>
      <c r="B48" s="43" t="s">
        <v>95</v>
      </c>
      <c r="C48" s="47">
        <f>C40-C43-C44-C45-C47-C46</f>
        <v>72.607218072737979</v>
      </c>
      <c r="D48" s="47">
        <f t="shared" ref="D48:J48" si="31">D40-D43-D44-D45-D47-D46</f>
        <v>72.024565354097632</v>
      </c>
      <c r="E48" s="47">
        <f t="shared" si="31"/>
        <v>-15.033273358827305</v>
      </c>
      <c r="F48" s="47">
        <f t="shared" si="31"/>
        <v>-6.8010290505961173</v>
      </c>
      <c r="G48" s="47">
        <f t="shared" si="31"/>
        <v>-15.434171547312276</v>
      </c>
      <c r="H48" s="47">
        <f t="shared" si="31"/>
        <v>42.213086155046533</v>
      </c>
      <c r="I48" s="47">
        <f t="shared" si="31"/>
        <v>13.342140169385246</v>
      </c>
      <c r="J48" s="47">
        <f t="shared" si="31"/>
        <v>-49.711447822486775</v>
      </c>
      <c r="K48" s="47"/>
      <c r="AG48" s="40" t="s">
        <v>94</v>
      </c>
      <c r="AH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C5" sqref="C5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3" t="s">
        <v>135</v>
      </c>
      <c r="B1" s="253"/>
      <c r="C1" s="257" t="s">
        <v>227</v>
      </c>
      <c r="D1" s="258"/>
      <c r="E1" s="258"/>
      <c r="F1" s="258"/>
      <c r="G1" s="258"/>
      <c r="H1" s="258"/>
      <c r="I1" s="258"/>
      <c r="J1" s="258"/>
      <c r="K1" s="259"/>
    </row>
    <row r="2" spans="1:40">
      <c r="A2" s="253" t="s">
        <v>136</v>
      </c>
      <c r="B2" s="253"/>
      <c r="C2" s="260" t="str">
        <f>'2023年'!C2:K2</f>
        <v>一汽解放青岛汽车有限公司</v>
      </c>
      <c r="D2" s="260"/>
      <c r="E2" s="260"/>
      <c r="F2" s="260"/>
      <c r="G2" s="260"/>
      <c r="H2" s="260"/>
      <c r="I2" s="260"/>
      <c r="J2" s="260"/>
      <c r="K2" s="260"/>
    </row>
    <row r="3" spans="1:40">
      <c r="A3" s="253" t="s">
        <v>137</v>
      </c>
      <c r="B3" s="253"/>
      <c r="C3" s="147" t="str">
        <f>'2023年'!C3</f>
        <v>驾驶员座总成</v>
      </c>
      <c r="D3" s="147" t="str">
        <f>'2023年'!D3</f>
        <v>驾驶员座总成</v>
      </c>
      <c r="E3" s="147" t="str">
        <f>'2023年'!E3</f>
        <v>座垫总成-前座</v>
      </c>
      <c r="F3" s="147" t="str">
        <f>'2023年'!F3</f>
        <v>座垫总成-前座</v>
      </c>
      <c r="G3" s="147" t="str">
        <f>'2023年'!G3</f>
        <v>主靠背总成-前座</v>
      </c>
      <c r="H3" s="147" t="str">
        <f>'2023年'!H3</f>
        <v>副靠背总成</v>
      </c>
      <c r="I3" s="147" t="str">
        <f>'2023年'!I3</f>
        <v>副靠背总成</v>
      </c>
      <c r="J3" s="147" t="str">
        <f>'2023年'!J3</f>
        <v>虎V副司机</v>
      </c>
      <c r="K3" s="254" t="s">
        <v>14</v>
      </c>
    </row>
    <row r="4" spans="1:40" ht="42.75">
      <c r="A4" s="253" t="s">
        <v>138</v>
      </c>
      <c r="B4" s="253"/>
      <c r="C4" s="147" t="str">
        <f>'2023年'!C4</f>
        <v>6800010MA96</v>
      </c>
      <c r="D4" s="147" t="str">
        <f>'2023年'!D4</f>
        <v>6800010MA98</v>
      </c>
      <c r="E4" s="147" t="str">
        <f>'2023年'!E4</f>
        <v>6903010MA96</v>
      </c>
      <c r="F4" s="147" t="str">
        <f>'2023年'!F4</f>
        <v>6903010MA98</v>
      </c>
      <c r="G4" s="147" t="str">
        <f>'2023年'!G4</f>
        <v>6905020MA96</v>
      </c>
      <c r="H4" s="147" t="str">
        <f>'2023年'!H4</f>
        <v>6905100MA96</v>
      </c>
      <c r="I4" s="147" t="str">
        <f>'2023年'!I4</f>
        <v>6905100MA98</v>
      </c>
      <c r="J4" s="147" t="str">
        <f>'2023年'!J4</f>
        <v>6903010AE411、6905020AE411、6905100AE411</v>
      </c>
      <c r="K4" s="255"/>
    </row>
    <row r="5" spans="1:40">
      <c r="A5" s="253" t="s">
        <v>139</v>
      </c>
      <c r="B5" s="253"/>
      <c r="C5" s="39"/>
      <c r="D5" s="39"/>
      <c r="E5" s="39"/>
      <c r="F5" s="39"/>
      <c r="G5" s="39"/>
      <c r="H5" s="39"/>
      <c r="I5" s="39"/>
      <c r="J5" s="39"/>
      <c r="K5" s="256"/>
      <c r="AN5" s="36" t="s">
        <v>15</v>
      </c>
    </row>
    <row r="6" spans="1:40" ht="17.25">
      <c r="A6" s="40" t="s">
        <v>13</v>
      </c>
      <c r="B6" s="41" t="s">
        <v>140</v>
      </c>
      <c r="C6" s="12">
        <f>销量!C12</f>
        <v>2000</v>
      </c>
      <c r="D6" s="12">
        <f>销量!D12</f>
        <v>3000</v>
      </c>
      <c r="E6" s="12">
        <f>销量!E12</f>
        <v>2000</v>
      </c>
      <c r="F6" s="12">
        <f>销量!F12</f>
        <v>3000</v>
      </c>
      <c r="G6" s="12">
        <f>销量!G12</f>
        <v>5000</v>
      </c>
      <c r="H6" s="12">
        <f>销量!H12</f>
        <v>2000</v>
      </c>
      <c r="I6" s="12">
        <f>销量!I12</f>
        <v>3000</v>
      </c>
      <c r="J6" s="12">
        <f>销量!J12</f>
        <v>4000</v>
      </c>
      <c r="K6" s="42">
        <f>SUM(C6:J6)</f>
        <v>24000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6">
        <v>1</v>
      </c>
      <c r="B7" s="41" t="s">
        <v>17</v>
      </c>
      <c r="C7" s="42">
        <f>C6*销量!C8</f>
        <v>2002840</v>
      </c>
      <c r="D7" s="42">
        <f>D6*销量!D8</f>
        <v>3038040</v>
      </c>
      <c r="E7" s="42">
        <f>E6*销量!E8</f>
        <v>215380</v>
      </c>
      <c r="F7" s="42">
        <f>F6*销量!F8</f>
        <v>341790</v>
      </c>
      <c r="G7" s="42">
        <f>G6*销量!G8</f>
        <v>774050</v>
      </c>
      <c r="H7" s="42">
        <f>H6*销量!H8</f>
        <v>300440</v>
      </c>
      <c r="I7" s="42">
        <f>I6*销量!I8</f>
        <v>319260</v>
      </c>
      <c r="J7" s="42">
        <f>J6*销量!J8</f>
        <v>1314600</v>
      </c>
      <c r="K7" s="42">
        <f t="shared" ref="K7:K22" si="0">SUM(C7:J7)</f>
        <v>8306400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6">
        <v>2</v>
      </c>
      <c r="B8" s="146" t="s">
        <v>19</v>
      </c>
      <c r="C8" s="42">
        <f>C7*(1-销量!$O$9)</f>
        <v>146488.96937500013</v>
      </c>
      <c r="D8" s="42">
        <f>D7*(1-销量!$O$9)</f>
        <v>222204.14437500021</v>
      </c>
      <c r="E8" s="42">
        <f>E7*(1-销量!$O$9)</f>
        <v>15753.027812500015</v>
      </c>
      <c r="F8" s="42">
        <f>F7*(1-销量!$O$9)</f>
        <v>24998.734218750025</v>
      </c>
      <c r="G8" s="42">
        <f>G7*(1-销量!$O$9)</f>
        <v>56614.500781250055</v>
      </c>
      <c r="H8" s="42">
        <f>H7*(1-销量!$O$9)</f>
        <v>21974.36937500002</v>
      </c>
      <c r="I8" s="42">
        <f>I7*(1-销量!$O$9)</f>
        <v>23350.875937500023</v>
      </c>
      <c r="J8" s="42">
        <f>J7*(1-销量!$O$9)</f>
        <v>96150.665625000096</v>
      </c>
      <c r="K8" s="42">
        <f t="shared" si="0"/>
        <v>607535.28750000068</v>
      </c>
      <c r="L8" s="57"/>
      <c r="V8" s="146" t="s">
        <v>21</v>
      </c>
      <c r="AL8" s="40" t="s">
        <v>20</v>
      </c>
      <c r="AM8" s="146" t="s">
        <v>21</v>
      </c>
      <c r="AN8" s="36" t="s">
        <v>16</v>
      </c>
    </row>
    <row r="9" spans="1:40">
      <c r="A9" s="146">
        <v>3</v>
      </c>
      <c r="B9" s="41" t="s">
        <v>22</v>
      </c>
      <c r="C9" s="42">
        <f>+C7-C8</f>
        <v>1856351.0306249999</v>
      </c>
      <c r="D9" s="42">
        <f t="shared" ref="D9:J9" si="1">+D7-D8</f>
        <v>2815835.8556249999</v>
      </c>
      <c r="E9" s="42">
        <f t="shared" si="1"/>
        <v>199626.97218749998</v>
      </c>
      <c r="F9" s="42">
        <f t="shared" si="1"/>
        <v>316791.26578124997</v>
      </c>
      <c r="G9" s="42">
        <f t="shared" si="1"/>
        <v>717435.49921874993</v>
      </c>
      <c r="H9" s="42">
        <f t="shared" si="1"/>
        <v>278465.63062499999</v>
      </c>
      <c r="I9" s="42">
        <f t="shared" si="1"/>
        <v>295909.12406249996</v>
      </c>
      <c r="J9" s="42">
        <f t="shared" si="1"/>
        <v>1218449.3343749999</v>
      </c>
      <c r="K9" s="42">
        <f t="shared" si="0"/>
        <v>7698864.7124999985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6">
        <v>4</v>
      </c>
      <c r="B10" s="40" t="s">
        <v>25</v>
      </c>
      <c r="C10" s="42">
        <f>C6*C33</f>
        <v>1276433.6568749999</v>
      </c>
      <c r="D10" s="42">
        <f t="shared" ref="D10:J10" si="2">D6*D33</f>
        <v>1940287.4156249994</v>
      </c>
      <c r="E10" s="42">
        <f t="shared" si="2"/>
        <v>180941.48718749997</v>
      </c>
      <c r="F10" s="42">
        <f t="shared" si="2"/>
        <v>260595.78187499999</v>
      </c>
      <c r="G10" s="42">
        <f t="shared" si="2"/>
        <v>621227.49609375012</v>
      </c>
      <c r="H10" s="42">
        <f t="shared" si="2"/>
        <v>129574.94062500002</v>
      </c>
      <c r="I10" s="42">
        <f t="shared" si="2"/>
        <v>185714.81296874999</v>
      </c>
      <c r="J10" s="42">
        <f t="shared" si="2"/>
        <v>1123316.4881249999</v>
      </c>
      <c r="K10" s="42">
        <f t="shared" si="0"/>
        <v>5718092.0793749988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6">
        <v>5</v>
      </c>
      <c r="B11" s="40" t="s">
        <v>28</v>
      </c>
      <c r="C11" s="42">
        <f>+C6*C36</f>
        <v>116446.31955739978</v>
      </c>
      <c r="D11" s="42">
        <f t="shared" ref="D11:J11" si="3">+D6*D36</f>
        <v>176633.46880837352</v>
      </c>
      <c r="E11" s="42">
        <f t="shared" si="3"/>
        <v>12522.322455249927</v>
      </c>
      <c r="F11" s="42">
        <f t="shared" si="3"/>
        <v>19871.875717243351</v>
      </c>
      <c r="G11" s="42">
        <f t="shared" si="3"/>
        <v>45003.731527932985</v>
      </c>
      <c r="H11" s="42">
        <f t="shared" si="3"/>
        <v>17467.761902011738</v>
      </c>
      <c r="I11" s="42">
        <f t="shared" si="3"/>
        <v>18561.96799639285</v>
      </c>
      <c r="J11" s="42">
        <f t="shared" si="3"/>
        <v>76431.632926323495</v>
      </c>
      <c r="K11" s="42">
        <f t="shared" si="0"/>
        <v>482939.08089092764</v>
      </c>
      <c r="V11" s="40" t="s">
        <v>28</v>
      </c>
      <c r="AL11" s="40" t="s">
        <v>29</v>
      </c>
      <c r="AM11" s="40" t="s">
        <v>28</v>
      </c>
    </row>
    <row r="12" spans="1:40">
      <c r="A12" s="146">
        <v>6</v>
      </c>
      <c r="B12" s="40" t="s">
        <v>30</v>
      </c>
      <c r="C12" s="42">
        <f>+C6*C37</f>
        <v>36188.027915977415</v>
      </c>
      <c r="D12" s="42">
        <f t="shared" ref="D12:J12" si="4">+D6*D37</f>
        <v>54892.390969750966</v>
      </c>
      <c r="E12" s="42">
        <f t="shared" si="4"/>
        <v>3891.5627072273446</v>
      </c>
      <c r="F12" s="42">
        <f t="shared" si="4"/>
        <v>6175.5837018443426</v>
      </c>
      <c r="G12" s="42">
        <f t="shared" si="4"/>
        <v>13985.811651635835</v>
      </c>
      <c r="H12" s="42">
        <f t="shared" si="4"/>
        <v>5428.457144393089</v>
      </c>
      <c r="I12" s="42">
        <f t="shared" si="4"/>
        <v>5768.5036210855333</v>
      </c>
      <c r="J12" s="42">
        <f t="shared" si="4"/>
        <v>23752.661969175722</v>
      </c>
      <c r="K12" s="42">
        <f t="shared" si="0"/>
        <v>150082.99968109024</v>
      </c>
      <c r="V12" s="40" t="s">
        <v>30</v>
      </c>
      <c r="AL12" s="40" t="s">
        <v>31</v>
      </c>
      <c r="AM12" s="40" t="s">
        <v>30</v>
      </c>
    </row>
    <row r="13" spans="1:40">
      <c r="A13" s="146">
        <v>7</v>
      </c>
      <c r="B13" s="40" t="s">
        <v>32</v>
      </c>
      <c r="C13" s="42">
        <f>+C6*C38</f>
        <v>66093.72</v>
      </c>
      <c r="D13" s="42">
        <f t="shared" ref="D13:J13" si="5">+D6*D38</f>
        <v>100255.31999999999</v>
      </c>
      <c r="E13" s="42">
        <f t="shared" si="5"/>
        <v>7107.54</v>
      </c>
      <c r="F13" s="42">
        <f t="shared" si="5"/>
        <v>11279.070000000002</v>
      </c>
      <c r="G13" s="42">
        <f t="shared" si="5"/>
        <v>25543.65</v>
      </c>
      <c r="H13" s="42">
        <f t="shared" si="5"/>
        <v>9914.52</v>
      </c>
      <c r="I13" s="42">
        <f t="shared" si="5"/>
        <v>10535.580000000002</v>
      </c>
      <c r="J13" s="42">
        <f t="shared" si="5"/>
        <v>43381.799999999996</v>
      </c>
      <c r="K13" s="42">
        <f t="shared" si="0"/>
        <v>274111.19999999995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6">
        <v>8</v>
      </c>
      <c r="B14" s="43" t="s">
        <v>34</v>
      </c>
      <c r="C14" s="42">
        <f>SUM(C11:C13)</f>
        <v>218728.06747337719</v>
      </c>
      <c r="D14" s="42">
        <f t="shared" ref="D14:J14" si="6">SUM(D11:D13)</f>
        <v>331781.1797781245</v>
      </c>
      <c r="E14" s="42">
        <f t="shared" si="6"/>
        <v>23521.425162477273</v>
      </c>
      <c r="F14" s="42">
        <f t="shared" si="6"/>
        <v>37326.529419087696</v>
      </c>
      <c r="G14" s="42">
        <f t="shared" si="6"/>
        <v>84533.193179568829</v>
      </c>
      <c r="H14" s="42">
        <f t="shared" si="6"/>
        <v>32810.739046404822</v>
      </c>
      <c r="I14" s="42">
        <f t="shared" si="6"/>
        <v>34866.051617478384</v>
      </c>
      <c r="J14" s="42">
        <f t="shared" si="6"/>
        <v>143566.09489549921</v>
      </c>
      <c r="K14" s="42">
        <f t="shared" si="0"/>
        <v>907133.28057201789</v>
      </c>
      <c r="V14" s="43" t="s">
        <v>34</v>
      </c>
      <c r="AL14" s="40" t="s">
        <v>35</v>
      </c>
      <c r="AM14" s="43" t="s">
        <v>34</v>
      </c>
    </row>
    <row r="15" spans="1:40">
      <c r="A15" s="146">
        <v>9</v>
      </c>
      <c r="B15" s="43" t="s">
        <v>36</v>
      </c>
      <c r="C15" s="42">
        <f>+C9-C10-C14</f>
        <v>361189.30627662281</v>
      </c>
      <c r="D15" s="42">
        <f t="shared" ref="D15:J15" si="7">+D9-D10-D14</f>
        <v>543767.26022187597</v>
      </c>
      <c r="E15" s="42">
        <f t="shared" si="7"/>
        <v>-4835.9401624772581</v>
      </c>
      <c r="F15" s="42">
        <f t="shared" si="7"/>
        <v>18868.954487162286</v>
      </c>
      <c r="G15" s="42">
        <f t="shared" si="7"/>
        <v>11674.809945430985</v>
      </c>
      <c r="H15" s="42">
        <f t="shared" si="7"/>
        <v>116079.95095359515</v>
      </c>
      <c r="I15" s="42">
        <f t="shared" si="7"/>
        <v>75328.259476271589</v>
      </c>
      <c r="J15" s="42">
        <f t="shared" si="7"/>
        <v>-48433.248645499261</v>
      </c>
      <c r="K15" s="42">
        <f t="shared" si="0"/>
        <v>1073639.3525529823</v>
      </c>
      <c r="V15" s="43" t="s">
        <v>36</v>
      </c>
      <c r="AL15" s="40" t="s">
        <v>37</v>
      </c>
      <c r="AM15" s="43" t="s">
        <v>36</v>
      </c>
    </row>
    <row r="16" spans="1:40">
      <c r="A16" s="146">
        <v>10</v>
      </c>
      <c r="B16" s="40" t="s">
        <v>38</v>
      </c>
      <c r="C16" s="44">
        <f>+C15/C9</f>
        <v>0.19456950776977611</v>
      </c>
      <c r="D16" s="44">
        <f t="shared" ref="D16:J16" si="8">+D15/D9</f>
        <v>0.19311042550141191</v>
      </c>
      <c r="E16" s="44">
        <f t="shared" si="8"/>
        <v>-2.422488358905275E-2</v>
      </c>
      <c r="F16" s="44">
        <f t="shared" si="8"/>
        <v>5.9562735862142224E-2</v>
      </c>
      <c r="G16" s="44">
        <f t="shared" si="8"/>
        <v>1.6272975003528884E-2</v>
      </c>
      <c r="H16" s="44">
        <f t="shared" si="8"/>
        <v>0.41685557637062937</v>
      </c>
      <c r="I16" s="44">
        <f t="shared" si="8"/>
        <v>0.25456551809589101</v>
      </c>
      <c r="J16" s="44">
        <f t="shared" si="8"/>
        <v>-3.9749907754960498E-2</v>
      </c>
      <c r="K16" s="44">
        <f t="shared" ref="K16" si="9">+K15/K9</f>
        <v>0.13945424327431089</v>
      </c>
      <c r="V16" s="40" t="s">
        <v>38</v>
      </c>
      <c r="AL16" s="40" t="s">
        <v>39</v>
      </c>
      <c r="AM16" s="40" t="s">
        <v>38</v>
      </c>
    </row>
    <row r="17" spans="1:40">
      <c r="A17" s="146">
        <v>11</v>
      </c>
      <c r="B17" s="40" t="s">
        <v>40</v>
      </c>
      <c r="C17" s="42">
        <f>C6*C43+C18</f>
        <v>90127.799999999988</v>
      </c>
      <c r="D17" s="42">
        <f t="shared" ref="D17:J17" si="10">D6*D43+D18</f>
        <v>136711.79999999999</v>
      </c>
      <c r="E17" s="42">
        <f t="shared" si="10"/>
        <v>9692.1</v>
      </c>
      <c r="F17" s="42">
        <f t="shared" si="10"/>
        <v>15380.550000000001</v>
      </c>
      <c r="G17" s="42">
        <f t="shared" si="10"/>
        <v>34832.25</v>
      </c>
      <c r="H17" s="42">
        <f t="shared" si="10"/>
        <v>13519.8</v>
      </c>
      <c r="I17" s="42">
        <f t="shared" si="10"/>
        <v>14366.699999999999</v>
      </c>
      <c r="J17" s="42">
        <f t="shared" si="10"/>
        <v>59157</v>
      </c>
      <c r="K17" s="42">
        <f t="shared" si="0"/>
        <v>373788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6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142</v>
      </c>
      <c r="M18" s="58"/>
      <c r="N18" s="58"/>
    </row>
    <row r="19" spans="1:40">
      <c r="A19" s="146">
        <v>13</v>
      </c>
      <c r="B19" s="40" t="s">
        <v>42</v>
      </c>
      <c r="C19" s="42">
        <f>C6*C44</f>
        <v>15822.436000000002</v>
      </c>
      <c r="D19" s="42">
        <f t="shared" ref="D19:J19" si="12">D6*D44</f>
        <v>24000.516000000003</v>
      </c>
      <c r="E19" s="42">
        <f t="shared" si="12"/>
        <v>1701.5020000000002</v>
      </c>
      <c r="F19" s="42">
        <f t="shared" si="12"/>
        <v>2700.1410000000005</v>
      </c>
      <c r="G19" s="42">
        <f t="shared" si="12"/>
        <v>6114.9950000000008</v>
      </c>
      <c r="H19" s="42">
        <f t="shared" si="12"/>
        <v>2373.4760000000001</v>
      </c>
      <c r="I19" s="42">
        <f t="shared" si="12"/>
        <v>2522.1540000000005</v>
      </c>
      <c r="J19" s="42">
        <f t="shared" si="12"/>
        <v>10385.340000000002</v>
      </c>
      <c r="K19" s="42">
        <f t="shared" si="0"/>
        <v>65620.560000000012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6">
        <v>14</v>
      </c>
      <c r="B20" s="40" t="s">
        <v>44</v>
      </c>
      <c r="C20" s="42">
        <f>C6*C45</f>
        <v>81241.818381147052</v>
      </c>
      <c r="D20" s="42">
        <f t="shared" ref="D20:J20" si="13">D6*D45</f>
        <v>123232.95615958341</v>
      </c>
      <c r="E20" s="42">
        <f t="shared" si="13"/>
        <v>8736.5255551773753</v>
      </c>
      <c r="F20" s="42">
        <f t="shared" si="13"/>
        <v>13864.133482700692</v>
      </c>
      <c r="G20" s="42">
        <f t="shared" si="13"/>
        <v>31398.029556992511</v>
      </c>
      <c r="H20" s="42">
        <f t="shared" si="13"/>
        <v>12186.840643502139</v>
      </c>
      <c r="I20" s="42">
        <f t="shared" si="13"/>
        <v>12950.242124365905</v>
      </c>
      <c r="J20" s="42">
        <f t="shared" si="13"/>
        <v>53324.526394447843</v>
      </c>
      <c r="K20" s="42">
        <f t="shared" si="0"/>
        <v>336935.07229791692</v>
      </c>
      <c r="V20" s="40" t="s">
        <v>44</v>
      </c>
      <c r="AL20" s="40" t="s">
        <v>45</v>
      </c>
      <c r="AM20" s="40" t="s">
        <v>44</v>
      </c>
    </row>
    <row r="21" spans="1:40">
      <c r="A21" s="146">
        <v>15</v>
      </c>
      <c r="B21" s="40" t="s">
        <v>46</v>
      </c>
      <c r="C21" s="47">
        <f>$K$21/$K$6*C6</f>
        <v>1033.3333333333335</v>
      </c>
      <c r="D21" s="47">
        <f t="shared" ref="D21:J21" si="14">$K$21/$K$6*D6</f>
        <v>1550.0000000000002</v>
      </c>
      <c r="E21" s="47">
        <f t="shared" si="14"/>
        <v>1033.3333333333335</v>
      </c>
      <c r="F21" s="47">
        <f t="shared" si="14"/>
        <v>1550.0000000000002</v>
      </c>
      <c r="G21" s="47">
        <f t="shared" si="14"/>
        <v>2583.3333333333335</v>
      </c>
      <c r="H21" s="47">
        <f t="shared" si="14"/>
        <v>1033.3333333333335</v>
      </c>
      <c r="I21" s="47">
        <f t="shared" si="14"/>
        <v>1550.0000000000002</v>
      </c>
      <c r="J21" s="47">
        <f t="shared" si="14"/>
        <v>2066.666666666667</v>
      </c>
      <c r="K21" s="42">
        <f>项目投资!G27</f>
        <v>12400</v>
      </c>
      <c r="V21" s="40" t="s">
        <v>46</v>
      </c>
      <c r="AL21" s="40"/>
      <c r="AM21" s="40"/>
    </row>
    <row r="22" spans="1:40">
      <c r="A22" s="146">
        <v>16</v>
      </c>
      <c r="B22" s="40" t="s">
        <v>47</v>
      </c>
      <c r="C22" s="42">
        <f>C6*C47</f>
        <v>42660.491999999998</v>
      </c>
      <c r="D22" s="42">
        <f t="shared" ref="D22:J22" si="15">D6*D47</f>
        <v>64710.251999999993</v>
      </c>
      <c r="E22" s="42">
        <f t="shared" si="15"/>
        <v>4587.5940000000001</v>
      </c>
      <c r="F22" s="42">
        <f t="shared" si="15"/>
        <v>7280.1270000000004</v>
      </c>
      <c r="G22" s="42">
        <f t="shared" si="15"/>
        <v>16487.264999999999</v>
      </c>
      <c r="H22" s="42">
        <f t="shared" si="15"/>
        <v>6399.3719999999994</v>
      </c>
      <c r="I22" s="42">
        <f t="shared" si="15"/>
        <v>6800.2379999999994</v>
      </c>
      <c r="J22" s="42">
        <f t="shared" si="15"/>
        <v>28000.98</v>
      </c>
      <c r="K22" s="42">
        <f t="shared" si="0"/>
        <v>176926.32</v>
      </c>
      <c r="V22" s="40" t="s">
        <v>47</v>
      </c>
      <c r="AL22" s="40" t="s">
        <v>48</v>
      </c>
      <c r="AM22" s="40" t="s">
        <v>47</v>
      </c>
    </row>
    <row r="23" spans="1:40">
      <c r="A23" s="146">
        <v>17</v>
      </c>
      <c r="B23" s="43" t="s">
        <v>49</v>
      </c>
      <c r="C23" s="47">
        <f>+C22+C21+C20+C19+C17</f>
        <v>230885.87971448037</v>
      </c>
      <c r="D23" s="47">
        <f t="shared" ref="D23:J23" si="16">+D22+D21+D20+D19+D17</f>
        <v>350205.52415958338</v>
      </c>
      <c r="E23" s="47">
        <f t="shared" si="16"/>
        <v>25751.054888510709</v>
      </c>
      <c r="F23" s="47">
        <f t="shared" si="16"/>
        <v>40774.951482700693</v>
      </c>
      <c r="G23" s="47">
        <f t="shared" si="16"/>
        <v>91415.872890325845</v>
      </c>
      <c r="H23" s="47">
        <f t="shared" si="16"/>
        <v>35512.821976835468</v>
      </c>
      <c r="I23" s="47">
        <f t="shared" si="16"/>
        <v>38189.334124365902</v>
      </c>
      <c r="J23" s="47">
        <f t="shared" si="16"/>
        <v>152934.5130611145</v>
      </c>
      <c r="K23" s="47">
        <f t="shared" ref="K23" si="17">+K22+K21+K20+K19+K17</f>
        <v>965669.95229791699</v>
      </c>
      <c r="V23" s="43" t="s">
        <v>49</v>
      </c>
      <c r="AL23" s="40" t="s">
        <v>50</v>
      </c>
      <c r="AM23" s="43" t="s">
        <v>49</v>
      </c>
    </row>
    <row r="24" spans="1:40">
      <c r="A24" s="146">
        <v>18</v>
      </c>
      <c r="B24" s="48" t="s">
        <v>51</v>
      </c>
      <c r="C24" s="47">
        <f>+C15-C23</f>
        <v>130303.42656214244</v>
      </c>
      <c r="D24" s="47">
        <f t="shared" ref="D24:J24" si="18">+D15-D23</f>
        <v>193561.73606229259</v>
      </c>
      <c r="E24" s="47">
        <f t="shared" si="18"/>
        <v>-30586.995050987967</v>
      </c>
      <c r="F24" s="47">
        <f t="shared" si="18"/>
        <v>-21905.996995538408</v>
      </c>
      <c r="G24" s="47">
        <f t="shared" si="18"/>
        <v>-79741.06294489486</v>
      </c>
      <c r="H24" s="47">
        <f t="shared" si="18"/>
        <v>80567.128976759675</v>
      </c>
      <c r="I24" s="47">
        <f t="shared" si="18"/>
        <v>37138.925351905687</v>
      </c>
      <c r="J24" s="47">
        <f t="shared" si="18"/>
        <v>-201367.76170661376</v>
      </c>
      <c r="K24" s="47">
        <f t="shared" ref="K24" si="19">+K15-K23</f>
        <v>107969.40025506529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6">
        <v>19</v>
      </c>
      <c r="B25" s="40" t="s">
        <v>228</v>
      </c>
      <c r="C25" s="47">
        <f>IF(C24&lt;0,0,C24*0.15)</f>
        <v>19545.513984321366</v>
      </c>
      <c r="D25" s="47">
        <f t="shared" ref="D25:J25" si="20">IF(D24&lt;0,0,D24*0.15)</f>
        <v>29034.260409343889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12085.06934651395</v>
      </c>
      <c r="I25" s="47">
        <f t="shared" si="20"/>
        <v>5570.8388027858527</v>
      </c>
      <c r="J25" s="47">
        <f t="shared" si="20"/>
        <v>0</v>
      </c>
      <c r="K25" s="47">
        <f>IF(K24&lt;0,0,K24*0.15)</f>
        <v>16195.410038259794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6">
        <v>20</v>
      </c>
      <c r="B26" s="40" t="s">
        <v>55</v>
      </c>
      <c r="C26" s="47">
        <f t="shared" ref="C26" si="21">C24-C25</f>
        <v>110757.91257782107</v>
      </c>
      <c r="D26" s="47">
        <f t="shared" ref="D26:J26" si="22">D24-D25</f>
        <v>164527.47565294869</v>
      </c>
      <c r="E26" s="47">
        <f t="shared" si="22"/>
        <v>-30586.995050987967</v>
      </c>
      <c r="F26" s="47">
        <f t="shared" si="22"/>
        <v>-21905.996995538408</v>
      </c>
      <c r="G26" s="47">
        <f t="shared" si="22"/>
        <v>-79741.06294489486</v>
      </c>
      <c r="H26" s="47">
        <f t="shared" si="22"/>
        <v>68482.059630245727</v>
      </c>
      <c r="I26" s="47">
        <f t="shared" si="22"/>
        <v>31568.086549119835</v>
      </c>
      <c r="J26" s="47">
        <f t="shared" si="22"/>
        <v>-201367.76170661376</v>
      </c>
      <c r="K26" s="42">
        <f>+SUM(C26:J26)</f>
        <v>41733.717712100362</v>
      </c>
      <c r="L26" s="55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6">
        <v>21</v>
      </c>
      <c r="B27" s="40" t="s">
        <v>59</v>
      </c>
      <c r="C27" s="49">
        <f t="shared" ref="C27:K27" si="23">C26/C7</f>
        <v>5.5300429678766687E-2</v>
      </c>
      <c r="D27" s="49">
        <f t="shared" ref="D27:J27" si="24">D26/D7</f>
        <v>5.4155796386139973E-2</v>
      </c>
      <c r="E27" s="49">
        <f t="shared" si="24"/>
        <v>-0.14201409161012149</v>
      </c>
      <c r="F27" s="49">
        <f t="shared" si="24"/>
        <v>-6.4091977517008708E-2</v>
      </c>
      <c r="G27" s="49">
        <f t="shared" si="24"/>
        <v>-0.1030179742198758</v>
      </c>
      <c r="H27" s="49">
        <f t="shared" si="24"/>
        <v>0.22793922124299604</v>
      </c>
      <c r="I27" s="49">
        <f t="shared" si="24"/>
        <v>9.8878927986969345E-2</v>
      </c>
      <c r="J27" s="49">
        <f t="shared" si="24"/>
        <v>-0.15317797178351875</v>
      </c>
      <c r="K27" s="49">
        <f t="shared" si="23"/>
        <v>5.0242846133223013E-3</v>
      </c>
      <c r="L27" s="55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6">
        <v>1</v>
      </c>
      <c r="B31" s="45" t="s">
        <v>64</v>
      </c>
      <c r="C31" s="51">
        <f>'2023年'!C31</f>
        <v>1001.42</v>
      </c>
      <c r="D31" s="51">
        <f>'2023年'!D31</f>
        <v>1012.68</v>
      </c>
      <c r="E31" s="51">
        <f>'2023年'!E31</f>
        <v>107.69</v>
      </c>
      <c r="F31" s="51">
        <f>'2023年'!F31</f>
        <v>113.93</v>
      </c>
      <c r="G31" s="51">
        <f>'2023年'!G31</f>
        <v>154.81</v>
      </c>
      <c r="H31" s="51">
        <f>'2023年'!H31</f>
        <v>150.22</v>
      </c>
      <c r="I31" s="51">
        <f>'2023年'!I31</f>
        <v>106.42</v>
      </c>
      <c r="J31" s="51">
        <f>'2023年'!J31</f>
        <v>328.65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6">
        <v>2</v>
      </c>
      <c r="B32" s="40" t="s">
        <v>144</v>
      </c>
      <c r="C32" s="42">
        <f>C9/C6</f>
        <v>928.1755153124999</v>
      </c>
      <c r="D32" s="42">
        <f t="shared" ref="D32:J32" si="25">D9/D6</f>
        <v>938.61195187499993</v>
      </c>
      <c r="E32" s="42">
        <f t="shared" si="25"/>
        <v>99.813486093749987</v>
      </c>
      <c r="F32" s="42">
        <f t="shared" si="25"/>
        <v>105.59708859374999</v>
      </c>
      <c r="G32" s="42">
        <f t="shared" si="25"/>
        <v>143.48709984374997</v>
      </c>
      <c r="H32" s="42">
        <f t="shared" si="25"/>
        <v>139.23281531250001</v>
      </c>
      <c r="I32" s="42">
        <f t="shared" si="25"/>
        <v>98.63637468749998</v>
      </c>
      <c r="J32" s="42">
        <f t="shared" si="25"/>
        <v>304.61233359374995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65</v>
      </c>
      <c r="C33" s="42">
        <f>'2025年'!C33*(1-0.025)</f>
        <v>638.21682843749988</v>
      </c>
      <c r="D33" s="42">
        <f>'2025年'!D33*(1-0.025)</f>
        <v>646.76247187499985</v>
      </c>
      <c r="E33" s="42">
        <f>'2025年'!E33*(1-0.025)</f>
        <v>90.470743593749987</v>
      </c>
      <c r="F33" s="42">
        <f>'2025年'!F33*(1-0.025)</f>
        <v>86.865260624999991</v>
      </c>
      <c r="G33" s="42">
        <f>'2025年'!G33*(1-0.025)</f>
        <v>124.24549921875001</v>
      </c>
      <c r="H33" s="42">
        <f>'2025年'!H33*(1-0.025)</f>
        <v>64.787470312500005</v>
      </c>
      <c r="I33" s="42">
        <f>'2025年'!I33*(1-0.025)</f>
        <v>61.904937656249999</v>
      </c>
      <c r="J33" s="42">
        <f>'2025年'!J33*(1-0.025)</f>
        <v>280.82912203124999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6">
        <v>4</v>
      </c>
      <c r="B34" s="40" t="s">
        <v>67</v>
      </c>
      <c r="C34" s="52">
        <f>C32-C33</f>
        <v>289.95868687500001</v>
      </c>
      <c r="D34" s="52">
        <f t="shared" ref="D34:J34" si="26">D32-D33</f>
        <v>291.84948000000009</v>
      </c>
      <c r="E34" s="52">
        <f t="shared" si="26"/>
        <v>9.3427424999999999</v>
      </c>
      <c r="F34" s="52">
        <f t="shared" si="26"/>
        <v>18.731827968749997</v>
      </c>
      <c r="G34" s="52">
        <f t="shared" si="26"/>
        <v>19.241600624999961</v>
      </c>
      <c r="H34" s="52">
        <f t="shared" si="26"/>
        <v>74.445345000000003</v>
      </c>
      <c r="I34" s="52">
        <f t="shared" si="26"/>
        <v>36.731437031249982</v>
      </c>
      <c r="J34" s="52">
        <f t="shared" si="26"/>
        <v>23.783211562499957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7</v>
      </c>
      <c r="AL35" s="40" t="s">
        <v>69</v>
      </c>
      <c r="AM35" s="43" t="s">
        <v>7</v>
      </c>
    </row>
    <row r="36" spans="1:39">
      <c r="A36" s="146">
        <v>1</v>
      </c>
      <c r="B36" s="40" t="s">
        <v>70</v>
      </c>
      <c r="C36" s="46">
        <f>'2023年'!C36</f>
        <v>58.223159778699888</v>
      </c>
      <c r="D36" s="46">
        <f>'2023年'!D36</f>
        <v>58.87782293612451</v>
      </c>
      <c r="E36" s="46">
        <f>'2023年'!E36</f>
        <v>6.2611612276249637</v>
      </c>
      <c r="F36" s="46">
        <f>'2023年'!F36</f>
        <v>6.6239585724144501</v>
      </c>
      <c r="G36" s="46">
        <f>'2023年'!G36</f>
        <v>9.0007463055865973</v>
      </c>
      <c r="H36" s="46">
        <f>'2023年'!H36</f>
        <v>8.7338809510058688</v>
      </c>
      <c r="I36" s="46">
        <f>'2023年'!I36</f>
        <v>6.1873226654642837</v>
      </c>
      <c r="J36" s="46">
        <f>'2023年'!J36</f>
        <v>19.107908231580872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6">
        <v>2</v>
      </c>
      <c r="B37" s="40" t="s">
        <v>71</v>
      </c>
      <c r="C37" s="46">
        <f>'2023年'!C37</f>
        <v>18.094013957988707</v>
      </c>
      <c r="D37" s="46">
        <f>'2023年'!D37</f>
        <v>18.297463656583655</v>
      </c>
      <c r="E37" s="46">
        <f>'2023年'!E37</f>
        <v>1.9457813536136723</v>
      </c>
      <c r="F37" s="46">
        <f>'2023年'!F37</f>
        <v>2.0585279006147807</v>
      </c>
      <c r="G37" s="46">
        <f>'2023年'!G37</f>
        <v>2.7971623303271671</v>
      </c>
      <c r="H37" s="46">
        <f>'2023年'!H37</f>
        <v>2.7142285721965447</v>
      </c>
      <c r="I37" s="46">
        <f>'2023年'!I37</f>
        <v>1.9228345403618445</v>
      </c>
      <c r="J37" s="46">
        <f>'2023年'!J37</f>
        <v>5.9381654922939306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6">
        <v>3</v>
      </c>
      <c r="B38" s="40" t="s">
        <v>72</v>
      </c>
      <c r="C38" s="46">
        <f>'2023年'!C38</f>
        <v>33.046860000000002</v>
      </c>
      <c r="D38" s="46">
        <f>'2023年'!D38</f>
        <v>33.418439999999997</v>
      </c>
      <c r="E38" s="46">
        <f>'2023年'!E38</f>
        <v>3.5537700000000001</v>
      </c>
      <c r="F38" s="46">
        <f>'2023年'!F38</f>
        <v>3.7596900000000004</v>
      </c>
      <c r="G38" s="46">
        <f>'2023年'!G38</f>
        <v>5.1087300000000004</v>
      </c>
      <c r="H38" s="46">
        <f>'2023年'!H38</f>
        <v>4.9572599999999998</v>
      </c>
      <c r="I38" s="46">
        <f>'2023年'!I38</f>
        <v>3.5118600000000004</v>
      </c>
      <c r="J38" s="46">
        <f>'2023年'!J38</f>
        <v>10.84545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6">
        <v>1</v>
      </c>
      <c r="B40" s="40" t="s">
        <v>75</v>
      </c>
      <c r="C40" s="47">
        <f>C34-C36-C37-C38</f>
        <v>180.59465313831143</v>
      </c>
      <c r="D40" s="47">
        <f t="shared" ref="D40:J40" si="27">D34-D36-D37-D38</f>
        <v>181.25575340729191</v>
      </c>
      <c r="E40" s="47">
        <f t="shared" si="27"/>
        <v>-2.4179700812386362</v>
      </c>
      <c r="F40" s="47">
        <f t="shared" si="27"/>
        <v>6.289651495720765</v>
      </c>
      <c r="G40" s="47">
        <f t="shared" si="27"/>
        <v>2.3349619890861968</v>
      </c>
      <c r="H40" s="47">
        <f t="shared" si="27"/>
        <v>58.039975476797586</v>
      </c>
      <c r="I40" s="47">
        <f t="shared" si="27"/>
        <v>25.109419825423856</v>
      </c>
      <c r="J40" s="47">
        <f t="shared" si="27"/>
        <v>-12.108312161374844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6">
        <v>1</v>
      </c>
      <c r="B43" s="48" t="s">
        <v>79</v>
      </c>
      <c r="C43" s="46">
        <f>'2023年'!C43</f>
        <v>45.063899999999997</v>
      </c>
      <c r="D43" s="46">
        <f>'2023年'!D43</f>
        <v>45.570599999999999</v>
      </c>
      <c r="E43" s="46">
        <f>'2023年'!E43</f>
        <v>4.84605</v>
      </c>
      <c r="F43" s="46">
        <f>'2023年'!F43</f>
        <v>5.1268500000000001</v>
      </c>
      <c r="G43" s="46">
        <f>'2023年'!G43</f>
        <v>6.96645</v>
      </c>
      <c r="H43" s="46">
        <f>'2023年'!H43</f>
        <v>6.7599</v>
      </c>
      <c r="I43" s="46">
        <f>'2023年'!I43</f>
        <v>4.7888999999999999</v>
      </c>
      <c r="J43" s="46">
        <f>'2023年'!J43</f>
        <v>14.789249999999999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6">
        <v>2</v>
      </c>
      <c r="B44" s="48" t="s">
        <v>80</v>
      </c>
      <c r="C44" s="46">
        <f>'2023年'!C44</f>
        <v>7.9112180000000007</v>
      </c>
      <c r="D44" s="46">
        <f>'2023年'!D44</f>
        <v>8.0001720000000009</v>
      </c>
      <c r="E44" s="46">
        <f>'2023年'!E44</f>
        <v>0.85075100000000003</v>
      </c>
      <c r="F44" s="46">
        <f>'2023年'!F44</f>
        <v>0.90004700000000015</v>
      </c>
      <c r="G44" s="46">
        <f>'2023年'!G44</f>
        <v>1.2229990000000002</v>
      </c>
      <c r="H44" s="46">
        <f>'2023年'!H44</f>
        <v>1.1867380000000001</v>
      </c>
      <c r="I44" s="46">
        <f>'2023年'!I44</f>
        <v>0.84071800000000008</v>
      </c>
      <c r="J44" s="46">
        <f>'2023年'!J44</f>
        <v>2.5963350000000003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6">
        <v>3</v>
      </c>
      <c r="B45" s="48" t="s">
        <v>81</v>
      </c>
      <c r="C45" s="46">
        <f>'2023年'!C45</f>
        <v>40.620909190573528</v>
      </c>
      <c r="D45" s="46">
        <f>'2023年'!D45</f>
        <v>41.07765205319447</v>
      </c>
      <c r="E45" s="46">
        <f>'2023年'!E45</f>
        <v>4.3682627775886873</v>
      </c>
      <c r="F45" s="46">
        <f>'2023年'!F45</f>
        <v>4.6213778275668975</v>
      </c>
      <c r="G45" s="46">
        <f>'2023年'!G45</f>
        <v>6.2796059113985025</v>
      </c>
      <c r="H45" s="46">
        <f>'2023年'!H45</f>
        <v>6.0934203217510694</v>
      </c>
      <c r="I45" s="46">
        <f>'2023年'!I45</f>
        <v>4.3167473747886351</v>
      </c>
      <c r="J45" s="46">
        <f>'2023年'!J45</f>
        <v>13.331131598611961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6">
        <v>4</v>
      </c>
      <c r="B46" s="48" t="s">
        <v>82</v>
      </c>
      <c r="C46" s="53">
        <f>C21/C6</f>
        <v>0.51666666666666672</v>
      </c>
      <c r="D46" s="53">
        <f t="shared" ref="D46:J46" si="28">D21/D6</f>
        <v>0.51666666666666672</v>
      </c>
      <c r="E46" s="53">
        <f t="shared" si="28"/>
        <v>0.51666666666666672</v>
      </c>
      <c r="F46" s="53">
        <f t="shared" si="28"/>
        <v>0.51666666666666672</v>
      </c>
      <c r="G46" s="53">
        <f t="shared" si="28"/>
        <v>0.51666666666666672</v>
      </c>
      <c r="H46" s="53">
        <f t="shared" si="28"/>
        <v>0.51666666666666672</v>
      </c>
      <c r="I46" s="53">
        <f t="shared" si="28"/>
        <v>0.51666666666666672</v>
      </c>
      <c r="J46" s="53">
        <f t="shared" si="28"/>
        <v>0.51666666666666672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6">
        <v>5</v>
      </c>
      <c r="B47" s="48" t="s">
        <v>84</v>
      </c>
      <c r="C47" s="53">
        <f>'2023年'!C47</f>
        <v>21.330245999999999</v>
      </c>
      <c r="D47" s="53">
        <f>'2023年'!D47</f>
        <v>21.570083999999998</v>
      </c>
      <c r="E47" s="53">
        <f>'2023年'!E47</f>
        <v>2.2937970000000001</v>
      </c>
      <c r="F47" s="53">
        <f>'2023年'!F47</f>
        <v>2.4267090000000002</v>
      </c>
      <c r="G47" s="53">
        <f>'2023年'!G47</f>
        <v>3.297453</v>
      </c>
      <c r="H47" s="53">
        <f>'2023年'!H47</f>
        <v>3.1996859999999998</v>
      </c>
      <c r="I47" s="53">
        <f>'2023年'!I47</f>
        <v>2.2667459999999999</v>
      </c>
      <c r="J47" s="53">
        <f>'2023年'!J47</f>
        <v>7.0002449999999996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>
        <f>C40-C43-C44-C45-C47-C46</f>
        <v>65.151713281071238</v>
      </c>
      <c r="D48" s="47">
        <f t="shared" ref="D48:J48" si="29">D40-D43-D44-D45-D47-D46</f>
        <v>64.520578687430785</v>
      </c>
      <c r="E48" s="47">
        <f t="shared" si="29"/>
        <v>-15.29349752549399</v>
      </c>
      <c r="F48" s="47">
        <f t="shared" si="29"/>
        <v>-7.3019989985127998</v>
      </c>
      <c r="G48" s="47">
        <f t="shared" si="29"/>
        <v>-15.948212588978974</v>
      </c>
      <c r="H48" s="47">
        <f t="shared" si="29"/>
        <v>40.283564488379852</v>
      </c>
      <c r="I48" s="47">
        <f t="shared" si="29"/>
        <v>12.379641783968557</v>
      </c>
      <c r="J48" s="47">
        <f t="shared" si="29"/>
        <v>-50.341940426653473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35" activePane="bottomRight" state="frozen"/>
      <selection pane="topRight"/>
      <selection pane="bottomLeft"/>
      <selection pane="bottomRight" activeCell="F38" activeCellId="2" sqref="I38 G38 F38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3" t="s">
        <v>135</v>
      </c>
      <c r="B1" s="253"/>
      <c r="C1" s="257" t="s">
        <v>233</v>
      </c>
      <c r="D1" s="258"/>
      <c r="E1" s="258"/>
      <c r="F1" s="258"/>
      <c r="G1" s="258"/>
      <c r="H1" s="258"/>
      <c r="I1" s="258"/>
      <c r="J1" s="258"/>
      <c r="K1" s="259"/>
    </row>
    <row r="2" spans="1:40">
      <c r="A2" s="253" t="s">
        <v>136</v>
      </c>
      <c r="B2" s="253"/>
      <c r="C2" s="260" t="str">
        <f>'2023年'!C2:K2</f>
        <v>一汽解放青岛汽车有限公司</v>
      </c>
      <c r="D2" s="260"/>
      <c r="E2" s="260"/>
      <c r="F2" s="260"/>
      <c r="G2" s="260"/>
      <c r="H2" s="260"/>
      <c r="I2" s="260"/>
      <c r="J2" s="260"/>
      <c r="K2" s="260"/>
    </row>
    <row r="3" spans="1:40">
      <c r="A3" s="253" t="s">
        <v>137</v>
      </c>
      <c r="B3" s="253"/>
      <c r="C3" s="147" t="str">
        <f>'2023年'!C3</f>
        <v>驾驶员座总成</v>
      </c>
      <c r="D3" s="147" t="str">
        <f>'2023年'!D3</f>
        <v>驾驶员座总成</v>
      </c>
      <c r="E3" s="147" t="str">
        <f>'2023年'!E3</f>
        <v>座垫总成-前座</v>
      </c>
      <c r="F3" s="147" t="str">
        <f>'2023年'!F3</f>
        <v>座垫总成-前座</v>
      </c>
      <c r="G3" s="147" t="str">
        <f>'2023年'!G3</f>
        <v>主靠背总成-前座</v>
      </c>
      <c r="H3" s="147" t="str">
        <f>'2023年'!H3</f>
        <v>副靠背总成</v>
      </c>
      <c r="I3" s="147" t="str">
        <f>'2023年'!I3</f>
        <v>副靠背总成</v>
      </c>
      <c r="J3" s="147" t="str">
        <f>'2023年'!J3</f>
        <v>虎V副司机</v>
      </c>
      <c r="K3" s="254" t="s">
        <v>14</v>
      </c>
    </row>
    <row r="4" spans="1:40" ht="42.75">
      <c r="A4" s="253" t="s">
        <v>138</v>
      </c>
      <c r="B4" s="253"/>
      <c r="C4" s="147" t="str">
        <f>'2023年'!C4</f>
        <v>6800010MA96</v>
      </c>
      <c r="D4" s="147" t="str">
        <f>'2023年'!D4</f>
        <v>6800010MA98</v>
      </c>
      <c r="E4" s="147" t="str">
        <f>'2023年'!E4</f>
        <v>6903010MA96</v>
      </c>
      <c r="F4" s="147" t="str">
        <f>'2023年'!F4</f>
        <v>6903010MA98</v>
      </c>
      <c r="G4" s="147" t="str">
        <f>'2023年'!G4</f>
        <v>6905020MA96</v>
      </c>
      <c r="H4" s="147" t="str">
        <f>'2023年'!H4</f>
        <v>6905100MA96</v>
      </c>
      <c r="I4" s="147" t="str">
        <f>'2023年'!I4</f>
        <v>6905100MA98</v>
      </c>
      <c r="J4" s="147" t="str">
        <f>'2023年'!J4</f>
        <v>6903010AE411、6905020AE411、6905100AE411</v>
      </c>
      <c r="K4" s="255"/>
    </row>
    <row r="5" spans="1:40">
      <c r="A5" s="253" t="s">
        <v>139</v>
      </c>
      <c r="B5" s="253"/>
      <c r="C5" s="39"/>
      <c r="D5" s="39"/>
      <c r="E5" s="39"/>
      <c r="F5" s="39"/>
      <c r="G5" s="39"/>
      <c r="H5" s="39"/>
      <c r="I5" s="39"/>
      <c r="J5" s="39"/>
      <c r="K5" s="256"/>
      <c r="AN5" s="36" t="s">
        <v>15</v>
      </c>
    </row>
    <row r="6" spans="1:40" ht="17.25">
      <c r="A6" s="40" t="s">
        <v>13</v>
      </c>
      <c r="B6" s="41" t="s">
        <v>140</v>
      </c>
      <c r="C6" s="12">
        <f>销量!C13</f>
        <v>2000</v>
      </c>
      <c r="D6" s="12">
        <f>销量!D13</f>
        <v>3000</v>
      </c>
      <c r="E6" s="12">
        <f>销量!E13</f>
        <v>2000</v>
      </c>
      <c r="F6" s="12">
        <f>销量!F13</f>
        <v>3000</v>
      </c>
      <c r="G6" s="12">
        <f>销量!G13</f>
        <v>5000</v>
      </c>
      <c r="H6" s="12">
        <f>销量!H13</f>
        <v>2000</v>
      </c>
      <c r="I6" s="12">
        <f>销量!I13</f>
        <v>3000</v>
      </c>
      <c r="J6" s="12">
        <f>销量!J13</f>
        <v>3000</v>
      </c>
      <c r="K6" s="42">
        <f t="shared" ref="K6:K15" si="0">SUM(C6:J6)</f>
        <v>23000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6">
        <v>1</v>
      </c>
      <c r="B7" s="41" t="s">
        <v>17</v>
      </c>
      <c r="C7" s="42">
        <f>C6*销量!C8</f>
        <v>2002840</v>
      </c>
      <c r="D7" s="42">
        <f>D6*销量!D8</f>
        <v>3038040</v>
      </c>
      <c r="E7" s="42">
        <f>E6*销量!E8</f>
        <v>215380</v>
      </c>
      <c r="F7" s="42">
        <f>F6*销量!F8</f>
        <v>341790</v>
      </c>
      <c r="G7" s="42">
        <f>G6*销量!G8</f>
        <v>774050</v>
      </c>
      <c r="H7" s="42">
        <f>H6*销量!H8</f>
        <v>300440</v>
      </c>
      <c r="I7" s="42">
        <f>I6*销量!I8</f>
        <v>319260</v>
      </c>
      <c r="J7" s="42">
        <f>J6*销量!J8</f>
        <v>985949.99999999988</v>
      </c>
      <c r="K7" s="42">
        <f t="shared" si="0"/>
        <v>7977750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6">
        <v>2</v>
      </c>
      <c r="B8" s="146" t="s">
        <v>19</v>
      </c>
      <c r="C8" s="42">
        <f>C7*(1-销量!$O$10)</f>
        <v>192897.74514062502</v>
      </c>
      <c r="D8" s="42">
        <f>D7*(1-销量!$O$10)</f>
        <v>292600.04076562502</v>
      </c>
      <c r="E8" s="42">
        <f>E7*(1-销量!$O$10)</f>
        <v>20743.702117187502</v>
      </c>
      <c r="F8" s="42">
        <f>F7*(1-销量!$O$10)</f>
        <v>32918.515863281253</v>
      </c>
      <c r="G8" s="42">
        <f>G7*(1-销量!$O$10)</f>
        <v>74550.388261718763</v>
      </c>
      <c r="H8" s="42">
        <f>H7*(1-销量!$O$10)</f>
        <v>28936.010140625003</v>
      </c>
      <c r="I8" s="42">
        <f>I7*(1-销量!$O$10)</f>
        <v>30748.604039062502</v>
      </c>
      <c r="J8" s="42">
        <f>J7*(1-销量!$O$10)</f>
        <v>94958.924238281252</v>
      </c>
      <c r="K8" s="42">
        <f t="shared" si="0"/>
        <v>768353.93056640623</v>
      </c>
      <c r="L8" s="57"/>
      <c r="V8" s="146" t="s">
        <v>21</v>
      </c>
      <c r="AL8" s="40" t="s">
        <v>20</v>
      </c>
      <c r="AM8" s="146" t="s">
        <v>21</v>
      </c>
      <c r="AN8" s="36" t="s">
        <v>16</v>
      </c>
    </row>
    <row r="9" spans="1:40">
      <c r="A9" s="146">
        <v>3</v>
      </c>
      <c r="B9" s="41" t="s">
        <v>22</v>
      </c>
      <c r="C9" s="42">
        <f>+C7-C8</f>
        <v>1809942.2548593751</v>
      </c>
      <c r="D9" s="42">
        <f t="shared" ref="D9:J9" si="1">+D7-D8</f>
        <v>2745439.959234375</v>
      </c>
      <c r="E9" s="42">
        <f t="shared" si="1"/>
        <v>194636.29788281251</v>
      </c>
      <c r="F9" s="42">
        <f t="shared" si="1"/>
        <v>308871.48413671873</v>
      </c>
      <c r="G9" s="42">
        <f t="shared" si="1"/>
        <v>699499.61173828121</v>
      </c>
      <c r="H9" s="42">
        <f t="shared" si="1"/>
        <v>271503.989859375</v>
      </c>
      <c r="I9" s="42">
        <f t="shared" si="1"/>
        <v>288511.39596093749</v>
      </c>
      <c r="J9" s="42">
        <f t="shared" si="1"/>
        <v>890991.07576171868</v>
      </c>
      <c r="K9" s="42">
        <f t="shared" si="0"/>
        <v>7209396.0694335932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6">
        <v>4</v>
      </c>
      <c r="B10" s="40" t="s">
        <v>25</v>
      </c>
      <c r="C10" s="42">
        <f>C6*C33</f>
        <v>1244522.8154531249</v>
      </c>
      <c r="D10" s="42">
        <f t="shared" ref="D10:J10" si="2">D6*D33</f>
        <v>1891780.2302343745</v>
      </c>
      <c r="E10" s="42">
        <f t="shared" si="2"/>
        <v>176417.95000781247</v>
      </c>
      <c r="F10" s="42">
        <f t="shared" si="2"/>
        <v>254080.88732812498</v>
      </c>
      <c r="G10" s="42">
        <f t="shared" si="2"/>
        <v>605696.80869140639</v>
      </c>
      <c r="H10" s="42">
        <f t="shared" si="2"/>
        <v>126335.567109375</v>
      </c>
      <c r="I10" s="42">
        <f t="shared" si="2"/>
        <v>181071.94264453123</v>
      </c>
      <c r="J10" s="42">
        <f t="shared" si="2"/>
        <v>821425.18194140622</v>
      </c>
      <c r="K10" s="42">
        <f t="shared" si="0"/>
        <v>5301331.3834101558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6">
        <v>5</v>
      </c>
      <c r="B11" s="40" t="s">
        <v>28</v>
      </c>
      <c r="C11" s="42">
        <f>+C6*C36</f>
        <v>116446.31955739978</v>
      </c>
      <c r="D11" s="42">
        <f t="shared" ref="D11:J11" si="3">+D6*D36</f>
        <v>176633.46880837352</v>
      </c>
      <c r="E11" s="42">
        <f t="shared" si="3"/>
        <v>12522.322455249927</v>
      </c>
      <c r="F11" s="42">
        <f t="shared" si="3"/>
        <v>19871.875717243351</v>
      </c>
      <c r="G11" s="42">
        <f t="shared" si="3"/>
        <v>45003.731527932985</v>
      </c>
      <c r="H11" s="42">
        <f t="shared" si="3"/>
        <v>17467.761902011738</v>
      </c>
      <c r="I11" s="42">
        <f t="shared" si="3"/>
        <v>18561.96799639285</v>
      </c>
      <c r="J11" s="42">
        <f t="shared" si="3"/>
        <v>57323.724694742617</v>
      </c>
      <c r="K11" s="42">
        <f t="shared" si="0"/>
        <v>463831.17265934672</v>
      </c>
      <c r="V11" s="40" t="s">
        <v>28</v>
      </c>
      <c r="AL11" s="40" t="s">
        <v>29</v>
      </c>
      <c r="AM11" s="40" t="s">
        <v>28</v>
      </c>
    </row>
    <row r="12" spans="1:40">
      <c r="A12" s="146">
        <v>6</v>
      </c>
      <c r="B12" s="40" t="s">
        <v>30</v>
      </c>
      <c r="C12" s="42">
        <f>+C6*C37</f>
        <v>36188.027915977415</v>
      </c>
      <c r="D12" s="42">
        <f t="shared" ref="D12:J12" si="4">+D6*D37</f>
        <v>54892.390969750966</v>
      </c>
      <c r="E12" s="42">
        <f t="shared" si="4"/>
        <v>3891.5627072273446</v>
      </c>
      <c r="F12" s="42">
        <f t="shared" si="4"/>
        <v>6175.5837018443426</v>
      </c>
      <c r="G12" s="42">
        <f t="shared" si="4"/>
        <v>13985.811651635835</v>
      </c>
      <c r="H12" s="42">
        <f t="shared" si="4"/>
        <v>5428.457144393089</v>
      </c>
      <c r="I12" s="42">
        <f t="shared" si="4"/>
        <v>5768.5036210855333</v>
      </c>
      <c r="J12" s="42">
        <f t="shared" si="4"/>
        <v>17814.496476881792</v>
      </c>
      <c r="K12" s="42">
        <f t="shared" si="0"/>
        <v>144144.83418879632</v>
      </c>
      <c r="V12" s="40" t="s">
        <v>30</v>
      </c>
      <c r="AL12" s="40" t="s">
        <v>31</v>
      </c>
      <c r="AM12" s="40" t="s">
        <v>30</v>
      </c>
    </row>
    <row r="13" spans="1:40">
      <c r="A13" s="146">
        <v>7</v>
      </c>
      <c r="B13" s="40" t="s">
        <v>32</v>
      </c>
      <c r="C13" s="42">
        <f>+C6*C38</f>
        <v>66093.72</v>
      </c>
      <c r="D13" s="42">
        <f t="shared" ref="D13:J13" si="5">+D6*D38</f>
        <v>100255.31999999999</v>
      </c>
      <c r="E13" s="42">
        <f t="shared" si="5"/>
        <v>7107.54</v>
      </c>
      <c r="F13" s="42">
        <f t="shared" si="5"/>
        <v>11279.070000000002</v>
      </c>
      <c r="G13" s="42">
        <f t="shared" si="5"/>
        <v>25543.65</v>
      </c>
      <c r="H13" s="42">
        <f t="shared" si="5"/>
        <v>9914.52</v>
      </c>
      <c r="I13" s="42">
        <f t="shared" si="5"/>
        <v>10535.580000000002</v>
      </c>
      <c r="J13" s="42">
        <f t="shared" si="5"/>
        <v>32536.35</v>
      </c>
      <c r="K13" s="42">
        <f t="shared" si="0"/>
        <v>263265.74999999994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6">
        <v>8</v>
      </c>
      <c r="B14" s="43" t="s">
        <v>34</v>
      </c>
      <c r="C14" s="42">
        <f>SUM(C11:C13)</f>
        <v>218728.06747337719</v>
      </c>
      <c r="D14" s="42">
        <f t="shared" ref="D14:J14" si="6">SUM(D11:D13)</f>
        <v>331781.1797781245</v>
      </c>
      <c r="E14" s="42">
        <f t="shared" si="6"/>
        <v>23521.425162477273</v>
      </c>
      <c r="F14" s="42">
        <f t="shared" si="6"/>
        <v>37326.529419087696</v>
      </c>
      <c r="G14" s="42">
        <f t="shared" si="6"/>
        <v>84533.193179568829</v>
      </c>
      <c r="H14" s="42">
        <f t="shared" si="6"/>
        <v>32810.739046404822</v>
      </c>
      <c r="I14" s="42">
        <f t="shared" si="6"/>
        <v>34866.051617478384</v>
      </c>
      <c r="J14" s="42">
        <f t="shared" si="6"/>
        <v>107674.57117162441</v>
      </c>
      <c r="K14" s="42">
        <f t="shared" si="0"/>
        <v>871241.75684814318</v>
      </c>
      <c r="V14" s="43" t="s">
        <v>34</v>
      </c>
      <c r="AL14" s="40" t="s">
        <v>35</v>
      </c>
      <c r="AM14" s="43" t="s">
        <v>34</v>
      </c>
    </row>
    <row r="15" spans="1:40">
      <c r="A15" s="146">
        <v>9</v>
      </c>
      <c r="B15" s="43" t="s">
        <v>36</v>
      </c>
      <c r="C15" s="42">
        <f>+C9-C10-C14</f>
        <v>346691.37193287292</v>
      </c>
      <c r="D15" s="42">
        <f t="shared" ref="D15:J15" si="7">+D9-D10-D14</f>
        <v>521878.54922187602</v>
      </c>
      <c r="E15" s="42">
        <f t="shared" si="7"/>
        <v>-5303.0772874772374</v>
      </c>
      <c r="F15" s="42">
        <f t="shared" si="7"/>
        <v>17464.067389506054</v>
      </c>
      <c r="G15" s="42">
        <f t="shared" si="7"/>
        <v>9269.6098673059896</v>
      </c>
      <c r="H15" s="42">
        <f t="shared" si="7"/>
        <v>112357.68370359518</v>
      </c>
      <c r="I15" s="42">
        <f t="shared" si="7"/>
        <v>72573.401698927875</v>
      </c>
      <c r="J15" s="42">
        <f t="shared" si="7"/>
        <v>-38108.677351311955</v>
      </c>
      <c r="K15" s="42">
        <f t="shared" si="0"/>
        <v>1036822.9291752947</v>
      </c>
      <c r="V15" s="43" t="s">
        <v>36</v>
      </c>
      <c r="AL15" s="40" t="s">
        <v>37</v>
      </c>
      <c r="AM15" s="43" t="s">
        <v>36</v>
      </c>
    </row>
    <row r="16" spans="1:40">
      <c r="A16" s="146">
        <v>10</v>
      </c>
      <c r="B16" s="40" t="s">
        <v>38</v>
      </c>
      <c r="C16" s="44">
        <f>+C15/C9</f>
        <v>0.19154830547884491</v>
      </c>
      <c r="D16" s="44">
        <f t="shared" ref="D16:J16" si="8">+D15/D9</f>
        <v>0.19008922321048066</v>
      </c>
      <c r="E16" s="44">
        <f t="shared" si="8"/>
        <v>-2.7246085879983898E-2</v>
      </c>
      <c r="F16" s="44">
        <f t="shared" si="8"/>
        <v>5.6541533571211021E-2</v>
      </c>
      <c r="G16" s="44">
        <f t="shared" si="8"/>
        <v>1.3251772712597627E-2</v>
      </c>
      <c r="H16" s="44">
        <f t="shared" si="8"/>
        <v>0.4138343740796982</v>
      </c>
      <c r="I16" s="44">
        <f t="shared" si="8"/>
        <v>0.25154431580495984</v>
      </c>
      <c r="J16" s="44">
        <f t="shared" si="8"/>
        <v>-4.2771110045891764E-2</v>
      </c>
      <c r="K16" s="44">
        <f t="shared" ref="K16" si="9">+K15/K9</f>
        <v>0.14381550398808271</v>
      </c>
      <c r="V16" s="40" t="s">
        <v>38</v>
      </c>
      <c r="AL16" s="40" t="s">
        <v>39</v>
      </c>
      <c r="AM16" s="40" t="s">
        <v>38</v>
      </c>
    </row>
    <row r="17" spans="1:40">
      <c r="A17" s="146">
        <v>11</v>
      </c>
      <c r="B17" s="40" t="s">
        <v>40</v>
      </c>
      <c r="C17" s="42">
        <f>C6*C43+C18</f>
        <v>90127.799999999988</v>
      </c>
      <c r="D17" s="42">
        <f t="shared" ref="D17:J17" si="10">D6*D43+D18</f>
        <v>136711.79999999999</v>
      </c>
      <c r="E17" s="42">
        <f t="shared" si="10"/>
        <v>9692.1</v>
      </c>
      <c r="F17" s="42">
        <f t="shared" si="10"/>
        <v>15380.550000000001</v>
      </c>
      <c r="G17" s="42">
        <f t="shared" si="10"/>
        <v>34832.25</v>
      </c>
      <c r="H17" s="42">
        <f t="shared" si="10"/>
        <v>13519.8</v>
      </c>
      <c r="I17" s="42">
        <f t="shared" si="10"/>
        <v>14366.699999999999</v>
      </c>
      <c r="J17" s="42">
        <f t="shared" si="10"/>
        <v>44367.75</v>
      </c>
      <c r="K17" s="42">
        <f>SUM(C17:J17)</f>
        <v>358998.75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6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142</v>
      </c>
      <c r="M18" s="58"/>
      <c r="N18" s="58"/>
    </row>
    <row r="19" spans="1:40">
      <c r="A19" s="146">
        <v>13</v>
      </c>
      <c r="B19" s="40" t="s">
        <v>42</v>
      </c>
      <c r="C19" s="42">
        <f>C6*C44</f>
        <v>15822.436000000002</v>
      </c>
      <c r="D19" s="42">
        <f t="shared" ref="D19:J19" si="12">D6*D44</f>
        <v>24000.516000000003</v>
      </c>
      <c r="E19" s="42">
        <f t="shared" si="12"/>
        <v>1701.5020000000002</v>
      </c>
      <c r="F19" s="42">
        <f t="shared" si="12"/>
        <v>2700.1410000000005</v>
      </c>
      <c r="G19" s="42">
        <f t="shared" si="12"/>
        <v>6114.9950000000008</v>
      </c>
      <c r="H19" s="42">
        <f t="shared" si="12"/>
        <v>2373.4760000000001</v>
      </c>
      <c r="I19" s="42">
        <f t="shared" si="12"/>
        <v>2522.1540000000005</v>
      </c>
      <c r="J19" s="42">
        <f t="shared" si="12"/>
        <v>7789.005000000001</v>
      </c>
      <c r="K19" s="42">
        <f>SUM(C19:J19)</f>
        <v>63024.22500000002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6">
        <v>14</v>
      </c>
      <c r="B20" s="40" t="s">
        <v>44</v>
      </c>
      <c r="C20" s="42">
        <f>C6*C45</f>
        <v>81241.818381147052</v>
      </c>
      <c r="D20" s="42">
        <f t="shared" ref="D20:J20" si="13">D6*D45</f>
        <v>123232.95615958341</v>
      </c>
      <c r="E20" s="42">
        <f t="shared" si="13"/>
        <v>8736.5255551773753</v>
      </c>
      <c r="F20" s="42">
        <f t="shared" si="13"/>
        <v>13864.133482700692</v>
      </c>
      <c r="G20" s="42">
        <f t="shared" si="13"/>
        <v>31398.029556992511</v>
      </c>
      <c r="H20" s="42">
        <f t="shared" si="13"/>
        <v>12186.840643502139</v>
      </c>
      <c r="I20" s="42">
        <f t="shared" si="13"/>
        <v>12950.242124365905</v>
      </c>
      <c r="J20" s="42">
        <f t="shared" si="13"/>
        <v>39993.394795835884</v>
      </c>
      <c r="K20" s="42">
        <f>SUM(C20:J20)</f>
        <v>323603.94069930498</v>
      </c>
      <c r="V20" s="40" t="s">
        <v>44</v>
      </c>
      <c r="AL20" s="40" t="s">
        <v>45</v>
      </c>
      <c r="AM20" s="40" t="s">
        <v>44</v>
      </c>
    </row>
    <row r="21" spans="1:40">
      <c r="A21" s="146">
        <v>15</v>
      </c>
      <c r="B21" s="40" t="s">
        <v>46</v>
      </c>
      <c r="C21" s="47">
        <f>$K$21/$K$6*C6</f>
        <v>1078.2608695652175</v>
      </c>
      <c r="D21" s="47">
        <f t="shared" ref="D21:J21" si="14">$K$21/$K$6*D6</f>
        <v>1617.391304347826</v>
      </c>
      <c r="E21" s="47">
        <f t="shared" si="14"/>
        <v>1078.2608695652175</v>
      </c>
      <c r="F21" s="47">
        <f t="shared" si="14"/>
        <v>1617.391304347826</v>
      </c>
      <c r="G21" s="47">
        <f t="shared" si="14"/>
        <v>2695.6521739130435</v>
      </c>
      <c r="H21" s="47">
        <f t="shared" si="14"/>
        <v>1078.2608695652175</v>
      </c>
      <c r="I21" s="47">
        <f t="shared" si="14"/>
        <v>1617.391304347826</v>
      </c>
      <c r="J21" s="47">
        <f t="shared" si="14"/>
        <v>1617.391304347826</v>
      </c>
      <c r="K21" s="42">
        <f>项目投资!H27</f>
        <v>12400</v>
      </c>
      <c r="V21" s="40" t="s">
        <v>46</v>
      </c>
      <c r="AL21" s="40"/>
      <c r="AM21" s="40"/>
    </row>
    <row r="22" spans="1:40">
      <c r="A22" s="146">
        <v>16</v>
      </c>
      <c r="B22" s="40" t="s">
        <v>47</v>
      </c>
      <c r="C22" s="42">
        <f>C6*C47</f>
        <v>42660.491999999998</v>
      </c>
      <c r="D22" s="42">
        <f t="shared" ref="D22:J22" si="15">D6*D47</f>
        <v>64710.251999999993</v>
      </c>
      <c r="E22" s="42">
        <f t="shared" si="15"/>
        <v>4587.5940000000001</v>
      </c>
      <c r="F22" s="42">
        <f t="shared" si="15"/>
        <v>7280.1270000000004</v>
      </c>
      <c r="G22" s="42">
        <f t="shared" si="15"/>
        <v>16487.264999999999</v>
      </c>
      <c r="H22" s="42">
        <f t="shared" si="15"/>
        <v>6399.3719999999994</v>
      </c>
      <c r="I22" s="42">
        <f t="shared" si="15"/>
        <v>6800.2379999999994</v>
      </c>
      <c r="J22" s="42">
        <f t="shared" si="15"/>
        <v>21000.735000000001</v>
      </c>
      <c r="K22" s="42">
        <f>SUM(C22:J22)</f>
        <v>169926.07500000001</v>
      </c>
      <c r="V22" s="40" t="s">
        <v>47</v>
      </c>
      <c r="AL22" s="40" t="s">
        <v>48</v>
      </c>
      <c r="AM22" s="40" t="s">
        <v>47</v>
      </c>
    </row>
    <row r="23" spans="1:40">
      <c r="A23" s="146">
        <v>17</v>
      </c>
      <c r="B23" s="43" t="s">
        <v>49</v>
      </c>
      <c r="C23" s="47">
        <f>+C22+C21+C20+C19+C17</f>
        <v>230930.80725071224</v>
      </c>
      <c r="D23" s="47">
        <f t="shared" ref="D23:J23" si="16">+D22+D21+D20+D19+D17</f>
        <v>350272.91546393122</v>
      </c>
      <c r="E23" s="47">
        <f t="shared" si="16"/>
        <v>25795.982424742593</v>
      </c>
      <c r="F23" s="47">
        <f t="shared" si="16"/>
        <v>40842.342787048517</v>
      </c>
      <c r="G23" s="47">
        <f t="shared" si="16"/>
        <v>91528.191730905557</v>
      </c>
      <c r="H23" s="47">
        <f t="shared" si="16"/>
        <v>35557.749513067356</v>
      </c>
      <c r="I23" s="47">
        <f t="shared" si="16"/>
        <v>38256.725428713726</v>
      </c>
      <c r="J23" s="47">
        <f t="shared" si="16"/>
        <v>114768.27610018371</v>
      </c>
      <c r="K23" s="47">
        <f t="shared" ref="K23" si="17">+K22+K21+K20+K19+K17</f>
        <v>927952.99069930497</v>
      </c>
      <c r="V23" s="43" t="s">
        <v>49</v>
      </c>
      <c r="AL23" s="40" t="s">
        <v>50</v>
      </c>
      <c r="AM23" s="43" t="s">
        <v>49</v>
      </c>
    </row>
    <row r="24" spans="1:40">
      <c r="A24" s="146">
        <v>18</v>
      </c>
      <c r="B24" s="48" t="s">
        <v>51</v>
      </c>
      <c r="C24" s="47">
        <f>+C15-C23</f>
        <v>115760.56468216068</v>
      </c>
      <c r="D24" s="47">
        <f t="shared" ref="D24:J24" si="18">+D15-D23</f>
        <v>171605.6337579448</v>
      </c>
      <c r="E24" s="47">
        <f t="shared" si="18"/>
        <v>-31099.059712219831</v>
      </c>
      <c r="F24" s="47">
        <f t="shared" si="18"/>
        <v>-23378.275397542464</v>
      </c>
      <c r="G24" s="47">
        <f t="shared" si="18"/>
        <v>-82258.581863599567</v>
      </c>
      <c r="H24" s="47">
        <f t="shared" si="18"/>
        <v>76799.934190527827</v>
      </c>
      <c r="I24" s="47">
        <f t="shared" si="18"/>
        <v>34316.67627021415</v>
      </c>
      <c r="J24" s="47">
        <f t="shared" si="18"/>
        <v>-152876.95345149568</v>
      </c>
      <c r="K24" s="47">
        <f t="shared" ref="K24" si="19">+K15-K23</f>
        <v>108869.93847598974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6">
        <v>19</v>
      </c>
      <c r="B25" s="40" t="s">
        <v>231</v>
      </c>
      <c r="C25" s="47">
        <f>IF(C24&lt;0,0,C24*0.15)</f>
        <v>17364.0847023241</v>
      </c>
      <c r="D25" s="47">
        <f t="shared" ref="D25:J25" si="20">IF(D24&lt;0,0,D24*0.15)</f>
        <v>25740.845063691719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11519.990128579173</v>
      </c>
      <c r="I25" s="47">
        <f t="shared" si="20"/>
        <v>5147.5014405321226</v>
      </c>
      <c r="J25" s="47">
        <f t="shared" si="20"/>
        <v>0</v>
      </c>
      <c r="K25" s="47">
        <f>IF(K24&lt;0,0,K24*0.15)</f>
        <v>16330.490771398459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6">
        <v>20</v>
      </c>
      <c r="B26" s="40" t="s">
        <v>55</v>
      </c>
      <c r="C26" s="47">
        <f t="shared" ref="C26" si="21">C24-C25</f>
        <v>98396.479979836586</v>
      </c>
      <c r="D26" s="47">
        <f t="shared" ref="D26:J26" si="22">D24-D25</f>
        <v>145864.78869425307</v>
      </c>
      <c r="E26" s="47">
        <f t="shared" si="22"/>
        <v>-31099.059712219831</v>
      </c>
      <c r="F26" s="47">
        <f t="shared" si="22"/>
        <v>-23378.275397542464</v>
      </c>
      <c r="G26" s="47">
        <f t="shared" si="22"/>
        <v>-82258.581863599567</v>
      </c>
      <c r="H26" s="47">
        <f t="shared" si="22"/>
        <v>65279.944061948656</v>
      </c>
      <c r="I26" s="47">
        <f t="shared" si="22"/>
        <v>29169.174829682026</v>
      </c>
      <c r="J26" s="47">
        <f t="shared" si="22"/>
        <v>-152876.95345149568</v>
      </c>
      <c r="K26" s="42">
        <f>K24-K25</f>
        <v>92539.447704591279</v>
      </c>
      <c r="L26" s="163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6">
        <v>21</v>
      </c>
      <c r="B27" s="40" t="s">
        <v>59</v>
      </c>
      <c r="C27" s="49">
        <f t="shared" ref="C27:K27" si="23">C26/C7</f>
        <v>4.9128477551794746E-2</v>
      </c>
      <c r="D27" s="49">
        <f t="shared" ref="D27:J27" si="24">D26/D7</f>
        <v>4.8012794003453894E-2</v>
      </c>
      <c r="E27" s="49">
        <f t="shared" si="24"/>
        <v>-0.14439158562642693</v>
      </c>
      <c r="F27" s="49">
        <f t="shared" si="24"/>
        <v>-6.8399530113644233E-2</v>
      </c>
      <c r="G27" s="49">
        <f t="shared" si="24"/>
        <v>-0.10627037253872433</v>
      </c>
      <c r="H27" s="49">
        <f t="shared" si="24"/>
        <v>0.21728113454249987</v>
      </c>
      <c r="I27" s="49">
        <f t="shared" si="24"/>
        <v>9.1364952796097312E-2</v>
      </c>
      <c r="J27" s="49">
        <f t="shared" si="24"/>
        <v>-0.15505548298746966</v>
      </c>
      <c r="K27" s="49">
        <f t="shared" si="23"/>
        <v>1.15996926081403E-2</v>
      </c>
      <c r="L27" s="161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6">
        <v>1</v>
      </c>
      <c r="B31" s="45" t="s">
        <v>64</v>
      </c>
      <c r="C31" s="51">
        <f>'2023年'!C31</f>
        <v>1001.42</v>
      </c>
      <c r="D31" s="51">
        <f>'2023年'!D31</f>
        <v>1012.68</v>
      </c>
      <c r="E31" s="51">
        <f>'2023年'!E31</f>
        <v>107.69</v>
      </c>
      <c r="F31" s="51">
        <f>'2023年'!F31</f>
        <v>113.93</v>
      </c>
      <c r="G31" s="51">
        <f>'2023年'!G31</f>
        <v>154.81</v>
      </c>
      <c r="H31" s="51">
        <f>'2023年'!H31</f>
        <v>150.22</v>
      </c>
      <c r="I31" s="51">
        <f>'2023年'!I31</f>
        <v>106.42</v>
      </c>
      <c r="J31" s="51">
        <f>'2023年'!J31</f>
        <v>328.65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6">
        <v>2</v>
      </c>
      <c r="B32" s="40" t="s">
        <v>144</v>
      </c>
      <c r="C32" s="42">
        <f>C9/C6</f>
        <v>904.9711274296875</v>
      </c>
      <c r="D32" s="42">
        <f t="shared" ref="D32:J32" si="25">D9/D6</f>
        <v>915.14665307812504</v>
      </c>
      <c r="E32" s="42">
        <f t="shared" si="25"/>
        <v>97.31814894140625</v>
      </c>
      <c r="F32" s="42">
        <f t="shared" si="25"/>
        <v>102.95716137890625</v>
      </c>
      <c r="G32" s="42">
        <f t="shared" si="25"/>
        <v>139.89992234765623</v>
      </c>
      <c r="H32" s="42">
        <f t="shared" si="25"/>
        <v>135.7519949296875</v>
      </c>
      <c r="I32" s="42">
        <f t="shared" si="25"/>
        <v>96.170465320312502</v>
      </c>
      <c r="J32" s="42">
        <f t="shared" si="25"/>
        <v>296.9970252539062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65</v>
      </c>
      <c r="C33" s="42">
        <f>'2026年'!C33*(1-0.025)</f>
        <v>622.26140772656242</v>
      </c>
      <c r="D33" s="42">
        <f>'2026年'!D33*(1-0.025)</f>
        <v>630.59341007812486</v>
      </c>
      <c r="E33" s="42">
        <f>'2026年'!E33*(1-0.025)</f>
        <v>88.208975003906232</v>
      </c>
      <c r="F33" s="42">
        <f>'2026年'!F33*(1-0.025)</f>
        <v>84.693629109374996</v>
      </c>
      <c r="G33" s="42">
        <f>'2026年'!G33*(1-0.025)</f>
        <v>121.13936173828127</v>
      </c>
      <c r="H33" s="42">
        <f>'2026年'!H33*(1-0.025)</f>
        <v>63.167783554687503</v>
      </c>
      <c r="I33" s="42">
        <f>'2026年'!I33*(1-0.025)</f>
        <v>60.357314214843747</v>
      </c>
      <c r="J33" s="42">
        <f>'2026年'!J33*(1-0.025)</f>
        <v>273.80839398046874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6">
        <v>4</v>
      </c>
      <c r="B34" s="40" t="s">
        <v>67</v>
      </c>
      <c r="C34" s="52">
        <f>C32-C33</f>
        <v>282.70971970312507</v>
      </c>
      <c r="D34" s="52">
        <f t="shared" ref="D34:J34" si="26">D32-D33</f>
        <v>284.55324300000018</v>
      </c>
      <c r="E34" s="52">
        <f t="shared" si="26"/>
        <v>9.1091739375000174</v>
      </c>
      <c r="F34" s="52">
        <f t="shared" si="26"/>
        <v>18.263532269531254</v>
      </c>
      <c r="G34" s="52">
        <f t="shared" si="26"/>
        <v>18.760560609374963</v>
      </c>
      <c r="H34" s="52">
        <f t="shared" si="26"/>
        <v>72.584211374999995</v>
      </c>
      <c r="I34" s="52">
        <f t="shared" si="26"/>
        <v>35.813151105468755</v>
      </c>
      <c r="J34" s="52">
        <f t="shared" si="26"/>
        <v>23.188631273437466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7</v>
      </c>
      <c r="AL35" s="40" t="s">
        <v>69</v>
      </c>
      <c r="AM35" s="43" t="s">
        <v>7</v>
      </c>
    </row>
    <row r="36" spans="1:39">
      <c r="A36" s="146">
        <v>1</v>
      </c>
      <c r="B36" s="40" t="s">
        <v>70</v>
      </c>
      <c r="C36" s="46">
        <f>'2023年'!C36</f>
        <v>58.223159778699888</v>
      </c>
      <c r="D36" s="46">
        <f>'2023年'!D36</f>
        <v>58.87782293612451</v>
      </c>
      <c r="E36" s="46">
        <f>'2023年'!E36</f>
        <v>6.2611612276249637</v>
      </c>
      <c r="F36" s="46">
        <f>'2023年'!F36</f>
        <v>6.6239585724144501</v>
      </c>
      <c r="G36" s="46">
        <f>'2023年'!G36</f>
        <v>9.0007463055865973</v>
      </c>
      <c r="H36" s="46">
        <f>'2023年'!H36</f>
        <v>8.7338809510058688</v>
      </c>
      <c r="I36" s="46">
        <f>'2023年'!I36</f>
        <v>6.1873226654642837</v>
      </c>
      <c r="J36" s="46">
        <f>'2023年'!J36</f>
        <v>19.107908231580872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6">
        <v>2</v>
      </c>
      <c r="B37" s="40" t="s">
        <v>71</v>
      </c>
      <c r="C37" s="46">
        <f>'2023年'!C37</f>
        <v>18.094013957988707</v>
      </c>
      <c r="D37" s="46">
        <f>'2023年'!D37</f>
        <v>18.297463656583655</v>
      </c>
      <c r="E37" s="46">
        <f>'2023年'!E37</f>
        <v>1.9457813536136723</v>
      </c>
      <c r="F37" s="46">
        <f>'2023年'!F37</f>
        <v>2.0585279006147807</v>
      </c>
      <c r="G37" s="46">
        <f>'2023年'!G37</f>
        <v>2.7971623303271671</v>
      </c>
      <c r="H37" s="46">
        <f>'2023年'!H37</f>
        <v>2.7142285721965447</v>
      </c>
      <c r="I37" s="46">
        <f>'2023年'!I37</f>
        <v>1.9228345403618445</v>
      </c>
      <c r="J37" s="46">
        <f>'2023年'!J37</f>
        <v>5.9381654922939306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6">
        <v>3</v>
      </c>
      <c r="B38" s="40" t="s">
        <v>72</v>
      </c>
      <c r="C38" s="46">
        <f>'2023年'!C38</f>
        <v>33.046860000000002</v>
      </c>
      <c r="D38" s="46">
        <f>'2023年'!D38</f>
        <v>33.418439999999997</v>
      </c>
      <c r="E38" s="46">
        <f>'2023年'!E38</f>
        <v>3.5537700000000001</v>
      </c>
      <c r="F38" s="46">
        <f>'2023年'!F38</f>
        <v>3.7596900000000004</v>
      </c>
      <c r="G38" s="46">
        <f>'2023年'!G38</f>
        <v>5.1087300000000004</v>
      </c>
      <c r="H38" s="46">
        <f>'2023年'!H38</f>
        <v>4.9572599999999998</v>
      </c>
      <c r="I38" s="46">
        <f>'2023年'!I38</f>
        <v>3.5118600000000004</v>
      </c>
      <c r="J38" s="46">
        <f>'2023年'!J38</f>
        <v>10.84545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6">
        <v>1</v>
      </c>
      <c r="B40" s="40" t="s">
        <v>75</v>
      </c>
      <c r="C40" s="47">
        <f>C34-C36-C37-C38</f>
        <v>173.34568596643649</v>
      </c>
      <c r="D40" s="47">
        <f t="shared" ref="D40:J40" si="27">D34-D36-D37-D38</f>
        <v>173.959516407292</v>
      </c>
      <c r="E40" s="47">
        <f t="shared" si="27"/>
        <v>-2.6515386437386188</v>
      </c>
      <c r="F40" s="47">
        <f t="shared" si="27"/>
        <v>5.8213557965020222</v>
      </c>
      <c r="G40" s="47">
        <f t="shared" si="27"/>
        <v>1.8539219734611985</v>
      </c>
      <c r="H40" s="47">
        <f t="shared" si="27"/>
        <v>56.178841851797578</v>
      </c>
      <c r="I40" s="47">
        <f t="shared" si="27"/>
        <v>24.19113389964263</v>
      </c>
      <c r="J40" s="47">
        <f t="shared" si="27"/>
        <v>-12.702892450437336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6">
        <v>1</v>
      </c>
      <c r="B43" s="48" t="s">
        <v>79</v>
      </c>
      <c r="C43" s="46">
        <f>'2023年'!C43</f>
        <v>45.063899999999997</v>
      </c>
      <c r="D43" s="46">
        <f>'2023年'!D43</f>
        <v>45.570599999999999</v>
      </c>
      <c r="E43" s="46">
        <f>'2023年'!E43</f>
        <v>4.84605</v>
      </c>
      <c r="F43" s="46">
        <f>'2023年'!F43</f>
        <v>5.1268500000000001</v>
      </c>
      <c r="G43" s="46">
        <f>'2023年'!G43</f>
        <v>6.96645</v>
      </c>
      <c r="H43" s="46">
        <f>'2023年'!H43</f>
        <v>6.7599</v>
      </c>
      <c r="I43" s="46">
        <f>'2023年'!I43</f>
        <v>4.7888999999999999</v>
      </c>
      <c r="J43" s="46">
        <f>'2023年'!J43</f>
        <v>14.789249999999999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6">
        <v>2</v>
      </c>
      <c r="B44" s="48" t="s">
        <v>80</v>
      </c>
      <c r="C44" s="46">
        <f>'2023年'!C44</f>
        <v>7.9112180000000007</v>
      </c>
      <c r="D44" s="46">
        <f>'2023年'!D44</f>
        <v>8.0001720000000009</v>
      </c>
      <c r="E44" s="46">
        <f>'2023年'!E44</f>
        <v>0.85075100000000003</v>
      </c>
      <c r="F44" s="46">
        <f>'2023年'!F44</f>
        <v>0.90004700000000015</v>
      </c>
      <c r="G44" s="46">
        <f>'2023年'!G44</f>
        <v>1.2229990000000002</v>
      </c>
      <c r="H44" s="46">
        <f>'2023年'!H44</f>
        <v>1.1867380000000001</v>
      </c>
      <c r="I44" s="46">
        <f>'2023年'!I44</f>
        <v>0.84071800000000008</v>
      </c>
      <c r="J44" s="46">
        <f>'2023年'!J44</f>
        <v>2.5963350000000003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6">
        <v>3</v>
      </c>
      <c r="B45" s="48" t="s">
        <v>81</v>
      </c>
      <c r="C45" s="46">
        <f>'2023年'!C45</f>
        <v>40.620909190573528</v>
      </c>
      <c r="D45" s="46">
        <f>'2023年'!D45</f>
        <v>41.07765205319447</v>
      </c>
      <c r="E45" s="46">
        <f>'2023年'!E45</f>
        <v>4.3682627775886873</v>
      </c>
      <c r="F45" s="46">
        <f>'2023年'!F45</f>
        <v>4.6213778275668975</v>
      </c>
      <c r="G45" s="46">
        <f>'2023年'!G45</f>
        <v>6.2796059113985025</v>
      </c>
      <c r="H45" s="46">
        <f>'2023年'!H45</f>
        <v>6.0934203217510694</v>
      </c>
      <c r="I45" s="46">
        <f>'2023年'!I45</f>
        <v>4.3167473747886351</v>
      </c>
      <c r="J45" s="46">
        <f>'2023年'!J45</f>
        <v>13.331131598611961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6">
        <v>4</v>
      </c>
      <c r="B46" s="48" t="s">
        <v>82</v>
      </c>
      <c r="C46" s="53">
        <f>C21/C6</f>
        <v>0.53913043478260869</v>
      </c>
      <c r="D46" s="53">
        <f t="shared" ref="D46:J46" si="28">D21/D6</f>
        <v>0.53913043478260869</v>
      </c>
      <c r="E46" s="53">
        <f t="shared" si="28"/>
        <v>0.53913043478260869</v>
      </c>
      <c r="F46" s="53">
        <f t="shared" si="28"/>
        <v>0.53913043478260869</v>
      </c>
      <c r="G46" s="53">
        <f t="shared" si="28"/>
        <v>0.53913043478260869</v>
      </c>
      <c r="H46" s="53">
        <f t="shared" si="28"/>
        <v>0.53913043478260869</v>
      </c>
      <c r="I46" s="53">
        <f t="shared" si="28"/>
        <v>0.53913043478260869</v>
      </c>
      <c r="J46" s="53">
        <f t="shared" si="28"/>
        <v>0.53913043478260869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6">
        <v>5</v>
      </c>
      <c r="B47" s="48" t="s">
        <v>84</v>
      </c>
      <c r="C47" s="53">
        <f>'2023年'!C47</f>
        <v>21.330245999999999</v>
      </c>
      <c r="D47" s="53">
        <f>'2023年'!D47</f>
        <v>21.570083999999998</v>
      </c>
      <c r="E47" s="53">
        <f>'2023年'!E47</f>
        <v>2.2937970000000001</v>
      </c>
      <c r="F47" s="53">
        <f>'2023年'!F47</f>
        <v>2.4267090000000002</v>
      </c>
      <c r="G47" s="53">
        <f>'2023年'!G47</f>
        <v>3.297453</v>
      </c>
      <c r="H47" s="53">
        <f>'2023年'!H47</f>
        <v>3.1996859999999998</v>
      </c>
      <c r="I47" s="53">
        <f>'2023年'!I47</f>
        <v>2.2667459999999999</v>
      </c>
      <c r="J47" s="53">
        <f>'2023年'!J47</f>
        <v>7.0002449999999996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>
        <f>C40-C43-C44-C45-C47-C46</f>
        <v>57.88028234108036</v>
      </c>
      <c r="D48" s="47">
        <f t="shared" ref="D48:J48" si="29">D40-D43-D44-D45-D47-D46</f>
        <v>57.201877919314938</v>
      </c>
      <c r="E48" s="47">
        <f t="shared" si="29"/>
        <v>-15.549529856109913</v>
      </c>
      <c r="F48" s="47">
        <f t="shared" si="29"/>
        <v>-7.7927584658474842</v>
      </c>
      <c r="G48" s="47">
        <f t="shared" si="29"/>
        <v>-16.451716372719915</v>
      </c>
      <c r="H48" s="47">
        <f t="shared" si="29"/>
        <v>38.399967095263904</v>
      </c>
      <c r="I48" s="47">
        <f t="shared" si="29"/>
        <v>11.43889209007139</v>
      </c>
      <c r="J48" s="47">
        <f t="shared" si="29"/>
        <v>-50.958984483831905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12" activePane="bottomRight" state="frozen"/>
      <selection pane="topRight"/>
      <selection pane="bottomLeft"/>
      <selection pane="bottomRight" activeCell="D33" sqref="D33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0.375" customWidth="1"/>
    <col min="9" max="9" width="16.25" customWidth="1"/>
    <col min="10" max="10" width="14.125" customWidth="1"/>
  </cols>
  <sheetData>
    <row r="1" spans="1:10" ht="20.25">
      <c r="A1" s="265" t="s">
        <v>145</v>
      </c>
      <c r="B1" s="265"/>
      <c r="C1" s="265"/>
      <c r="E1" s="266" t="s">
        <v>236</v>
      </c>
      <c r="F1" s="267"/>
      <c r="G1" s="267"/>
      <c r="H1" s="268"/>
      <c r="J1" s="170"/>
    </row>
    <row r="2" spans="1:10" ht="23.45" customHeight="1">
      <c r="A2" s="15" t="s">
        <v>1</v>
      </c>
      <c r="B2" s="16" t="s">
        <v>146</v>
      </c>
      <c r="C2" s="17" t="s">
        <v>147</v>
      </c>
      <c r="E2" s="1" t="s">
        <v>148</v>
      </c>
      <c r="F2" s="1" t="s">
        <v>1</v>
      </c>
      <c r="G2" s="18" t="s">
        <v>149</v>
      </c>
      <c r="H2" s="1" t="s">
        <v>147</v>
      </c>
      <c r="J2" s="168"/>
    </row>
    <row r="3" spans="1:10" ht="15.75" customHeight="1">
      <c r="A3" s="19" t="s">
        <v>150</v>
      </c>
      <c r="B3" s="20"/>
      <c r="C3" s="21"/>
      <c r="E3" s="273" t="s">
        <v>151</v>
      </c>
      <c r="F3" s="2" t="s">
        <v>152</v>
      </c>
      <c r="G3" s="22"/>
      <c r="H3" s="2"/>
      <c r="J3" s="264"/>
    </row>
    <row r="4" spans="1:10" ht="15.75" customHeight="1">
      <c r="A4" s="19" t="s">
        <v>153</v>
      </c>
      <c r="B4" s="20"/>
      <c r="C4" s="23"/>
      <c r="E4" s="274"/>
      <c r="F4" s="2" t="s">
        <v>154</v>
      </c>
      <c r="G4" s="22"/>
      <c r="H4" s="2"/>
      <c r="J4" s="264"/>
    </row>
    <row r="5" spans="1:10" ht="15.75" customHeight="1">
      <c r="A5" s="19" t="s">
        <v>155</v>
      </c>
      <c r="B5" s="24">
        <f>SUM(G3:G4)</f>
        <v>0</v>
      </c>
      <c r="C5" s="21"/>
      <c r="E5" s="275" t="s">
        <v>156</v>
      </c>
      <c r="F5" s="25" t="s">
        <v>157</v>
      </c>
      <c r="G5" s="156"/>
      <c r="H5" s="166"/>
      <c r="J5" s="169"/>
    </row>
    <row r="6" spans="1:10" ht="15.75" customHeight="1">
      <c r="A6" s="19" t="s">
        <v>158</v>
      </c>
      <c r="B6" s="20"/>
      <c r="C6" s="21"/>
      <c r="E6" s="276"/>
      <c r="F6" s="25" t="s">
        <v>159</v>
      </c>
      <c r="G6" s="156"/>
      <c r="H6" s="167"/>
      <c r="J6" s="169"/>
    </row>
    <row r="7" spans="1:10" ht="15.75" customHeight="1">
      <c r="A7" s="26" t="s">
        <v>160</v>
      </c>
      <c r="B7" s="24">
        <f>SUM(B3:B6)</f>
        <v>0</v>
      </c>
      <c r="C7" s="21"/>
      <c r="E7" s="276"/>
      <c r="F7" s="25" t="s">
        <v>161</v>
      </c>
      <c r="G7" s="156"/>
      <c r="H7" s="167"/>
      <c r="J7" s="169"/>
    </row>
    <row r="8" spans="1:10" ht="15.75" customHeight="1">
      <c r="A8" s="27" t="s">
        <v>162</v>
      </c>
      <c r="B8" s="24">
        <f>SUM(G5:G12)</f>
        <v>0</v>
      </c>
      <c r="C8" s="28"/>
      <c r="E8" s="276"/>
      <c r="F8" s="25" t="s">
        <v>163</v>
      </c>
      <c r="G8" s="156"/>
      <c r="H8" s="167"/>
      <c r="J8" s="169"/>
    </row>
    <row r="9" spans="1:10" ht="15.75" customHeight="1">
      <c r="A9" s="19" t="s">
        <v>164</v>
      </c>
      <c r="B9" s="24">
        <f>SUM(G13:G21)</f>
        <v>6.2</v>
      </c>
      <c r="C9" s="21"/>
      <c r="E9" s="276"/>
      <c r="F9" s="2" t="s">
        <v>165</v>
      </c>
      <c r="G9" s="156"/>
      <c r="H9" s="167"/>
      <c r="J9" s="169"/>
    </row>
    <row r="10" spans="1:10" ht="15.75" customHeight="1">
      <c r="A10" s="23" t="s">
        <v>14</v>
      </c>
      <c r="B10" s="24">
        <f>B7+B8+B9</f>
        <v>6.2</v>
      </c>
      <c r="C10" s="21"/>
      <c r="E10" s="276"/>
      <c r="F10" s="2" t="s">
        <v>166</v>
      </c>
      <c r="G10" s="156"/>
      <c r="H10" s="167"/>
      <c r="J10" s="169"/>
    </row>
    <row r="11" spans="1:10" ht="15.75" customHeight="1">
      <c r="E11" s="276"/>
      <c r="F11" s="2" t="s">
        <v>167</v>
      </c>
      <c r="G11" s="156"/>
      <c r="H11" s="167"/>
      <c r="J11" s="169"/>
    </row>
    <row r="12" spans="1:10" ht="15.75" customHeight="1">
      <c r="E12" s="277"/>
      <c r="F12" s="2" t="s">
        <v>168</v>
      </c>
      <c r="G12" s="156"/>
      <c r="H12" s="167"/>
      <c r="J12" s="169"/>
    </row>
    <row r="13" spans="1:10" ht="15.75" customHeight="1">
      <c r="E13" s="273" t="s">
        <v>46</v>
      </c>
      <c r="F13" s="2" t="s">
        <v>169</v>
      </c>
      <c r="G13" s="156">
        <v>5</v>
      </c>
      <c r="H13" s="167"/>
      <c r="J13" s="222"/>
    </row>
    <row r="14" spans="1:10" ht="15.75" customHeight="1">
      <c r="E14" s="274"/>
      <c r="F14" s="2" t="s">
        <v>170</v>
      </c>
      <c r="G14" s="156">
        <v>0.2</v>
      </c>
      <c r="H14" s="167"/>
      <c r="J14" s="222"/>
    </row>
    <row r="15" spans="1:10" ht="15.75" customHeight="1">
      <c r="E15" s="274"/>
      <c r="F15" s="2" t="s">
        <v>171</v>
      </c>
      <c r="G15" s="156">
        <v>0</v>
      </c>
      <c r="H15" s="167"/>
      <c r="J15" s="222"/>
    </row>
    <row r="16" spans="1:10" ht="15.75" customHeight="1">
      <c r="E16" s="274"/>
      <c r="F16" s="2" t="s">
        <v>172</v>
      </c>
      <c r="G16" s="156">
        <v>0</v>
      </c>
      <c r="H16" s="167"/>
      <c r="J16" s="222"/>
    </row>
    <row r="17" spans="1:10" ht="15.75" customHeight="1">
      <c r="E17" s="274"/>
      <c r="F17" s="2" t="s">
        <v>173</v>
      </c>
      <c r="G17" s="156">
        <v>0</v>
      </c>
      <c r="H17" s="167"/>
      <c r="J17" s="222"/>
    </row>
    <row r="18" spans="1:10" ht="15.75" customHeight="1">
      <c r="E18" s="274"/>
      <c r="F18" s="2" t="s">
        <v>174</v>
      </c>
      <c r="G18" s="156">
        <v>0.2</v>
      </c>
      <c r="H18" s="167"/>
      <c r="J18" s="222"/>
    </row>
    <row r="19" spans="1:10" ht="15.75" customHeight="1">
      <c r="E19" s="274"/>
      <c r="F19" s="2" t="s">
        <v>175</v>
      </c>
      <c r="G19" s="156">
        <v>0.8</v>
      </c>
      <c r="H19" s="173"/>
      <c r="J19" s="222"/>
    </row>
    <row r="20" spans="1:10" ht="15.75" customHeight="1">
      <c r="E20" s="274"/>
      <c r="F20" s="2" t="s">
        <v>176</v>
      </c>
      <c r="G20" s="156"/>
      <c r="H20" s="167"/>
      <c r="J20" s="222"/>
    </row>
    <row r="21" spans="1:10" ht="15.75" customHeight="1">
      <c r="E21" s="278"/>
      <c r="F21" s="2" t="s">
        <v>123</v>
      </c>
      <c r="G21" s="156"/>
      <c r="H21" s="167"/>
      <c r="J21" s="222"/>
    </row>
    <row r="22" spans="1:10" ht="15.75" customHeight="1">
      <c r="E22" s="1" t="s">
        <v>14</v>
      </c>
      <c r="F22" s="2"/>
      <c r="G22" s="18">
        <f>SUM(G3:G21)</f>
        <v>6.2</v>
      </c>
      <c r="H22" s="2"/>
      <c r="J22" s="223"/>
    </row>
    <row r="23" spans="1:10" ht="30.75" customHeight="1">
      <c r="E23" s="269" t="s">
        <v>177</v>
      </c>
      <c r="F23" s="269"/>
      <c r="G23" s="269"/>
      <c r="H23" s="269"/>
    </row>
    <row r="25" spans="1:10" ht="17.25">
      <c r="A25" s="10" t="s">
        <v>1</v>
      </c>
      <c r="B25" s="10" t="s">
        <v>146</v>
      </c>
      <c r="C25" s="10" t="s">
        <v>178</v>
      </c>
      <c r="D25" s="157" t="s">
        <v>278</v>
      </c>
      <c r="E25" s="179" t="s">
        <v>180</v>
      </c>
      <c r="F25" s="179" t="s">
        <v>181</v>
      </c>
      <c r="G25" s="179" t="s">
        <v>225</v>
      </c>
      <c r="H25" s="179" t="s">
        <v>237</v>
      </c>
      <c r="I25" s="11" t="s">
        <v>14</v>
      </c>
      <c r="J25" s="32" t="s">
        <v>182</v>
      </c>
    </row>
    <row r="26" spans="1:10" ht="16.5">
      <c r="A26" s="29" t="s">
        <v>141</v>
      </c>
      <c r="B26" s="30">
        <f>(B5+B8)*10000</f>
        <v>0</v>
      </c>
      <c r="C26" s="31">
        <v>0.05</v>
      </c>
      <c r="D26" s="7">
        <f>B26*(1-C26)/4</f>
        <v>0</v>
      </c>
      <c r="E26" s="7">
        <f t="shared" ref="E26:F27" si="0">D26</f>
        <v>0</v>
      </c>
      <c r="F26" s="7">
        <f t="shared" si="0"/>
        <v>0</v>
      </c>
      <c r="G26" s="7">
        <f t="shared" ref="G26:G27" si="1">F26</f>
        <v>0</v>
      </c>
      <c r="H26" s="7"/>
      <c r="I26" s="7">
        <f>SUM(D26:H26)</f>
        <v>0</v>
      </c>
      <c r="J26" s="7">
        <f>B26*0.05</f>
        <v>0</v>
      </c>
    </row>
    <row r="27" spans="1:10" ht="16.5">
      <c r="A27" s="29" t="s">
        <v>183</v>
      </c>
      <c r="B27" s="30">
        <f>B9*10000</f>
        <v>62000</v>
      </c>
      <c r="C27" s="7"/>
      <c r="D27" s="7">
        <f>B27/5</f>
        <v>12400</v>
      </c>
      <c r="E27" s="7">
        <f>D27</f>
        <v>12400</v>
      </c>
      <c r="F27" s="7">
        <f t="shared" si="0"/>
        <v>12400</v>
      </c>
      <c r="G27" s="7">
        <f t="shared" si="1"/>
        <v>12400</v>
      </c>
      <c r="H27" s="7">
        <f t="shared" ref="H27" si="2">G27</f>
        <v>12400</v>
      </c>
      <c r="I27" s="7">
        <f>SUM(D27:H27)</f>
        <v>62000</v>
      </c>
      <c r="J27" s="7"/>
    </row>
    <row r="28" spans="1:10" ht="16.5">
      <c r="A28" s="270" t="s">
        <v>103</v>
      </c>
      <c r="B28" s="271"/>
      <c r="C28" s="272"/>
      <c r="D28" s="7">
        <f>SUM(D26:D27)</f>
        <v>12400</v>
      </c>
      <c r="E28" s="7">
        <f t="shared" ref="E28:H28" si="3">SUM(E26:E27)</f>
        <v>12400</v>
      </c>
      <c r="F28" s="7">
        <f t="shared" si="3"/>
        <v>12400</v>
      </c>
      <c r="G28" s="7">
        <f t="shared" si="3"/>
        <v>12400</v>
      </c>
      <c r="H28" s="7">
        <f t="shared" si="3"/>
        <v>12400</v>
      </c>
      <c r="I28" s="33"/>
      <c r="J28" s="33"/>
    </row>
    <row r="40" spans="9:9">
      <c r="I40" s="171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2023-07-07T07:39:19Z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