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领途及J6F车型气囊减震座椅舒适性提升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K26" i="59" l="1"/>
  <c r="K26" i="58"/>
  <c r="L8" i="55" l="1"/>
  <c r="L18" i="55" s="1"/>
  <c r="L19" i="55" s="1"/>
  <c r="K18" i="55"/>
  <c r="K19" i="55" s="1"/>
  <c r="L17" i="55"/>
  <c r="C17" i="55"/>
  <c r="H26" i="51"/>
  <c r="D26" i="51"/>
  <c r="C108" i="50" l="1"/>
  <c r="C95" i="50"/>
  <c r="C82" i="50"/>
  <c r="C69" i="50"/>
  <c r="C56" i="50"/>
  <c r="C43" i="50"/>
  <c r="C30" i="50"/>
  <c r="C16" i="50"/>
  <c r="J21" i="55"/>
  <c r="I21" i="55"/>
  <c r="H21" i="55"/>
  <c r="G21" i="55"/>
  <c r="F21" i="55"/>
  <c r="J22" i="55"/>
  <c r="G22" i="55"/>
  <c r="E21" i="55"/>
  <c r="E22" i="55" s="1"/>
  <c r="C21" i="55"/>
  <c r="D21" i="55"/>
  <c r="D22" i="55" s="1"/>
  <c r="F22" i="55"/>
  <c r="H22" i="55"/>
  <c r="I22" i="55"/>
  <c r="N10" i="55"/>
  <c r="O10" i="55" s="1"/>
  <c r="D3" i="53" l="1"/>
  <c r="A1" i="34"/>
  <c r="D12" i="53" l="1"/>
  <c r="E20" i="53" s="1"/>
  <c r="F20" i="53" s="1"/>
  <c r="G20" i="53" s="1"/>
  <c r="H20" i="53" s="1"/>
  <c r="I20" i="53" s="1"/>
  <c r="D33" i="43"/>
  <c r="D33" i="56" s="1"/>
  <c r="D33" i="58" s="1"/>
  <c r="D33" i="59" s="1"/>
  <c r="D33" i="57" s="1"/>
  <c r="E12" i="53"/>
  <c r="E21" i="53" s="1"/>
  <c r="F21" i="53" s="1"/>
  <c r="G21" i="53" s="1"/>
  <c r="H21" i="53" s="1"/>
  <c r="I21" i="53" s="1"/>
  <c r="D18" i="55"/>
  <c r="D19" i="55" s="1"/>
  <c r="B9" i="51"/>
  <c r="B27" i="51" s="1"/>
  <c r="D27" i="51" s="1"/>
  <c r="E27" i="51" s="1"/>
  <c r="F27" i="51" s="1"/>
  <c r="G27" i="51" s="1"/>
  <c r="H27" i="51" s="1"/>
  <c r="K21" i="57" s="1"/>
  <c r="F12" i="53"/>
  <c r="E22" i="53" s="1"/>
  <c r="F22" i="53" s="1"/>
  <c r="G22" i="53" s="1"/>
  <c r="H22" i="53" s="1"/>
  <c r="I22" i="53" s="1"/>
  <c r="M8" i="55"/>
  <c r="B8" i="51"/>
  <c r="B26" i="51" s="1"/>
  <c r="H31" i="50"/>
  <c r="H3" i="50"/>
  <c r="D7" i="50" s="1"/>
  <c r="H17" i="50"/>
  <c r="H44" i="50"/>
  <c r="D52" i="50"/>
  <c r="F47" i="43" s="1"/>
  <c r="H57" i="50"/>
  <c r="H70" i="50"/>
  <c r="H83" i="50"/>
  <c r="D91" i="50" s="1"/>
  <c r="I47" i="43" s="1"/>
  <c r="I47" i="56" s="1"/>
  <c r="I22" i="56" s="1"/>
  <c r="H96" i="50"/>
  <c r="D99" i="50" s="1"/>
  <c r="J37" i="43" s="1"/>
  <c r="D49" i="50"/>
  <c r="F45" i="43" s="1"/>
  <c r="D50" i="50"/>
  <c r="F44" i="43" s="1"/>
  <c r="F44" i="59" s="1"/>
  <c r="F19" i="59" s="1"/>
  <c r="D76" i="50"/>
  <c r="H44" i="43" s="1"/>
  <c r="D46" i="50"/>
  <c r="F43" i="43" s="1"/>
  <c r="D45" i="50"/>
  <c r="F36" i="43" s="1"/>
  <c r="D47" i="50"/>
  <c r="F37" i="43" s="1"/>
  <c r="F37" i="56" s="1"/>
  <c r="D51" i="50"/>
  <c r="F38" i="43" s="1"/>
  <c r="D90" i="50"/>
  <c r="I38" i="43" s="1"/>
  <c r="I38" i="56" s="1"/>
  <c r="C6" i="57"/>
  <c r="D6" i="57"/>
  <c r="D7" i="57" s="1"/>
  <c r="E6" i="57"/>
  <c r="E7" i="57" s="1"/>
  <c r="F6" i="57"/>
  <c r="G6" i="57"/>
  <c r="H6" i="57"/>
  <c r="H7" i="57"/>
  <c r="I6" i="57"/>
  <c r="J6" i="57"/>
  <c r="C6" i="59"/>
  <c r="C7" i="59" s="1"/>
  <c r="D6" i="59"/>
  <c r="D7" i="59" s="1"/>
  <c r="E6" i="59"/>
  <c r="F6" i="59"/>
  <c r="G6" i="59"/>
  <c r="H6" i="59"/>
  <c r="I6" i="59"/>
  <c r="I7" i="59" s="1"/>
  <c r="J6" i="59"/>
  <c r="J7" i="59"/>
  <c r="C6" i="58"/>
  <c r="D6" i="58"/>
  <c r="D7" i="58"/>
  <c r="E6" i="58"/>
  <c r="F6" i="58"/>
  <c r="G6" i="58"/>
  <c r="G7" i="58" s="1"/>
  <c r="H6" i="58"/>
  <c r="I6" i="58"/>
  <c r="I7" i="58" s="1"/>
  <c r="J6" i="58"/>
  <c r="C6" i="56"/>
  <c r="C7" i="56" s="1"/>
  <c r="D6" i="56"/>
  <c r="E6" i="56"/>
  <c r="E7" i="56" s="1"/>
  <c r="F6" i="56"/>
  <c r="G6" i="56"/>
  <c r="H6" i="56"/>
  <c r="H7" i="56" s="1"/>
  <c r="I6" i="56"/>
  <c r="J6" i="56"/>
  <c r="G12" i="53"/>
  <c r="E23" i="53" s="1"/>
  <c r="H12" i="53"/>
  <c r="E24" i="53" s="1"/>
  <c r="I12" i="53"/>
  <c r="E25" i="53" s="1"/>
  <c r="J12" i="53"/>
  <c r="E26" i="53" s="1"/>
  <c r="K12" i="53"/>
  <c r="E27" i="53" s="1"/>
  <c r="E18" i="55"/>
  <c r="F18" i="55"/>
  <c r="G18" i="55"/>
  <c r="G19" i="55" s="1"/>
  <c r="H18" i="55"/>
  <c r="H19" i="55" s="1"/>
  <c r="I18" i="55"/>
  <c r="I19" i="55" s="1"/>
  <c r="J18" i="55"/>
  <c r="J19" i="55" s="1"/>
  <c r="E19" i="55"/>
  <c r="F19" i="55"/>
  <c r="D31" i="43"/>
  <c r="E31" i="43"/>
  <c r="E31" i="59"/>
  <c r="F31" i="43"/>
  <c r="F31" i="59" s="1"/>
  <c r="G31" i="43"/>
  <c r="H31" i="43"/>
  <c r="H32" i="43" s="1"/>
  <c r="I31" i="43"/>
  <c r="J31" i="43"/>
  <c r="J31" i="57"/>
  <c r="D6" i="43"/>
  <c r="E6" i="43"/>
  <c r="F6" i="43"/>
  <c r="G6" i="43"/>
  <c r="H6" i="43"/>
  <c r="I6" i="43"/>
  <c r="J6" i="43"/>
  <c r="D3" i="43"/>
  <c r="D3" i="59" s="1"/>
  <c r="E3" i="43"/>
  <c r="F3" i="43"/>
  <c r="F3" i="59" s="1"/>
  <c r="G3" i="43"/>
  <c r="H3" i="43"/>
  <c r="I3" i="43"/>
  <c r="I3" i="57" s="1"/>
  <c r="J3" i="43"/>
  <c r="J3" i="59" s="1"/>
  <c r="D4" i="43"/>
  <c r="E4" i="43"/>
  <c r="F4" i="43"/>
  <c r="F4" i="57"/>
  <c r="G4" i="43"/>
  <c r="G4" i="57" s="1"/>
  <c r="H4" i="43"/>
  <c r="I4" i="43"/>
  <c r="I4" i="57" s="1"/>
  <c r="J4" i="43"/>
  <c r="J4" i="59" s="1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4" i="50" s="1"/>
  <c r="D4" i="53"/>
  <c r="C20" i="53" s="1"/>
  <c r="E4" i="53"/>
  <c r="C21" i="53" s="1"/>
  <c r="F4" i="53"/>
  <c r="C22" i="53" s="1"/>
  <c r="G4" i="53"/>
  <c r="C23" i="53" s="1"/>
  <c r="H4" i="53"/>
  <c r="C24" i="53" s="1"/>
  <c r="I4" i="53"/>
  <c r="C25" i="53" s="1"/>
  <c r="J4" i="53"/>
  <c r="C26" i="53" s="1"/>
  <c r="K4" i="53"/>
  <c r="C27" i="53" s="1"/>
  <c r="D5" i="53"/>
  <c r="D20" i="53" s="1"/>
  <c r="E5" i="53"/>
  <c r="D21" i="53" s="1"/>
  <c r="F5" i="53"/>
  <c r="D22" i="53" s="1"/>
  <c r="G5" i="53"/>
  <c r="D23" i="53" s="1"/>
  <c r="H5" i="53"/>
  <c r="D24" i="53" s="1"/>
  <c r="I5" i="53"/>
  <c r="D25" i="53" s="1"/>
  <c r="J5" i="53"/>
  <c r="D26" i="53" s="1"/>
  <c r="K5" i="53"/>
  <c r="D27" i="53" s="1"/>
  <c r="D61" i="50"/>
  <c r="D48" i="50"/>
  <c r="K8" i="43"/>
  <c r="C6" i="2"/>
  <c r="D15" i="55"/>
  <c r="E15" i="55"/>
  <c r="F15" i="55"/>
  <c r="G15" i="55"/>
  <c r="H15" i="55"/>
  <c r="I15" i="55"/>
  <c r="J15" i="55"/>
  <c r="K15" i="55"/>
  <c r="E7" i="50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C4" i="59" s="1"/>
  <c r="C7" i="57"/>
  <c r="B5" i="51"/>
  <c r="L9" i="55"/>
  <c r="G22" i="51"/>
  <c r="B7" i="51"/>
  <c r="C31" i="43"/>
  <c r="C31" i="59" s="1"/>
  <c r="C6" i="43"/>
  <c r="K6" i="43" s="1"/>
  <c r="C4" i="2" s="1"/>
  <c r="R23" i="36"/>
  <c r="M16" i="36"/>
  <c r="L15" i="36"/>
  <c r="K15" i="36"/>
  <c r="J15" i="36"/>
  <c r="I15" i="36"/>
  <c r="H15" i="36"/>
  <c r="G15" i="36"/>
  <c r="F15" i="36"/>
  <c r="E15" i="36"/>
  <c r="M15" i="36" s="1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F10" i="36" s="1"/>
  <c r="E13" i="36"/>
  <c r="D13" i="36"/>
  <c r="D10" i="36"/>
  <c r="D17" i="36" s="1"/>
  <c r="D19" i="36" s="1"/>
  <c r="C13" i="36"/>
  <c r="M13" i="36" s="1"/>
  <c r="L12" i="36"/>
  <c r="K12" i="36"/>
  <c r="K10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F11" i="36"/>
  <c r="E11" i="36"/>
  <c r="D11" i="36"/>
  <c r="C11" i="36"/>
  <c r="C10" i="36"/>
  <c r="M9" i="36"/>
  <c r="M8" i="36"/>
  <c r="L7" i="36"/>
  <c r="K7" i="36"/>
  <c r="J7" i="36"/>
  <c r="I7" i="36"/>
  <c r="H7" i="36"/>
  <c r="G7" i="36"/>
  <c r="F7" i="36"/>
  <c r="E7" i="36"/>
  <c r="M7" i="36" s="1"/>
  <c r="K6" i="36"/>
  <c r="J6" i="36"/>
  <c r="I6" i="36"/>
  <c r="I5" i="36"/>
  <c r="I17" i="36" s="1"/>
  <c r="I19" i="36" s="1"/>
  <c r="E6" i="36"/>
  <c r="K5" i="36"/>
  <c r="K17" i="36" s="1"/>
  <c r="K19" i="36" s="1"/>
  <c r="J5" i="36"/>
  <c r="D5" i="36"/>
  <c r="C5" i="36"/>
  <c r="D4" i="36"/>
  <c r="E4" i="36"/>
  <c r="F4" i="36"/>
  <c r="G4" i="36"/>
  <c r="H4" i="36"/>
  <c r="I4" i="36"/>
  <c r="J4" i="36"/>
  <c r="K4" i="36"/>
  <c r="L4" i="36"/>
  <c r="G10" i="36"/>
  <c r="H10" i="36"/>
  <c r="I10" i="36"/>
  <c r="L10" i="36"/>
  <c r="I4" i="58"/>
  <c r="I13" i="43"/>
  <c r="D6" i="50"/>
  <c r="C37" i="43" s="1"/>
  <c r="C37" i="57" s="1"/>
  <c r="C12" i="57" s="1"/>
  <c r="J7" i="56"/>
  <c r="G7" i="59"/>
  <c r="D88" i="50"/>
  <c r="I45" i="43"/>
  <c r="F31" i="57"/>
  <c r="F38" i="57"/>
  <c r="C7" i="43"/>
  <c r="G3" i="59"/>
  <c r="G3" i="57"/>
  <c r="G3" i="56"/>
  <c r="H7" i="43"/>
  <c r="H9" i="43" s="1"/>
  <c r="E7" i="43"/>
  <c r="E9" i="43"/>
  <c r="D3" i="56"/>
  <c r="I31" i="56"/>
  <c r="D87" i="50"/>
  <c r="I3" i="58"/>
  <c r="D84" i="50"/>
  <c r="I36" i="43"/>
  <c r="D100" i="50"/>
  <c r="G7" i="56"/>
  <c r="D86" i="50"/>
  <c r="I37" i="43" s="1"/>
  <c r="D97" i="50"/>
  <c r="J36" i="43" s="1"/>
  <c r="J11" i="43" s="1"/>
  <c r="D85" i="50"/>
  <c r="I43" i="43"/>
  <c r="I43" i="58" s="1"/>
  <c r="D89" i="50"/>
  <c r="I44" i="43" s="1"/>
  <c r="I19" i="43" s="1"/>
  <c r="C17" i="36"/>
  <c r="C19" i="36" s="1"/>
  <c r="C20" i="36" s="1"/>
  <c r="D20" i="36" s="1"/>
  <c r="M11" i="36"/>
  <c r="E10" i="36"/>
  <c r="M10" i="36" s="1"/>
  <c r="B10" i="51"/>
  <c r="G4" i="58"/>
  <c r="J4" i="58"/>
  <c r="F4" i="58"/>
  <c r="E32" i="43"/>
  <c r="D3" i="57"/>
  <c r="C3" i="58"/>
  <c r="H4" i="57"/>
  <c r="I3" i="59"/>
  <c r="I3" i="56"/>
  <c r="F3" i="57"/>
  <c r="F3" i="56"/>
  <c r="J7" i="43"/>
  <c r="J9" i="43" s="1"/>
  <c r="G7" i="43"/>
  <c r="G9" i="43" s="1"/>
  <c r="D7" i="43"/>
  <c r="J31" i="58"/>
  <c r="J31" i="56"/>
  <c r="J31" i="59"/>
  <c r="J32" i="43"/>
  <c r="G31" i="58"/>
  <c r="G32" i="43"/>
  <c r="D31" i="58"/>
  <c r="D31" i="59"/>
  <c r="D31" i="57"/>
  <c r="D32" i="43"/>
  <c r="D34" i="43" s="1"/>
  <c r="F3" i="58"/>
  <c r="F7" i="58"/>
  <c r="C7" i="58"/>
  <c r="H7" i="59"/>
  <c r="J7" i="57"/>
  <c r="J8" i="57" s="1"/>
  <c r="G7" i="57"/>
  <c r="D31" i="56"/>
  <c r="I36" i="59"/>
  <c r="I11" i="59" s="1"/>
  <c r="F47" i="58"/>
  <c r="F22" i="58" s="1"/>
  <c r="I7" i="56"/>
  <c r="F7" i="56"/>
  <c r="H8" i="57"/>
  <c r="H9" i="57" s="1"/>
  <c r="H32" i="57" s="1"/>
  <c r="K6" i="57"/>
  <c r="I38" i="57"/>
  <c r="I13" i="57" s="1"/>
  <c r="F36" i="59"/>
  <c r="F11" i="59" s="1"/>
  <c r="D75" i="50"/>
  <c r="H45" i="43" s="1"/>
  <c r="H20" i="43" s="1"/>
  <c r="D71" i="50"/>
  <c r="H36" i="43" s="1"/>
  <c r="D73" i="50"/>
  <c r="H37" i="43" s="1"/>
  <c r="H12" i="43" s="1"/>
  <c r="D77" i="50"/>
  <c r="H38" i="43" s="1"/>
  <c r="H13" i="43" s="1"/>
  <c r="D78" i="50"/>
  <c r="H47" i="43" s="1"/>
  <c r="D72" i="50"/>
  <c r="H43" i="43" s="1"/>
  <c r="H43" i="57" s="1"/>
  <c r="D74" i="50"/>
  <c r="I45" i="59"/>
  <c r="I45" i="56"/>
  <c r="I20" i="56" s="1"/>
  <c r="D37" i="50"/>
  <c r="E44" i="43" s="1"/>
  <c r="D35" i="50"/>
  <c r="G4" i="56"/>
  <c r="D4" i="56"/>
  <c r="C3" i="56"/>
  <c r="E3" i="58"/>
  <c r="G4" i="59"/>
  <c r="C3" i="57"/>
  <c r="F31" i="58"/>
  <c r="F43" i="59"/>
  <c r="D11" i="50"/>
  <c r="C47" i="43" s="1"/>
  <c r="D5" i="50"/>
  <c r="C43" i="43" s="1"/>
  <c r="D10" i="50"/>
  <c r="C38" i="43" s="1"/>
  <c r="C38" i="56" s="1"/>
  <c r="C13" i="56" s="1"/>
  <c r="D4" i="50"/>
  <c r="C36" i="43" s="1"/>
  <c r="D8" i="50"/>
  <c r="C45" i="43" s="1"/>
  <c r="I7" i="43"/>
  <c r="I9" i="43" s="1"/>
  <c r="F7" i="43"/>
  <c r="F9" i="43" s="1"/>
  <c r="H31" i="57"/>
  <c r="H31" i="56"/>
  <c r="E31" i="57"/>
  <c r="E31" i="56"/>
  <c r="I32" i="43"/>
  <c r="F32" i="43"/>
  <c r="I4" i="56"/>
  <c r="F4" i="56"/>
  <c r="E3" i="56"/>
  <c r="G3" i="58"/>
  <c r="D3" i="58"/>
  <c r="I4" i="59"/>
  <c r="F4" i="59"/>
  <c r="H3" i="59"/>
  <c r="F31" i="56"/>
  <c r="E31" i="58"/>
  <c r="H31" i="59"/>
  <c r="J7" i="58"/>
  <c r="F7" i="59"/>
  <c r="I20" i="59"/>
  <c r="D9" i="50"/>
  <c r="C44" i="43" s="1"/>
  <c r="F13" i="57"/>
  <c r="H7" i="58"/>
  <c r="I7" i="57"/>
  <c r="I8" i="57" s="1"/>
  <c r="I9" i="57" s="1"/>
  <c r="I32" i="57" s="1"/>
  <c r="F7" i="57"/>
  <c r="D60" i="50"/>
  <c r="G37" i="43" s="1"/>
  <c r="D22" i="50"/>
  <c r="D45" i="43" s="1"/>
  <c r="D45" i="56" s="1"/>
  <c r="D25" i="50"/>
  <c r="D47" i="43" s="1"/>
  <c r="D24" i="50"/>
  <c r="D38" i="43" s="1"/>
  <c r="D104" i="50"/>
  <c r="J47" i="43" s="1"/>
  <c r="D98" i="50"/>
  <c r="J43" i="43" s="1"/>
  <c r="J43" i="59" s="1"/>
  <c r="I44" i="57"/>
  <c r="I19" i="57"/>
  <c r="I44" i="59"/>
  <c r="I19" i="59" s="1"/>
  <c r="I44" i="56"/>
  <c r="I19" i="56" s="1"/>
  <c r="I44" i="58"/>
  <c r="I19" i="58" s="1"/>
  <c r="J36" i="59"/>
  <c r="J11" i="59" s="1"/>
  <c r="C18" i="36"/>
  <c r="G37" i="56"/>
  <c r="G12" i="56" s="1"/>
  <c r="C36" i="57"/>
  <c r="C11" i="57" s="1"/>
  <c r="C36" i="59"/>
  <c r="C47" i="57"/>
  <c r="C22" i="57" s="1"/>
  <c r="E44" i="59"/>
  <c r="E44" i="57"/>
  <c r="E19" i="43"/>
  <c r="H36" i="57"/>
  <c r="H11" i="57" s="1"/>
  <c r="H36" i="59"/>
  <c r="H11" i="59" s="1"/>
  <c r="H36" i="58"/>
  <c r="H11" i="58"/>
  <c r="H36" i="56"/>
  <c r="H11" i="56" s="1"/>
  <c r="H11" i="43"/>
  <c r="G4" i="2"/>
  <c r="J47" i="56"/>
  <c r="J22" i="56" s="1"/>
  <c r="H38" i="57"/>
  <c r="H13" i="57" s="1"/>
  <c r="H45" i="58"/>
  <c r="H20" i="58" s="1"/>
  <c r="H45" i="57"/>
  <c r="H20" i="57" s="1"/>
  <c r="H45" i="59"/>
  <c r="H20" i="59"/>
  <c r="H45" i="56"/>
  <c r="H20" i="56" s="1"/>
  <c r="G8" i="57"/>
  <c r="D9" i="43"/>
  <c r="F8" i="57"/>
  <c r="F9" i="57" s="1"/>
  <c r="F32" i="57" s="1"/>
  <c r="C45" i="57"/>
  <c r="C20" i="57" s="1"/>
  <c r="C43" i="57"/>
  <c r="H43" i="58"/>
  <c r="H43" i="59"/>
  <c r="H43" i="56"/>
  <c r="H37" i="57"/>
  <c r="H12" i="57"/>
  <c r="H37" i="59"/>
  <c r="H12" i="59" s="1"/>
  <c r="H37" i="58"/>
  <c r="H12" i="58"/>
  <c r="H37" i="56"/>
  <c r="H12" i="56"/>
  <c r="C11" i="59"/>
  <c r="H28" i="51"/>
  <c r="D18" i="36" l="1"/>
  <c r="J17" i="36"/>
  <c r="J19" i="36" s="1"/>
  <c r="F10" i="43"/>
  <c r="F33" i="43"/>
  <c r="F33" i="56" s="1"/>
  <c r="F33" i="58" s="1"/>
  <c r="F33" i="59" s="1"/>
  <c r="F33" i="57" s="1"/>
  <c r="F23" i="53"/>
  <c r="G23" i="53" s="1"/>
  <c r="H23" i="53" s="1"/>
  <c r="I23" i="53" s="1"/>
  <c r="E33" i="43"/>
  <c r="F10" i="56"/>
  <c r="D10" i="43"/>
  <c r="H33" i="43"/>
  <c r="H33" i="56" s="1"/>
  <c r="F25" i="53"/>
  <c r="G25" i="53" s="1"/>
  <c r="H25" i="53" s="1"/>
  <c r="I25" i="53" s="1"/>
  <c r="J10" i="43"/>
  <c r="J33" i="43"/>
  <c r="J33" i="56" s="1"/>
  <c r="J33" i="58" s="1"/>
  <c r="J33" i="59" s="1"/>
  <c r="J33" i="57" s="1"/>
  <c r="F27" i="53"/>
  <c r="G27" i="53" s="1"/>
  <c r="H27" i="53" s="1"/>
  <c r="I27" i="53" s="1"/>
  <c r="G33" i="43"/>
  <c r="G33" i="56" s="1"/>
  <c r="G33" i="58" s="1"/>
  <c r="G33" i="59" s="1"/>
  <c r="G33" i="57" s="1"/>
  <c r="F24" i="53"/>
  <c r="G24" i="53" s="1"/>
  <c r="H24" i="53" s="1"/>
  <c r="I24" i="53" s="1"/>
  <c r="G34" i="43"/>
  <c r="H34" i="43"/>
  <c r="H40" i="43" s="1"/>
  <c r="I33" i="43"/>
  <c r="I33" i="56" s="1"/>
  <c r="F26" i="53"/>
  <c r="G26" i="53" s="1"/>
  <c r="H26" i="53" s="1"/>
  <c r="I26" i="53" s="1"/>
  <c r="J10" i="58"/>
  <c r="E8" i="57"/>
  <c r="E9" i="57"/>
  <c r="E32" i="57" s="1"/>
  <c r="E19" i="57"/>
  <c r="F22" i="43"/>
  <c r="F12" i="56"/>
  <c r="F20" i="43"/>
  <c r="F13" i="43"/>
  <c r="H47" i="58"/>
  <c r="H22" i="58" s="1"/>
  <c r="H47" i="57"/>
  <c r="H22" i="57" s="1"/>
  <c r="H47" i="59"/>
  <c r="H22" i="59" s="1"/>
  <c r="H47" i="56"/>
  <c r="H22" i="56" s="1"/>
  <c r="H22" i="43"/>
  <c r="J12" i="43"/>
  <c r="G19" i="2"/>
  <c r="F21" i="57"/>
  <c r="F46" i="57" s="1"/>
  <c r="I21" i="57"/>
  <c r="I46" i="57" s="1"/>
  <c r="D21" i="57"/>
  <c r="D46" i="57" s="1"/>
  <c r="G21" i="57"/>
  <c r="G46" i="57" s="1"/>
  <c r="H21" i="57"/>
  <c r="H46" i="57" s="1"/>
  <c r="C21" i="57"/>
  <c r="C46" i="57" s="1"/>
  <c r="E21" i="57"/>
  <c r="E46" i="57" s="1"/>
  <c r="J21" i="57"/>
  <c r="J46" i="57" s="1"/>
  <c r="J26" i="51"/>
  <c r="H14" i="57"/>
  <c r="J10" i="57"/>
  <c r="J10" i="59"/>
  <c r="G10" i="58"/>
  <c r="G10" i="56"/>
  <c r="J9" i="57"/>
  <c r="J32" i="57" s="1"/>
  <c r="J43" i="57"/>
  <c r="J36" i="57"/>
  <c r="J11" i="57" s="1"/>
  <c r="J36" i="56"/>
  <c r="J11" i="56" s="1"/>
  <c r="J36" i="58"/>
  <c r="J11" i="58" s="1"/>
  <c r="J4" i="56"/>
  <c r="J4" i="57"/>
  <c r="J3" i="56"/>
  <c r="J3" i="58"/>
  <c r="J3" i="57"/>
  <c r="H14" i="43"/>
  <c r="I13" i="56"/>
  <c r="D47" i="58"/>
  <c r="D22" i="58" s="1"/>
  <c r="D47" i="59"/>
  <c r="D22" i="59" s="1"/>
  <c r="D47" i="56"/>
  <c r="D47" i="57"/>
  <c r="D22" i="57" s="1"/>
  <c r="D22" i="43"/>
  <c r="F37" i="58"/>
  <c r="F12" i="58" s="1"/>
  <c r="F37" i="57"/>
  <c r="F12" i="57" s="1"/>
  <c r="F12" i="43"/>
  <c r="F37" i="59"/>
  <c r="F12" i="59" s="1"/>
  <c r="I47" i="57"/>
  <c r="I22" i="57" s="1"/>
  <c r="I22" i="43"/>
  <c r="I47" i="59"/>
  <c r="I22" i="59" s="1"/>
  <c r="I47" i="58"/>
  <c r="I22" i="58" s="1"/>
  <c r="D63" i="50"/>
  <c r="G44" i="43" s="1"/>
  <c r="D58" i="50"/>
  <c r="G36" i="43" s="1"/>
  <c r="D65" i="50"/>
  <c r="G47" i="43" s="1"/>
  <c r="D59" i="50"/>
  <c r="G43" i="43" s="1"/>
  <c r="D64" i="50"/>
  <c r="G38" i="43" s="1"/>
  <c r="D62" i="50"/>
  <c r="G45" i="43" s="1"/>
  <c r="D23" i="50"/>
  <c r="D44" i="43" s="1"/>
  <c r="D19" i="50"/>
  <c r="D43" i="43" s="1"/>
  <c r="D21" i="50"/>
  <c r="D20" i="50"/>
  <c r="D37" i="43" s="1"/>
  <c r="D18" i="50"/>
  <c r="D36" i="43" s="1"/>
  <c r="J43" i="58"/>
  <c r="J43" i="56"/>
  <c r="G37" i="59"/>
  <c r="G12" i="59" s="1"/>
  <c r="G37" i="58"/>
  <c r="G12" i="58" s="1"/>
  <c r="G12" i="43"/>
  <c r="I43" i="59"/>
  <c r="I43" i="56"/>
  <c r="I43" i="57"/>
  <c r="I12" i="43"/>
  <c r="I37" i="56"/>
  <c r="I12" i="56" s="1"/>
  <c r="I37" i="57"/>
  <c r="I12" i="57" s="1"/>
  <c r="I37" i="59"/>
  <c r="I12" i="59" s="1"/>
  <c r="I37" i="58"/>
  <c r="I12" i="58" s="1"/>
  <c r="H44" i="57"/>
  <c r="H44" i="58"/>
  <c r="H19" i="58" s="1"/>
  <c r="H44" i="56"/>
  <c r="H19" i="56" s="1"/>
  <c r="H44" i="59"/>
  <c r="H19" i="59" s="1"/>
  <c r="G37" i="57"/>
  <c r="G12" i="57" s="1"/>
  <c r="J37" i="59"/>
  <c r="J12" i="59" s="1"/>
  <c r="J37" i="58"/>
  <c r="J12" i="58" s="1"/>
  <c r="J37" i="56"/>
  <c r="J12" i="56" s="1"/>
  <c r="J37" i="57"/>
  <c r="J47" i="57"/>
  <c r="J22" i="57" s="1"/>
  <c r="J47" i="59"/>
  <c r="J22" i="59" s="1"/>
  <c r="J47" i="58"/>
  <c r="J22" i="58" s="1"/>
  <c r="J22" i="43"/>
  <c r="H38" i="59"/>
  <c r="H13" i="59" s="1"/>
  <c r="H14" i="59" s="1"/>
  <c r="H38" i="56"/>
  <c r="H13" i="56" s="1"/>
  <c r="H14" i="56" s="1"/>
  <c r="H38" i="58"/>
  <c r="H13" i="58" s="1"/>
  <c r="H14" i="58" s="1"/>
  <c r="H19" i="43"/>
  <c r="G9" i="57"/>
  <c r="F11" i="43"/>
  <c r="F14" i="43" s="1"/>
  <c r="F15" i="43" s="1"/>
  <c r="F16" i="43" s="1"/>
  <c r="F36" i="58"/>
  <c r="F11" i="58" s="1"/>
  <c r="F36" i="57"/>
  <c r="F11" i="57" s="1"/>
  <c r="F14" i="57" s="1"/>
  <c r="F36" i="56"/>
  <c r="F11" i="56" s="1"/>
  <c r="I36" i="58"/>
  <c r="I11" i="58" s="1"/>
  <c r="I11" i="43"/>
  <c r="I36" i="57"/>
  <c r="I11" i="57" s="1"/>
  <c r="I14" i="57" s="1"/>
  <c r="I36" i="56"/>
  <c r="I11" i="56" s="1"/>
  <c r="I45" i="58"/>
  <c r="I20" i="58" s="1"/>
  <c r="I45" i="57"/>
  <c r="I20" i="57" s="1"/>
  <c r="I20" i="43"/>
  <c r="H4" i="59"/>
  <c r="H4" i="56"/>
  <c r="H4" i="58"/>
  <c r="H3" i="57"/>
  <c r="H3" i="58"/>
  <c r="H3" i="56"/>
  <c r="E3" i="57"/>
  <c r="E3" i="59"/>
  <c r="G31" i="57"/>
  <c r="G31" i="56"/>
  <c r="G31" i="59"/>
  <c r="I38" i="58"/>
  <c r="I13" i="58" s="1"/>
  <c r="I38" i="59"/>
  <c r="I13" i="59" s="1"/>
  <c r="F43" i="57"/>
  <c r="F43" i="58"/>
  <c r="F43" i="56"/>
  <c r="F45" i="59"/>
  <c r="F20" i="59" s="1"/>
  <c r="F45" i="56"/>
  <c r="F20" i="56" s="1"/>
  <c r="F45" i="58"/>
  <c r="F20" i="58" s="1"/>
  <c r="F45" i="57"/>
  <c r="F20" i="57" s="1"/>
  <c r="F47" i="57"/>
  <c r="F22" i="57" s="1"/>
  <c r="F47" i="59"/>
  <c r="F22" i="59" s="1"/>
  <c r="F47" i="56"/>
  <c r="F22" i="56" s="1"/>
  <c r="E4" i="58"/>
  <c r="E4" i="59"/>
  <c r="E4" i="57"/>
  <c r="E4" i="56"/>
  <c r="I31" i="59"/>
  <c r="I31" i="57"/>
  <c r="I31" i="58"/>
  <c r="F38" i="59"/>
  <c r="F13" i="59" s="1"/>
  <c r="F38" i="56"/>
  <c r="F13" i="56" s="1"/>
  <c r="F38" i="58"/>
  <c r="F13" i="58" s="1"/>
  <c r="F44" i="58"/>
  <c r="F19" i="58" s="1"/>
  <c r="F44" i="56"/>
  <c r="F19" i="56" s="1"/>
  <c r="F19" i="43"/>
  <c r="F44" i="57"/>
  <c r="F19" i="57" s="1"/>
  <c r="D101" i="50"/>
  <c r="J45" i="43" s="1"/>
  <c r="D103" i="50"/>
  <c r="J38" i="43" s="1"/>
  <c r="D102" i="50"/>
  <c r="J44" i="43" s="1"/>
  <c r="D33" i="50"/>
  <c r="E43" i="43" s="1"/>
  <c r="E43" i="56" s="1"/>
  <c r="D38" i="50"/>
  <c r="E38" i="43" s="1"/>
  <c r="D36" i="50"/>
  <c r="E45" i="43" s="1"/>
  <c r="D34" i="50"/>
  <c r="E37" i="43" s="1"/>
  <c r="E37" i="59" s="1"/>
  <c r="E12" i="59" s="1"/>
  <c r="D39" i="50"/>
  <c r="E47" i="43" s="1"/>
  <c r="D32" i="50"/>
  <c r="E36" i="43" s="1"/>
  <c r="H31" i="58"/>
  <c r="C33" i="43"/>
  <c r="D10" i="58"/>
  <c r="N9" i="55"/>
  <c r="O9" i="55" s="1"/>
  <c r="O8" i="55"/>
  <c r="O7" i="55"/>
  <c r="C8" i="59"/>
  <c r="C9" i="59" s="1"/>
  <c r="K18" i="57"/>
  <c r="G16" i="2" s="1"/>
  <c r="E26" i="51"/>
  <c r="K18" i="56"/>
  <c r="D61" i="2" s="1"/>
  <c r="K18" i="43"/>
  <c r="K18" i="58"/>
  <c r="K18" i="59"/>
  <c r="F16" i="2" s="1"/>
  <c r="C57" i="2"/>
  <c r="C58" i="2"/>
  <c r="D113" i="50"/>
  <c r="D112" i="50"/>
  <c r="D111" i="50"/>
  <c r="D116" i="50"/>
  <c r="D110" i="50"/>
  <c r="D117" i="50"/>
  <c r="D115" i="50"/>
  <c r="L15" i="55"/>
  <c r="D7" i="56"/>
  <c r="D10" i="56"/>
  <c r="D20" i="56"/>
  <c r="D22" i="56"/>
  <c r="K6" i="56"/>
  <c r="K6" i="58"/>
  <c r="K6" i="59"/>
  <c r="E7" i="59"/>
  <c r="E19" i="59"/>
  <c r="D8" i="57"/>
  <c r="D9" i="57" s="1"/>
  <c r="D38" i="58"/>
  <c r="D13" i="58" s="1"/>
  <c r="D38" i="57"/>
  <c r="D13" i="57" s="1"/>
  <c r="D13" i="43"/>
  <c r="D38" i="59"/>
  <c r="D13" i="59" s="1"/>
  <c r="D45" i="58"/>
  <c r="D20" i="58" s="1"/>
  <c r="D20" i="43"/>
  <c r="D45" i="59"/>
  <c r="D20" i="59" s="1"/>
  <c r="D38" i="56"/>
  <c r="D13" i="56" s="1"/>
  <c r="D45" i="57"/>
  <c r="D20" i="57" s="1"/>
  <c r="E7" i="58"/>
  <c r="E37" i="57"/>
  <c r="E12" i="57" s="1"/>
  <c r="E37" i="58"/>
  <c r="E12" i="58" s="1"/>
  <c r="E37" i="56"/>
  <c r="E12" i="56" s="1"/>
  <c r="E12" i="43"/>
  <c r="E43" i="58"/>
  <c r="E43" i="57"/>
  <c r="E43" i="59"/>
  <c r="D36" i="59"/>
  <c r="D37" i="58"/>
  <c r="D12" i="43"/>
  <c r="E44" i="58"/>
  <c r="E19" i="58" s="1"/>
  <c r="E44" i="56"/>
  <c r="E19" i="56" s="1"/>
  <c r="E36" i="59"/>
  <c r="E11" i="59" s="1"/>
  <c r="E36" i="58"/>
  <c r="E11" i="58" s="1"/>
  <c r="E8" i="56"/>
  <c r="E9" i="56" s="1"/>
  <c r="D44" i="58"/>
  <c r="D19" i="58" s="1"/>
  <c r="D44" i="59"/>
  <c r="D19" i="59" s="1"/>
  <c r="D44" i="56"/>
  <c r="D19" i="56" s="1"/>
  <c r="E20" i="43"/>
  <c r="E45" i="56"/>
  <c r="E20" i="56" s="1"/>
  <c r="D4" i="57"/>
  <c r="D4" i="58"/>
  <c r="D4" i="59"/>
  <c r="E22" i="43"/>
  <c r="C44" i="59"/>
  <c r="C19" i="59" s="1"/>
  <c r="C19" i="43"/>
  <c r="C44" i="58"/>
  <c r="C19" i="58" s="1"/>
  <c r="C44" i="56"/>
  <c r="C19" i="56" s="1"/>
  <c r="C47" i="56"/>
  <c r="C22" i="56" s="1"/>
  <c r="C22" i="43"/>
  <c r="C47" i="58"/>
  <c r="C22" i="58" s="1"/>
  <c r="C31" i="58"/>
  <c r="C31" i="56"/>
  <c r="C32" i="43"/>
  <c r="C31" i="57"/>
  <c r="C36" i="58"/>
  <c r="C11" i="58" s="1"/>
  <c r="C36" i="56"/>
  <c r="C11" i="56" s="1"/>
  <c r="C11" i="43"/>
  <c r="C43" i="56"/>
  <c r="C43" i="59"/>
  <c r="C43" i="58"/>
  <c r="K7" i="57"/>
  <c r="G5" i="2" s="1"/>
  <c r="H6" i="36" s="1"/>
  <c r="H5" i="36" s="1"/>
  <c r="H17" i="36" s="1"/>
  <c r="H19" i="36" s="1"/>
  <c r="C8" i="57"/>
  <c r="C4" i="57"/>
  <c r="C4" i="58"/>
  <c r="C4" i="56"/>
  <c r="C13" i="43"/>
  <c r="C38" i="59"/>
  <c r="C13" i="59" s="1"/>
  <c r="C38" i="58"/>
  <c r="C13" i="58" s="1"/>
  <c r="C44" i="57"/>
  <c r="C19" i="57" s="1"/>
  <c r="C38" i="57"/>
  <c r="C13" i="57" s="1"/>
  <c r="C47" i="59"/>
  <c r="C22" i="59" s="1"/>
  <c r="C20" i="43"/>
  <c r="C45" i="59"/>
  <c r="C20" i="59" s="1"/>
  <c r="C45" i="56"/>
  <c r="C20" i="56" s="1"/>
  <c r="C45" i="58"/>
  <c r="C20" i="58" s="1"/>
  <c r="K7" i="43"/>
  <c r="C5" i="2" s="1"/>
  <c r="F6" i="36" s="1"/>
  <c r="F5" i="36" s="1"/>
  <c r="F17" i="36" s="1"/>
  <c r="F19" i="36" s="1"/>
  <c r="C9" i="43"/>
  <c r="C12" i="43"/>
  <c r="C37" i="58"/>
  <c r="C12" i="58" s="1"/>
  <c r="C37" i="56"/>
  <c r="C12" i="56" s="1"/>
  <c r="C37" i="59"/>
  <c r="C12" i="59" s="1"/>
  <c r="E5" i="36"/>
  <c r="M6" i="36"/>
  <c r="E33" i="56" l="1"/>
  <c r="E10" i="43"/>
  <c r="C10" i="43"/>
  <c r="C33" i="56"/>
  <c r="C33" i="58" s="1"/>
  <c r="C33" i="59" s="1"/>
  <c r="C33" i="57" s="1"/>
  <c r="F34" i="43"/>
  <c r="F40" i="43" s="1"/>
  <c r="E34" i="43"/>
  <c r="I33" i="58"/>
  <c r="I10" i="56"/>
  <c r="I34" i="43"/>
  <c r="I40" i="43" s="1"/>
  <c r="J34" i="43"/>
  <c r="J40" i="43" s="1"/>
  <c r="H33" i="58"/>
  <c r="H10" i="56"/>
  <c r="J34" i="57"/>
  <c r="I10" i="43"/>
  <c r="G10" i="43"/>
  <c r="J10" i="56"/>
  <c r="H10" i="43"/>
  <c r="H15" i="43" s="1"/>
  <c r="H16" i="43" s="1"/>
  <c r="I14" i="59"/>
  <c r="F14" i="59"/>
  <c r="G10" i="59"/>
  <c r="G10" i="57"/>
  <c r="F10" i="58"/>
  <c r="I14" i="43"/>
  <c r="I15" i="43" s="1"/>
  <c r="I16" i="43" s="1"/>
  <c r="F14" i="56"/>
  <c r="E38" i="58"/>
  <c r="E13" i="58" s="1"/>
  <c r="E14" i="58" s="1"/>
  <c r="E38" i="57"/>
  <c r="E13" i="57" s="1"/>
  <c r="E38" i="56"/>
  <c r="E13" i="56" s="1"/>
  <c r="E38" i="59"/>
  <c r="E13" i="59" s="1"/>
  <c r="E14" i="59" s="1"/>
  <c r="D36" i="58"/>
  <c r="D11" i="58" s="1"/>
  <c r="D11" i="43"/>
  <c r="D36" i="56"/>
  <c r="D11" i="56" s="1"/>
  <c r="G38" i="57"/>
  <c r="G13" i="57" s="1"/>
  <c r="G38" i="56"/>
  <c r="G13" i="56" s="1"/>
  <c r="G38" i="58"/>
  <c r="G13" i="58" s="1"/>
  <c r="G13" i="43"/>
  <c r="G38" i="59"/>
  <c r="G13" i="59" s="1"/>
  <c r="D14" i="43"/>
  <c r="D15" i="43" s="1"/>
  <c r="D36" i="57"/>
  <c r="D11" i="57" s="1"/>
  <c r="J45" i="56"/>
  <c r="J20" i="56" s="1"/>
  <c r="J20" i="43"/>
  <c r="J45" i="59"/>
  <c r="J20" i="59" s="1"/>
  <c r="J45" i="57"/>
  <c r="J20" i="57" s="1"/>
  <c r="J45" i="58"/>
  <c r="J20" i="58" s="1"/>
  <c r="G32" i="57"/>
  <c r="D37" i="56"/>
  <c r="D12" i="56" s="1"/>
  <c r="K12" i="56" s="1"/>
  <c r="D10" i="2" s="1"/>
  <c r="D37" i="59"/>
  <c r="D12" i="59" s="1"/>
  <c r="K12" i="59" s="1"/>
  <c r="F10" i="2" s="1"/>
  <c r="F36" i="2" s="1"/>
  <c r="D37" i="57"/>
  <c r="D12" i="57" s="1"/>
  <c r="D19" i="43"/>
  <c r="D44" i="57"/>
  <c r="D19" i="57" s="1"/>
  <c r="G43" i="57"/>
  <c r="G43" i="59"/>
  <c r="G43" i="58"/>
  <c r="G43" i="56"/>
  <c r="G44" i="56"/>
  <c r="G19" i="56" s="1"/>
  <c r="G44" i="59"/>
  <c r="G19" i="59" s="1"/>
  <c r="G44" i="57"/>
  <c r="G19" i="57" s="1"/>
  <c r="G19" i="43"/>
  <c r="G44" i="58"/>
  <c r="G19" i="58" s="1"/>
  <c r="E47" i="58"/>
  <c r="E22" i="58" s="1"/>
  <c r="E47" i="59"/>
  <c r="E22" i="59" s="1"/>
  <c r="E47" i="57"/>
  <c r="E22" i="57" s="1"/>
  <c r="E47" i="56"/>
  <c r="E22" i="56" s="1"/>
  <c r="J38" i="57"/>
  <c r="J13" i="57" s="1"/>
  <c r="J13" i="43"/>
  <c r="J14" i="43" s="1"/>
  <c r="J15" i="43" s="1"/>
  <c r="J16" i="43" s="1"/>
  <c r="J38" i="58"/>
  <c r="J13" i="58" s="1"/>
  <c r="J14" i="58" s="1"/>
  <c r="J38" i="56"/>
  <c r="J13" i="56" s="1"/>
  <c r="K13" i="56" s="1"/>
  <c r="D11" i="2" s="1"/>
  <c r="J38" i="59"/>
  <c r="J13" i="59" s="1"/>
  <c r="J14" i="59" s="1"/>
  <c r="D43" i="57"/>
  <c r="D43" i="56"/>
  <c r="D43" i="59"/>
  <c r="D43" i="58"/>
  <c r="G36" i="57"/>
  <c r="G11" i="57" s="1"/>
  <c r="G14" i="57" s="1"/>
  <c r="G36" i="58"/>
  <c r="G11" i="58" s="1"/>
  <c r="G36" i="56"/>
  <c r="G11" i="56" s="1"/>
  <c r="G11" i="43"/>
  <c r="G14" i="43" s="1"/>
  <c r="G15" i="43" s="1"/>
  <c r="G16" i="43" s="1"/>
  <c r="G36" i="59"/>
  <c r="G11" i="59" s="1"/>
  <c r="K12" i="43"/>
  <c r="C10" i="2" s="1"/>
  <c r="C36" i="2" s="1"/>
  <c r="E13" i="43"/>
  <c r="K13" i="43" s="1"/>
  <c r="C11" i="2" s="1"/>
  <c r="C37" i="2" s="1"/>
  <c r="D40" i="43"/>
  <c r="E40" i="43"/>
  <c r="E36" i="56"/>
  <c r="E11" i="56" s="1"/>
  <c r="E14" i="56" s="1"/>
  <c r="E36" i="57"/>
  <c r="E11" i="57" s="1"/>
  <c r="E11" i="43"/>
  <c r="K11" i="43" s="1"/>
  <c r="C9" i="2" s="1"/>
  <c r="E45" i="57"/>
  <c r="E20" i="57" s="1"/>
  <c r="E45" i="59"/>
  <c r="E20" i="59" s="1"/>
  <c r="E45" i="58"/>
  <c r="E20" i="58" s="1"/>
  <c r="J19" i="43"/>
  <c r="J44" i="59"/>
  <c r="J19" i="59" s="1"/>
  <c r="K19" i="59" s="1"/>
  <c r="F17" i="2" s="1"/>
  <c r="J44" i="58"/>
  <c r="J19" i="58" s="1"/>
  <c r="K19" i="58" s="1"/>
  <c r="E17" i="2" s="1"/>
  <c r="J44" i="56"/>
  <c r="J19" i="56" s="1"/>
  <c r="J44" i="57"/>
  <c r="J19" i="57" s="1"/>
  <c r="I14" i="56"/>
  <c r="I14" i="58"/>
  <c r="F14" i="58"/>
  <c r="J12" i="57"/>
  <c r="H19" i="57"/>
  <c r="G45" i="58"/>
  <c r="G20" i="58" s="1"/>
  <c r="G20" i="43"/>
  <c r="K20" i="43" s="1"/>
  <c r="C18" i="2" s="1"/>
  <c r="G45" i="57"/>
  <c r="G20" i="57" s="1"/>
  <c r="G45" i="56"/>
  <c r="G20" i="56" s="1"/>
  <c r="G45" i="59"/>
  <c r="G20" i="59" s="1"/>
  <c r="G47" i="59"/>
  <c r="G22" i="59" s="1"/>
  <c r="G47" i="58"/>
  <c r="G22" i="58" s="1"/>
  <c r="G47" i="56"/>
  <c r="G22" i="56" s="1"/>
  <c r="K22" i="56" s="1"/>
  <c r="G22" i="43"/>
  <c r="G47" i="57"/>
  <c r="G22" i="57" s="1"/>
  <c r="G40" i="43"/>
  <c r="C34" i="43"/>
  <c r="C40" i="43" s="1"/>
  <c r="C22" i="55"/>
  <c r="C18" i="55"/>
  <c r="C19" i="55" s="1"/>
  <c r="D10" i="57"/>
  <c r="D10" i="59"/>
  <c r="H8" i="56"/>
  <c r="H9" i="56" s="1"/>
  <c r="J8" i="56"/>
  <c r="J9" i="56" s="1"/>
  <c r="G8" i="56"/>
  <c r="G9" i="56" s="1"/>
  <c r="I8" i="56"/>
  <c r="I9" i="56" s="1"/>
  <c r="F8" i="56"/>
  <c r="F9" i="56" s="1"/>
  <c r="C8" i="56"/>
  <c r="C9" i="56" s="1"/>
  <c r="C32" i="56" s="1"/>
  <c r="G8" i="58"/>
  <c r="G9" i="58" s="1"/>
  <c r="D8" i="58"/>
  <c r="D9" i="58" s="1"/>
  <c r="D32" i="58" s="1"/>
  <c r="D34" i="58" s="1"/>
  <c r="D40" i="58" s="1"/>
  <c r="I8" i="58"/>
  <c r="I9" i="58" s="1"/>
  <c r="H8" i="58"/>
  <c r="H9" i="58" s="1"/>
  <c r="C8" i="58"/>
  <c r="C9" i="58" s="1"/>
  <c r="C32" i="58" s="1"/>
  <c r="F8" i="58"/>
  <c r="F9" i="58" s="1"/>
  <c r="J8" i="58"/>
  <c r="J9" i="58" s="1"/>
  <c r="J8" i="59"/>
  <c r="J9" i="59" s="1"/>
  <c r="G8" i="59"/>
  <c r="G9" i="59" s="1"/>
  <c r="F8" i="59"/>
  <c r="F9" i="59" s="1"/>
  <c r="I8" i="59"/>
  <c r="I9" i="59" s="1"/>
  <c r="H8" i="59"/>
  <c r="H9" i="59" s="1"/>
  <c r="D8" i="59"/>
  <c r="D9" i="59" s="1"/>
  <c r="D32" i="59" s="1"/>
  <c r="D34" i="59" s="1"/>
  <c r="D40" i="59" s="1"/>
  <c r="K21" i="43"/>
  <c r="H18" i="43"/>
  <c r="H17" i="43" s="1"/>
  <c r="D18" i="43"/>
  <c r="D17" i="43" s="1"/>
  <c r="G18" i="43"/>
  <c r="G17" i="43" s="1"/>
  <c r="C61" i="2"/>
  <c r="E18" i="43"/>
  <c r="E17" i="43" s="1"/>
  <c r="F18" i="43"/>
  <c r="F17" i="43" s="1"/>
  <c r="C18" i="43"/>
  <c r="C17" i="43" s="1"/>
  <c r="J18" i="43"/>
  <c r="J17" i="43" s="1"/>
  <c r="I18" i="43"/>
  <c r="I17" i="43" s="1"/>
  <c r="F26" i="51"/>
  <c r="E28" i="51"/>
  <c r="C56" i="2"/>
  <c r="D28" i="51"/>
  <c r="J18" i="57"/>
  <c r="J17" i="57" s="1"/>
  <c r="J23" i="57" s="1"/>
  <c r="H18" i="57"/>
  <c r="H17" i="57" s="1"/>
  <c r="E18" i="57"/>
  <c r="E17" i="57" s="1"/>
  <c r="F18" i="57"/>
  <c r="F17" i="57" s="1"/>
  <c r="F23" i="57" s="1"/>
  <c r="I18" i="57"/>
  <c r="I17" i="57" s="1"/>
  <c r="I23" i="57" s="1"/>
  <c r="D18" i="57"/>
  <c r="G61" i="2"/>
  <c r="C18" i="57"/>
  <c r="C17" i="57" s="1"/>
  <c r="G18" i="57"/>
  <c r="G17" i="57" s="1"/>
  <c r="G23" i="57" s="1"/>
  <c r="D16" i="43"/>
  <c r="D32" i="57"/>
  <c r="D11" i="59"/>
  <c r="K7" i="58"/>
  <c r="E5" i="2" s="1"/>
  <c r="E8" i="58"/>
  <c r="K7" i="59"/>
  <c r="F5" i="2" s="1"/>
  <c r="E8" i="59"/>
  <c r="F18" i="58"/>
  <c r="F17" i="58" s="1"/>
  <c r="G18" i="58"/>
  <c r="G17" i="58" s="1"/>
  <c r="E18" i="58"/>
  <c r="E17" i="58" s="1"/>
  <c r="E4" i="2"/>
  <c r="H18" i="58"/>
  <c r="H17" i="58" s="1"/>
  <c r="I18" i="58"/>
  <c r="I17" i="58" s="1"/>
  <c r="C18" i="58"/>
  <c r="C17" i="58" s="1"/>
  <c r="D18" i="58"/>
  <c r="D17" i="58" s="1"/>
  <c r="J18" i="58"/>
  <c r="J17" i="58" s="1"/>
  <c r="K7" i="56"/>
  <c r="D5" i="2" s="1"/>
  <c r="G6" i="36" s="1"/>
  <c r="G5" i="36" s="1"/>
  <c r="G17" i="36" s="1"/>
  <c r="G19" i="36" s="1"/>
  <c r="D8" i="56"/>
  <c r="E32" i="56"/>
  <c r="E34" i="56" s="1"/>
  <c r="E40" i="56" s="1"/>
  <c r="F4" i="2"/>
  <c r="H18" i="59"/>
  <c r="H17" i="59" s="1"/>
  <c r="I18" i="59"/>
  <c r="I17" i="59" s="1"/>
  <c r="D18" i="59"/>
  <c r="D17" i="59" s="1"/>
  <c r="E18" i="59"/>
  <c r="E17" i="59" s="1"/>
  <c r="G18" i="59"/>
  <c r="C18" i="59"/>
  <c r="C17" i="59" s="1"/>
  <c r="J18" i="59"/>
  <c r="J17" i="59" s="1"/>
  <c r="F18" i="59"/>
  <c r="F17" i="59" s="1"/>
  <c r="G18" i="56"/>
  <c r="G17" i="56" s="1"/>
  <c r="F18" i="56"/>
  <c r="F17" i="56" s="1"/>
  <c r="D18" i="56"/>
  <c r="D17" i="56" s="1"/>
  <c r="I18" i="56"/>
  <c r="I17" i="56" s="1"/>
  <c r="H18" i="56"/>
  <c r="H17" i="56" s="1"/>
  <c r="C18" i="56"/>
  <c r="C17" i="56" s="1"/>
  <c r="D4" i="2"/>
  <c r="H4" i="2" s="1"/>
  <c r="E18" i="56"/>
  <c r="E17" i="56" s="1"/>
  <c r="J18" i="56"/>
  <c r="J17" i="56" s="1"/>
  <c r="D12" i="58"/>
  <c r="D14" i="58" s="1"/>
  <c r="C14" i="57"/>
  <c r="C7" i="2"/>
  <c r="C30" i="2" s="1"/>
  <c r="K9" i="43"/>
  <c r="K11" i="58"/>
  <c r="E9" i="2" s="1"/>
  <c r="E35" i="2" s="1"/>
  <c r="C14" i="58"/>
  <c r="C32" i="59"/>
  <c r="C14" i="43"/>
  <c r="K22" i="58"/>
  <c r="C14" i="59"/>
  <c r="C23" i="57"/>
  <c r="K8" i="57"/>
  <c r="G6" i="2" s="1"/>
  <c r="C9" i="57"/>
  <c r="C14" i="56"/>
  <c r="K22" i="43"/>
  <c r="E17" i="36"/>
  <c r="M5" i="36"/>
  <c r="E14" i="57" l="1"/>
  <c r="E33" i="58"/>
  <c r="E10" i="56"/>
  <c r="E15" i="56" s="1"/>
  <c r="E16" i="56" s="1"/>
  <c r="H33" i="59"/>
  <c r="H10" i="58"/>
  <c r="H15" i="58" s="1"/>
  <c r="H16" i="58" s="1"/>
  <c r="K10" i="43"/>
  <c r="C8" i="2" s="1"/>
  <c r="C31" i="2" s="1"/>
  <c r="C32" i="2" s="1"/>
  <c r="C33" i="2" s="1"/>
  <c r="I33" i="59"/>
  <c r="I10" i="58"/>
  <c r="I15" i="58" s="1"/>
  <c r="I16" i="58" s="1"/>
  <c r="E23" i="57"/>
  <c r="K13" i="57"/>
  <c r="G11" i="2" s="1"/>
  <c r="G37" i="2" s="1"/>
  <c r="K19" i="57"/>
  <c r="G14" i="56"/>
  <c r="G14" i="59"/>
  <c r="G34" i="57"/>
  <c r="G40" i="57" s="1"/>
  <c r="G48" i="57" s="1"/>
  <c r="G15" i="57"/>
  <c r="G16" i="57" s="1"/>
  <c r="F10" i="59"/>
  <c r="F15" i="59" s="1"/>
  <c r="F16" i="59" s="1"/>
  <c r="D34" i="57"/>
  <c r="D40" i="57" s="1"/>
  <c r="D48" i="57" s="1"/>
  <c r="D15" i="58"/>
  <c r="K20" i="56"/>
  <c r="D18" i="2" s="1"/>
  <c r="K8" i="56"/>
  <c r="D6" i="2" s="1"/>
  <c r="H5" i="2"/>
  <c r="L6" i="36" s="1"/>
  <c r="L5" i="36" s="1"/>
  <c r="L17" i="36" s="1"/>
  <c r="L19" i="36" s="1"/>
  <c r="J14" i="57"/>
  <c r="J15" i="57" s="1"/>
  <c r="J16" i="57" s="1"/>
  <c r="K13" i="58"/>
  <c r="E11" i="2" s="1"/>
  <c r="E37" i="2" s="1"/>
  <c r="K20" i="57"/>
  <c r="G18" i="2" s="1"/>
  <c r="G44" i="2" s="1"/>
  <c r="K22" i="59"/>
  <c r="D14" i="56"/>
  <c r="K20" i="58"/>
  <c r="E18" i="2" s="1"/>
  <c r="K19" i="56"/>
  <c r="D17" i="2" s="1"/>
  <c r="D43" i="2" s="1"/>
  <c r="K19" i="43"/>
  <c r="C17" i="2" s="1"/>
  <c r="C43" i="2" s="1"/>
  <c r="K20" i="59"/>
  <c r="F18" i="2" s="1"/>
  <c r="K13" i="59"/>
  <c r="F11" i="2" s="1"/>
  <c r="F37" i="2" s="1"/>
  <c r="C44" i="2"/>
  <c r="E14" i="43"/>
  <c r="E15" i="43" s="1"/>
  <c r="E16" i="43" s="1"/>
  <c r="D14" i="57"/>
  <c r="D15" i="57" s="1"/>
  <c r="D16" i="57" s="1"/>
  <c r="K11" i="57"/>
  <c r="G9" i="2" s="1"/>
  <c r="G35" i="2" s="1"/>
  <c r="J14" i="56"/>
  <c r="K11" i="56"/>
  <c r="D9" i="2" s="1"/>
  <c r="D35" i="2" s="1"/>
  <c r="G17" i="59"/>
  <c r="K17" i="59" s="1"/>
  <c r="F15" i="2" s="1"/>
  <c r="K8" i="58"/>
  <c r="E6" i="2" s="1"/>
  <c r="D17" i="57"/>
  <c r="D23" i="57" s="1"/>
  <c r="G14" i="58"/>
  <c r="G15" i="58" s="1"/>
  <c r="G16" i="58" s="1"/>
  <c r="K12" i="57"/>
  <c r="G10" i="2" s="1"/>
  <c r="G36" i="2" s="1"/>
  <c r="K8" i="59"/>
  <c r="F6" i="2" s="1"/>
  <c r="H23" i="57"/>
  <c r="J40" i="57"/>
  <c r="J48" i="57" s="1"/>
  <c r="K22" i="57"/>
  <c r="G20" i="2" s="1"/>
  <c r="C10" i="56"/>
  <c r="K10" i="56" s="1"/>
  <c r="D8" i="2" s="1"/>
  <c r="D31" i="2" s="1"/>
  <c r="C34" i="56"/>
  <c r="C40" i="56" s="1"/>
  <c r="H32" i="59"/>
  <c r="H34" i="59" s="1"/>
  <c r="H40" i="59" s="1"/>
  <c r="G32" i="59"/>
  <c r="G34" i="59" s="1"/>
  <c r="G40" i="59" s="1"/>
  <c r="G15" i="59"/>
  <c r="G16" i="59" s="1"/>
  <c r="F32" i="58"/>
  <c r="F34" i="58" s="1"/>
  <c r="F40" i="58" s="1"/>
  <c r="F15" i="58"/>
  <c r="F16" i="58" s="1"/>
  <c r="I32" i="58"/>
  <c r="I34" i="58" s="1"/>
  <c r="I40" i="58" s="1"/>
  <c r="G32" i="56"/>
  <c r="G34" i="56" s="1"/>
  <c r="G40" i="56" s="1"/>
  <c r="I32" i="59"/>
  <c r="J32" i="59"/>
  <c r="J34" i="59" s="1"/>
  <c r="J40" i="59" s="1"/>
  <c r="J15" i="59"/>
  <c r="J16" i="59" s="1"/>
  <c r="F32" i="56"/>
  <c r="F34" i="56" s="1"/>
  <c r="F40" i="56" s="1"/>
  <c r="F15" i="56"/>
  <c r="F16" i="56" s="1"/>
  <c r="J15" i="56"/>
  <c r="J16" i="56" s="1"/>
  <c r="J32" i="56"/>
  <c r="J34" i="56" s="1"/>
  <c r="J40" i="56" s="1"/>
  <c r="F32" i="59"/>
  <c r="F34" i="59" s="1"/>
  <c r="F40" i="59" s="1"/>
  <c r="J15" i="58"/>
  <c r="J16" i="58" s="1"/>
  <c r="J32" i="58"/>
  <c r="J34" i="58" s="1"/>
  <c r="J40" i="58" s="1"/>
  <c r="H32" i="58"/>
  <c r="H34" i="58" s="1"/>
  <c r="H40" i="58" s="1"/>
  <c r="G32" i="58"/>
  <c r="G34" i="58" s="1"/>
  <c r="G40" i="58" s="1"/>
  <c r="I32" i="56"/>
  <c r="I34" i="56" s="1"/>
  <c r="I40" i="56" s="1"/>
  <c r="I15" i="56"/>
  <c r="I16" i="56" s="1"/>
  <c r="H15" i="56"/>
  <c r="H16" i="56" s="1"/>
  <c r="H32" i="56"/>
  <c r="H34" i="56" s="1"/>
  <c r="H40" i="56" s="1"/>
  <c r="K17" i="43"/>
  <c r="C15" i="2" s="1"/>
  <c r="C42" i="2" s="1"/>
  <c r="G26" i="51"/>
  <c r="G28" i="51" s="1"/>
  <c r="D21" i="43"/>
  <c r="J21" i="43"/>
  <c r="J46" i="43" s="1"/>
  <c r="J48" i="43" s="1"/>
  <c r="H21" i="43"/>
  <c r="G21" i="43"/>
  <c r="G46" i="43" s="1"/>
  <c r="G48" i="43" s="1"/>
  <c r="E21" i="43"/>
  <c r="I21" i="43"/>
  <c r="I46" i="43" s="1"/>
  <c r="I48" i="43" s="1"/>
  <c r="C19" i="2"/>
  <c r="C51" i="2" s="1"/>
  <c r="C21" i="43"/>
  <c r="F21" i="43"/>
  <c r="G23" i="43"/>
  <c r="G24" i="43" s="1"/>
  <c r="K21" i="56"/>
  <c r="K17" i="58"/>
  <c r="E15" i="2" s="1"/>
  <c r="D37" i="2"/>
  <c r="D44" i="2"/>
  <c r="D16" i="58"/>
  <c r="K12" i="58"/>
  <c r="E10" i="2" s="1"/>
  <c r="D36" i="2"/>
  <c r="E9" i="59"/>
  <c r="E9" i="58"/>
  <c r="K11" i="59"/>
  <c r="F9" i="2" s="1"/>
  <c r="F35" i="2" s="1"/>
  <c r="D14" i="59"/>
  <c r="D15" i="59" s="1"/>
  <c r="K17" i="56"/>
  <c r="D15" i="2" s="1"/>
  <c r="D9" i="56"/>
  <c r="K14" i="58"/>
  <c r="E12" i="2" s="1"/>
  <c r="C15" i="43"/>
  <c r="C48" i="2"/>
  <c r="C50" i="2"/>
  <c r="G17" i="2"/>
  <c r="C35" i="2"/>
  <c r="F20" i="2"/>
  <c r="C20" i="2"/>
  <c r="C32" i="57"/>
  <c r="K9" i="57"/>
  <c r="G7" i="2" s="1"/>
  <c r="E20" i="2"/>
  <c r="D20" i="2"/>
  <c r="E18" i="36"/>
  <c r="F18" i="36" s="1"/>
  <c r="G18" i="36" s="1"/>
  <c r="H18" i="36" s="1"/>
  <c r="E23" i="36"/>
  <c r="E19" i="36"/>
  <c r="M17" i="36"/>
  <c r="E22" i="36"/>
  <c r="K14" i="56" l="1"/>
  <c r="D12" i="2" s="1"/>
  <c r="G15" i="56"/>
  <c r="G16" i="56" s="1"/>
  <c r="E33" i="59"/>
  <c r="E10" i="58"/>
  <c r="I33" i="57"/>
  <c r="I10" i="59"/>
  <c r="I15" i="59" s="1"/>
  <c r="I16" i="59" s="1"/>
  <c r="H33" i="57"/>
  <c r="H10" i="59"/>
  <c r="H15" i="59" s="1"/>
  <c r="H16" i="59" s="1"/>
  <c r="I34" i="59"/>
  <c r="I40" i="59" s="1"/>
  <c r="H18" i="2"/>
  <c r="H44" i="2" s="1"/>
  <c r="K14" i="43"/>
  <c r="C12" i="2" s="1"/>
  <c r="H11" i="2"/>
  <c r="H37" i="2" s="1"/>
  <c r="G24" i="57"/>
  <c r="G25" i="57" s="1"/>
  <c r="G26" i="57" s="1"/>
  <c r="G27" i="57" s="1"/>
  <c r="F10" i="57"/>
  <c r="F15" i="57" s="1"/>
  <c r="F34" i="57"/>
  <c r="F40" i="57" s="1"/>
  <c r="F48" i="57" s="1"/>
  <c r="J24" i="57"/>
  <c r="J25" i="57" s="1"/>
  <c r="J26" i="57" s="1"/>
  <c r="J27" i="57" s="1"/>
  <c r="K23" i="43"/>
  <c r="C49" i="2"/>
  <c r="H6" i="2"/>
  <c r="K17" i="57"/>
  <c r="K23" i="56"/>
  <c r="D21" i="2" s="1"/>
  <c r="D24" i="57"/>
  <c r="D25" i="57" s="1"/>
  <c r="D26" i="57" s="1"/>
  <c r="D27" i="57" s="1"/>
  <c r="K14" i="57"/>
  <c r="G12" i="2" s="1"/>
  <c r="I23" i="43"/>
  <c r="I24" i="43" s="1"/>
  <c r="I25" i="43" s="1"/>
  <c r="I26" i="43" s="1"/>
  <c r="I27" i="43" s="1"/>
  <c r="C15" i="56"/>
  <c r="C16" i="56" s="1"/>
  <c r="C10" i="58"/>
  <c r="C34" i="58"/>
  <c r="C40" i="58" s="1"/>
  <c r="G25" i="43"/>
  <c r="G26" i="43" s="1"/>
  <c r="G27" i="43" s="1"/>
  <c r="D19" i="2"/>
  <c r="H21" i="56"/>
  <c r="C21" i="56"/>
  <c r="F21" i="56"/>
  <c r="E21" i="56"/>
  <c r="J21" i="56"/>
  <c r="G21" i="56"/>
  <c r="I21" i="56"/>
  <c r="D21" i="56"/>
  <c r="C46" i="43"/>
  <c r="C48" i="43" s="1"/>
  <c r="C23" i="43"/>
  <c r="C24" i="43" s="1"/>
  <c r="E46" i="43"/>
  <c r="E48" i="43" s="1"/>
  <c r="E23" i="43"/>
  <c r="E24" i="43" s="1"/>
  <c r="E25" i="43" s="1"/>
  <c r="E26" i="43" s="1"/>
  <c r="E27" i="43" s="1"/>
  <c r="I26" i="51"/>
  <c r="H61" i="2" s="1"/>
  <c r="D46" i="43"/>
  <c r="D48" i="43" s="1"/>
  <c r="D23" i="43"/>
  <c r="D24" i="43" s="1"/>
  <c r="D25" i="43" s="1"/>
  <c r="D26" i="43" s="1"/>
  <c r="D27" i="43" s="1"/>
  <c r="K21" i="59"/>
  <c r="K21" i="58"/>
  <c r="F46" i="43"/>
  <c r="F48" i="43" s="1"/>
  <c r="F23" i="43"/>
  <c r="F24" i="43" s="1"/>
  <c r="H46" i="43"/>
  <c r="H48" i="43" s="1"/>
  <c r="H23" i="43"/>
  <c r="H24" i="43" s="1"/>
  <c r="H25" i="43" s="1"/>
  <c r="H26" i="43" s="1"/>
  <c r="H27" i="43" s="1"/>
  <c r="J23" i="43"/>
  <c r="J24" i="43" s="1"/>
  <c r="F28" i="51"/>
  <c r="D42" i="2"/>
  <c r="K9" i="58"/>
  <c r="E7" i="2" s="1"/>
  <c r="E30" i="2" s="1"/>
  <c r="E32" i="58"/>
  <c r="E34" i="58" s="1"/>
  <c r="E40" i="58" s="1"/>
  <c r="E15" i="58"/>
  <c r="K14" i="59"/>
  <c r="F12" i="2" s="1"/>
  <c r="H9" i="2"/>
  <c r="H35" i="2" s="1"/>
  <c r="D32" i="56"/>
  <c r="D34" i="56" s="1"/>
  <c r="D40" i="56" s="1"/>
  <c r="D15" i="56"/>
  <c r="K9" i="56"/>
  <c r="D7" i="2" s="1"/>
  <c r="D49" i="2" s="1"/>
  <c r="D16" i="59"/>
  <c r="E32" i="59"/>
  <c r="E34" i="59" s="1"/>
  <c r="E40" i="59" s="1"/>
  <c r="K9" i="59"/>
  <c r="F7" i="2" s="1"/>
  <c r="F30" i="2" s="1"/>
  <c r="E36" i="2"/>
  <c r="H10" i="2"/>
  <c r="H36" i="2" s="1"/>
  <c r="G51" i="2"/>
  <c r="G30" i="2"/>
  <c r="G52" i="2"/>
  <c r="G50" i="2"/>
  <c r="K15" i="43"/>
  <c r="C16" i="43"/>
  <c r="G43" i="2"/>
  <c r="H17" i="2"/>
  <c r="G48" i="2"/>
  <c r="C21" i="2"/>
  <c r="H20" i="2"/>
  <c r="C52" i="2"/>
  <c r="I18" i="36"/>
  <c r="J18" i="36" s="1"/>
  <c r="K18" i="36" s="1"/>
  <c r="L18" i="36" s="1"/>
  <c r="E24" i="36"/>
  <c r="I22" i="36"/>
  <c r="I23" i="36"/>
  <c r="M19" i="36"/>
  <c r="E20" i="36"/>
  <c r="F20" i="36" s="1"/>
  <c r="G20" i="36" s="1"/>
  <c r="H20" i="36" s="1"/>
  <c r="E33" i="57" l="1"/>
  <c r="E10" i="59"/>
  <c r="E15" i="59" s="1"/>
  <c r="H10" i="57"/>
  <c r="H15" i="57" s="1"/>
  <c r="H34" i="57"/>
  <c r="H40" i="57" s="1"/>
  <c r="H48" i="57" s="1"/>
  <c r="I10" i="57"/>
  <c r="I15" i="57" s="1"/>
  <c r="I34" i="57"/>
  <c r="I40" i="57" s="1"/>
  <c r="I48" i="57" s="1"/>
  <c r="K23" i="57"/>
  <c r="G21" i="2" s="1"/>
  <c r="G15" i="2"/>
  <c r="H12" i="2"/>
  <c r="F16" i="57"/>
  <c r="F24" i="57"/>
  <c r="F25" i="57" s="1"/>
  <c r="F26" i="57" s="1"/>
  <c r="F27" i="57" s="1"/>
  <c r="K15" i="56"/>
  <c r="D13" i="2" s="1"/>
  <c r="D39" i="2" s="1"/>
  <c r="D40" i="2" s="1"/>
  <c r="I27" i="51"/>
  <c r="C10" i="59"/>
  <c r="C34" i="59"/>
  <c r="C40" i="59" s="1"/>
  <c r="K10" i="58"/>
  <c r="E8" i="2" s="1"/>
  <c r="E31" i="2" s="1"/>
  <c r="E32" i="2" s="1"/>
  <c r="E33" i="2" s="1"/>
  <c r="C15" i="58"/>
  <c r="H23" i="56"/>
  <c r="H24" i="56" s="1"/>
  <c r="H25" i="56" s="1"/>
  <c r="H26" i="56" s="1"/>
  <c r="H27" i="56" s="1"/>
  <c r="H46" i="56"/>
  <c r="H48" i="56" s="1"/>
  <c r="J25" i="43"/>
  <c r="J26" i="43" s="1"/>
  <c r="J27" i="43" s="1"/>
  <c r="F25" i="43"/>
  <c r="F26" i="43" s="1"/>
  <c r="F27" i="43" s="1"/>
  <c r="F19" i="2"/>
  <c r="I21" i="59"/>
  <c r="E21" i="59"/>
  <c r="C21" i="59"/>
  <c r="F21" i="59"/>
  <c r="J21" i="59"/>
  <c r="H21" i="59"/>
  <c r="D21" i="59"/>
  <c r="G21" i="59"/>
  <c r="K23" i="59"/>
  <c r="F21" i="2" s="1"/>
  <c r="D46" i="56"/>
  <c r="D48" i="56" s="1"/>
  <c r="D23" i="56"/>
  <c r="D24" i="56" s="1"/>
  <c r="J46" i="56"/>
  <c r="J48" i="56" s="1"/>
  <c r="J23" i="56"/>
  <c r="J24" i="56" s="1"/>
  <c r="J25" i="56" s="1"/>
  <c r="J26" i="56" s="1"/>
  <c r="J27" i="56" s="1"/>
  <c r="C46" i="56"/>
  <c r="C48" i="56" s="1"/>
  <c r="C23" i="56"/>
  <c r="C24" i="56" s="1"/>
  <c r="C25" i="56" s="1"/>
  <c r="I46" i="56"/>
  <c r="I48" i="56" s="1"/>
  <c r="I23" i="56"/>
  <c r="I24" i="56" s="1"/>
  <c r="I25" i="56" s="1"/>
  <c r="I26" i="56" s="1"/>
  <c r="I27" i="56" s="1"/>
  <c r="E46" i="56"/>
  <c r="E48" i="56" s="1"/>
  <c r="E23" i="56"/>
  <c r="E24" i="56" s="1"/>
  <c r="E25" i="56" s="1"/>
  <c r="E26" i="56" s="1"/>
  <c r="E27" i="56" s="1"/>
  <c r="E19" i="2"/>
  <c r="F21" i="58"/>
  <c r="E21" i="58"/>
  <c r="C21" i="58"/>
  <c r="H21" i="58"/>
  <c r="G21" i="58"/>
  <c r="D21" i="58"/>
  <c r="I21" i="58"/>
  <c r="J21" i="58"/>
  <c r="K23" i="58"/>
  <c r="E21" i="2" s="1"/>
  <c r="G46" i="56"/>
  <c r="G48" i="56" s="1"/>
  <c r="G23" i="56"/>
  <c r="G24" i="56" s="1"/>
  <c r="F46" i="56"/>
  <c r="F48" i="56" s="1"/>
  <c r="F23" i="56"/>
  <c r="F24" i="56" s="1"/>
  <c r="F25" i="56" s="1"/>
  <c r="F26" i="56" s="1"/>
  <c r="F27" i="56" s="1"/>
  <c r="D51" i="2"/>
  <c r="D30" i="2"/>
  <c r="D32" i="2" s="1"/>
  <c r="D33" i="2" s="1"/>
  <c r="D50" i="2"/>
  <c r="H7" i="2"/>
  <c r="H52" i="2" s="1"/>
  <c r="D48" i="2"/>
  <c r="E16" i="58"/>
  <c r="D52" i="2"/>
  <c r="E16" i="59"/>
  <c r="D16" i="56"/>
  <c r="C25" i="43"/>
  <c r="C26" i="43" s="1"/>
  <c r="C27" i="43" s="1"/>
  <c r="C13" i="2"/>
  <c r="K24" i="43"/>
  <c r="K16" i="43"/>
  <c r="H43" i="2"/>
  <c r="I24" i="36"/>
  <c r="I20" i="36"/>
  <c r="J20" i="36" s="1"/>
  <c r="K20" i="36" s="1"/>
  <c r="L20" i="36" s="1"/>
  <c r="E10" i="57" l="1"/>
  <c r="E15" i="57" s="1"/>
  <c r="E34" i="57"/>
  <c r="E40" i="57" s="1"/>
  <c r="E48" i="57" s="1"/>
  <c r="H16" i="57"/>
  <c r="H24" i="57"/>
  <c r="H25" i="57" s="1"/>
  <c r="H26" i="57" s="1"/>
  <c r="H27" i="57" s="1"/>
  <c r="I16" i="57"/>
  <c r="I24" i="57"/>
  <c r="I25" i="57" s="1"/>
  <c r="I26" i="57" s="1"/>
  <c r="I27" i="57" s="1"/>
  <c r="H21" i="2"/>
  <c r="G42" i="2"/>
  <c r="H15" i="2"/>
  <c r="H42" i="2" s="1"/>
  <c r="G49" i="2"/>
  <c r="H19" i="2"/>
  <c r="K24" i="56"/>
  <c r="K25" i="56" s="1"/>
  <c r="D23" i="2" s="1"/>
  <c r="K16" i="56"/>
  <c r="D14" i="2" s="1"/>
  <c r="C10" i="57"/>
  <c r="C34" i="57"/>
  <c r="C40" i="57" s="1"/>
  <c r="C48" i="57" s="1"/>
  <c r="K15" i="58"/>
  <c r="K24" i="58" s="1"/>
  <c r="C16" i="58"/>
  <c r="K10" i="59"/>
  <c r="F8" i="2" s="1"/>
  <c r="C15" i="59"/>
  <c r="C26" i="56"/>
  <c r="C27" i="56" s="1"/>
  <c r="D46" i="58"/>
  <c r="D48" i="58" s="1"/>
  <c r="D23" i="58"/>
  <c r="D24" i="58" s="1"/>
  <c r="D25" i="58" s="1"/>
  <c r="D26" i="58" s="1"/>
  <c r="D27" i="58" s="1"/>
  <c r="H23" i="59"/>
  <c r="H24" i="59" s="1"/>
  <c r="H25" i="59" s="1"/>
  <c r="H26" i="59" s="1"/>
  <c r="H27" i="59" s="1"/>
  <c r="H46" i="59"/>
  <c r="H48" i="59" s="1"/>
  <c r="I46" i="58"/>
  <c r="I48" i="58" s="1"/>
  <c r="I23" i="58"/>
  <c r="I24" i="58" s="1"/>
  <c r="H46" i="58"/>
  <c r="H48" i="58" s="1"/>
  <c r="H23" i="58"/>
  <c r="H24" i="58" s="1"/>
  <c r="H25" i="58" s="1"/>
  <c r="H26" i="58" s="1"/>
  <c r="H27" i="58" s="1"/>
  <c r="F46" i="58"/>
  <c r="F48" i="58" s="1"/>
  <c r="F23" i="58"/>
  <c r="F24" i="58" s="1"/>
  <c r="D46" i="59"/>
  <c r="D48" i="59" s="1"/>
  <c r="D23" i="59"/>
  <c r="D24" i="59" s="1"/>
  <c r="D25" i="59" s="1"/>
  <c r="D26" i="59" s="1"/>
  <c r="D27" i="59" s="1"/>
  <c r="F23" i="59"/>
  <c r="F24" i="59" s="1"/>
  <c r="F46" i="59"/>
  <c r="F48" i="59" s="1"/>
  <c r="I46" i="59"/>
  <c r="I48" i="59" s="1"/>
  <c r="I23" i="59"/>
  <c r="I24" i="59" s="1"/>
  <c r="I25" i="59" s="1"/>
  <c r="I26" i="59" s="1"/>
  <c r="I27" i="59" s="1"/>
  <c r="C46" i="58"/>
  <c r="C48" i="58" s="1"/>
  <c r="C23" i="58"/>
  <c r="C24" i="58" s="1"/>
  <c r="C25" i="58" s="1"/>
  <c r="C26" i="58" s="1"/>
  <c r="C27" i="58" s="1"/>
  <c r="C46" i="59"/>
  <c r="C48" i="59" s="1"/>
  <c r="C23" i="59"/>
  <c r="G25" i="56"/>
  <c r="G26" i="56" s="1"/>
  <c r="G27" i="56" s="1"/>
  <c r="J23" i="58"/>
  <c r="J24" i="58" s="1"/>
  <c r="J25" i="58" s="1"/>
  <c r="J26" i="58" s="1"/>
  <c r="J27" i="58" s="1"/>
  <c r="J46" i="58"/>
  <c r="J48" i="58" s="1"/>
  <c r="G46" i="58"/>
  <c r="G48" i="58" s="1"/>
  <c r="G23" i="58"/>
  <c r="G24" i="58" s="1"/>
  <c r="E46" i="58"/>
  <c r="E48" i="58" s="1"/>
  <c r="E23" i="58"/>
  <c r="E24" i="58" s="1"/>
  <c r="G23" i="59"/>
  <c r="G24" i="59" s="1"/>
  <c r="G25" i="59" s="1"/>
  <c r="G26" i="59" s="1"/>
  <c r="G27" i="59" s="1"/>
  <c r="G46" i="59"/>
  <c r="G48" i="59" s="1"/>
  <c r="J23" i="59"/>
  <c r="J24" i="59" s="1"/>
  <c r="J25" i="59" s="1"/>
  <c r="J26" i="59" s="1"/>
  <c r="J27" i="59" s="1"/>
  <c r="J46" i="59"/>
  <c r="J48" i="59" s="1"/>
  <c r="E46" i="59"/>
  <c r="E48" i="59" s="1"/>
  <c r="E23" i="59"/>
  <c r="E24" i="59" s="1"/>
  <c r="E25" i="59" s="1"/>
  <c r="E26" i="59" s="1"/>
  <c r="H48" i="2"/>
  <c r="D25" i="56"/>
  <c r="D26" i="56" s="1"/>
  <c r="D27" i="56" s="1"/>
  <c r="E25" i="58"/>
  <c r="E26" i="58" s="1"/>
  <c r="H30" i="2"/>
  <c r="H50" i="2"/>
  <c r="H51" i="2"/>
  <c r="H49" i="2"/>
  <c r="K25" i="43"/>
  <c r="K26" i="43" s="1"/>
  <c r="K27" i="43" s="1"/>
  <c r="C22" i="2"/>
  <c r="C39" i="2"/>
  <c r="C40" i="2" s="1"/>
  <c r="C14" i="2"/>
  <c r="E16" i="57" l="1"/>
  <c r="E24" i="57"/>
  <c r="E25" i="57" s="1"/>
  <c r="E26" i="57" s="1"/>
  <c r="E27" i="57" s="1"/>
  <c r="D22" i="2"/>
  <c r="D54" i="2" s="1"/>
  <c r="K25" i="58"/>
  <c r="E23" i="2" s="1"/>
  <c r="E22" i="2"/>
  <c r="C16" i="59"/>
  <c r="K15" i="59"/>
  <c r="E13" i="2"/>
  <c r="E39" i="2" s="1"/>
  <c r="E40" i="2" s="1"/>
  <c r="K16" i="58"/>
  <c r="E14" i="2" s="1"/>
  <c r="F31" i="2"/>
  <c r="F32" i="2" s="1"/>
  <c r="F33" i="2" s="1"/>
  <c r="C24" i="59"/>
  <c r="C25" i="59" s="1"/>
  <c r="C26" i="59" s="1"/>
  <c r="C27" i="59" s="1"/>
  <c r="K10" i="57"/>
  <c r="G8" i="2" s="1"/>
  <c r="G31" i="2" s="1"/>
  <c r="G32" i="2" s="1"/>
  <c r="G33" i="2" s="1"/>
  <c r="C15" i="57"/>
  <c r="F25" i="59"/>
  <c r="F26" i="59" s="1"/>
  <c r="F27" i="59" s="1"/>
  <c r="F25" i="58"/>
  <c r="F26" i="58" s="1"/>
  <c r="G25" i="58"/>
  <c r="G26" i="58" s="1"/>
  <c r="G27" i="58" s="1"/>
  <c r="I25" i="58"/>
  <c r="I26" i="58" s="1"/>
  <c r="I27" i="58" s="1"/>
  <c r="E27" i="58"/>
  <c r="E27" i="59"/>
  <c r="K26" i="56"/>
  <c r="C54" i="2"/>
  <c r="C23" i="2"/>
  <c r="C24" i="2" s="1"/>
  <c r="F24" i="2" l="1"/>
  <c r="H8" i="2"/>
  <c r="H13" i="2" s="1"/>
  <c r="F13" i="2"/>
  <c r="F39" i="2" s="1"/>
  <c r="F40" i="2" s="1"/>
  <c r="K16" i="59"/>
  <c r="F14" i="2" s="1"/>
  <c r="K24" i="59"/>
  <c r="C24" i="57"/>
  <c r="C25" i="57" s="1"/>
  <c r="C26" i="57" s="1"/>
  <c r="C27" i="57" s="1"/>
  <c r="K15" i="57"/>
  <c r="C16" i="57"/>
  <c r="F27" i="58"/>
  <c r="C53" i="2"/>
  <c r="C60" i="2"/>
  <c r="C59" i="2" s="1"/>
  <c r="C25" i="2"/>
  <c r="D24" i="2"/>
  <c r="K27" i="56"/>
  <c r="D25" i="2" s="1"/>
  <c r="K27" i="59" l="1"/>
  <c r="F25" i="2" s="1"/>
  <c r="H31" i="2"/>
  <c r="H32" i="2" s="1"/>
  <c r="H33" i="2" s="1"/>
  <c r="H22" i="2"/>
  <c r="H39" i="2"/>
  <c r="H40" i="2" s="1"/>
  <c r="H14" i="2"/>
  <c r="K25" i="59"/>
  <c r="F23" i="2" s="1"/>
  <c r="F22" i="2"/>
  <c r="G13" i="2"/>
  <c r="G39" i="2" s="1"/>
  <c r="G40" i="2" s="1"/>
  <c r="K16" i="57"/>
  <c r="G14" i="2" s="1"/>
  <c r="K24" i="57"/>
  <c r="E24" i="2"/>
  <c r="K27" i="58"/>
  <c r="E25" i="2" s="1"/>
  <c r="D53" i="2"/>
  <c r="D60" i="2"/>
  <c r="D59" i="2" s="1"/>
  <c r="K25" i="57" l="1"/>
  <c r="G23" i="2" s="1"/>
  <c r="G22" i="2"/>
  <c r="G54" i="2" s="1"/>
  <c r="H54" i="2"/>
  <c r="H23" i="2"/>
  <c r="H24" i="2" s="1"/>
  <c r="K26" i="57" l="1"/>
  <c r="H53" i="2"/>
  <c r="H60" i="2"/>
  <c r="H59" i="2" s="1"/>
  <c r="H25" i="2"/>
  <c r="G24" i="2" l="1"/>
  <c r="K27" i="57"/>
  <c r="G25" i="2" s="1"/>
  <c r="G53" i="2" l="1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<sst xmlns="http://schemas.openxmlformats.org/spreadsheetml/2006/main" count="1422" uniqueCount="302">
  <si>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</si>
  <si>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</si>
  <si>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</si>
  <si>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</si>
  <si>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</si>
  <si>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</si>
  <si>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</si>
  <si>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</si>
  <si>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</si>
  <si>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</si>
  <si>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</si>
  <si>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</si>
  <si>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</si>
  <si>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</si>
  <si>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</si>
  <si>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</si>
  <si>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</si>
  <si>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</si>
  <si>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</si>
  <si>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</si>
  <si>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</si>
  <si>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</si>
  <si>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</si>
  <si>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</si>
  <si>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</si>
  <si>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</si>
  <si>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</si>
  <si>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</si>
  <si>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</si>
  <si>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</si>
  <si>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</si>
  <si>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</si>
  <si>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</si>
  <si>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</si>
  <si>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</si>
  <si>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</si>
  <si>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</si>
  <si>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</si>
  <si>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</si>
  <si>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</si>
  <si>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</si>
  <si>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</si>
  <si>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</si>
  <si>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</si>
  <si>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</si>
  <si>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</si>
  <si>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</si>
  <si>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</si>
  <si>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</si>
  <si>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</si>
  <si>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</si>
  <si>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</si>
  <si>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</si>
  <si>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</si>
  <si>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</si>
  <si>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</si>
  <si>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</si>
  <si>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</si>
  <si>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</si>
  <si>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</si>
  <si>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</si>
  <si>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</si>
  <si>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</si>
  <si>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</si>
  <si>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</si>
  <si>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</si>
  <si>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</si>
  <si>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</si>
  <si>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</si>
  <si>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</si>
  <si>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</si>
  <si>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</si>
  <si>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</si>
  <si>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</si>
  <si>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</si>
  <si>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</si>
  <si>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</si>
  <si>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</si>
  <si>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</si>
  <si>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</si>
  <si>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</si>
  <si>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</si>
  <si>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</si>
  <si>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</si>
  <si>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</si>
  <si>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</si>
  <si>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</si>
  <si>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</si>
  <si>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</si>
  <si>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</si>
  <si>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</si>
  <si>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</si>
  <si>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</si>
  <si>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</si>
  <si>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</si>
  <si>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</si>
  <si>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</si>
  <si>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</si>
  <si>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</si>
  <si>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</si>
  <si>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</si>
  <si>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</si>
  <si>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</si>
  <si>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</si>
  <si>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</si>
  <si>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</si>
  <si>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</si>
  <si>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</si>
  <si>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</si>
  <si>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</si>
  <si>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</si>
  <si>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</si>
  <si>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</si>
  <si>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</si>
  <si>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</si>
  <si>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</si>
  <si>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</si>
  <si>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</si>
  <si>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</si>
  <si>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</si>
  <si>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</si>
  <si>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</si>
  <si>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</si>
  <si>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</si>
  <si>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</si>
  <si>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</si>
  <si>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</si>
  <si>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</si>
  <si>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</si>
  <si>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</si>
  <si>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</si>
  <si>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</si>
  <si>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</si>
  <si>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</si>
  <si>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</si>
  <si>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</si>
  <si>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</si>
  <si>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</si>
  <si>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</si>
  <si>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</si>
  <si>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</si>
  <si>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</si>
  <si>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</si>
  <si>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</si>
  <si>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</si>
  <si>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</si>
  <si>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</si>
  <si>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</si>
  <si>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</si>
  <si>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</si>
  <si>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</si>
  <si>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</si>
  <si>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</si>
  <si>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</si>
  <si>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</si>
  <si>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</si>
  <si>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</si>
  <si>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</si>
  <si>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</si>
  <si>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</si>
  <si>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</si>
  <si>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</si>
  <si>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</si>
  <si>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</si>
  <si>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</si>
  <si>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</si>
  <si>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</si>
  <si>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</si>
  <si>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</si>
  <si>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</si>
  <si>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</si>
  <si>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</si>
  <si>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</si>
  <si>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</si>
  <si>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</si>
  <si>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</si>
  <si>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</si>
  <si>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</si>
  <si>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</si>
  <si>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</si>
  <si>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</si>
  <si>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</si>
  <si>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</si>
  <si>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</si>
  <si>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</si>
  <si>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</si>
  <si>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</si>
  <si>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</si>
  <si>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</si>
  <si>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</si>
  <si>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</si>
  <si>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</si>
  <si>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</si>
  <si>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</si>
  <si>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</si>
  <si>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</si>
  <si>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</si>
  <si>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</si>
  <si>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</si>
  <si>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</si>
  <si>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</si>
  <si>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</si>
  <si>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</si>
  <si>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</si>
  <si>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</si>
  <si>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</si>
  <si>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</si>
  <si>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</si>
  <si>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</si>
  <si>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</si>
  <si>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</si>
  <si>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</si>
  <si>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</si>
  <si>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</si>
  <si>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</si>
  <si>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</si>
  <si>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</si>
  <si>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</si>
  <si>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</si>
  <si>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</si>
  <si>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</si>
  <si>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</si>
  <si>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</si>
  <si>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</si>
  <si>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</si>
  <si>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</si>
  <si>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</si>
  <si>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</si>
  <si>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</si>
  <si>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</si>
  <si>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</si>
  <si>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</si>
  <si>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</si>
  <si>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</si>
  <si>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</si>
  <si>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</si>
  <si>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</si>
  <si>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</si>
  <si>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</si>
  <si>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</si>
  <si>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</si>
  <si>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</si>
  <si>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</si>
  <si>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</si>
  <si>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</si>
  <si>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</si>
  <si>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</si>
  <si>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</si>
  <si>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</si>
  <si>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</si>
  <si>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</si>
  <si>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</si>
  <si>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</si>
  <si>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</si>
  <si>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</si>
  <si>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 xml:space="preserve">  单位：元</t>
    <phoneticPr fontId="37" type="noConversion"/>
  </si>
  <si>
    <t>2023年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</si>
  <si>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</si>
  <si>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</t>
    </r>
    <r>
      <rPr>
        <b/>
        <sz val="10"/>
        <rFont val="宋体"/>
        <family val="3"/>
        <charset val="134"/>
      </rPr>
      <t>年</t>
    </r>
    <phoneticPr fontId="37" type="noConversion"/>
  </si>
  <si>
    <r>
      <t>2025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</si>
  <si>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</si>
  <si>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2030年</t>
  </si>
  <si>
    <t>一汽解放青岛汽车有限公司</t>
    <phoneticPr fontId="37" type="noConversion"/>
  </si>
  <si>
    <t>送货地点</t>
  </si>
  <si>
    <t>现汇或承兑的比例</t>
  </si>
  <si>
    <t>无</t>
  </si>
  <si>
    <t>包含所有的主、辅料</t>
  </si>
  <si>
    <t>涂红色处为必填项</t>
  </si>
  <si>
    <t>无</t>
    <phoneticPr fontId="34" type="noConversion"/>
  </si>
  <si>
    <t>自承担/分摊</t>
    <phoneticPr fontId="34" type="noConversion"/>
  </si>
  <si>
    <t>载货</t>
    <phoneticPr fontId="34" type="noConversion"/>
  </si>
  <si>
    <t>河北光华荣昌</t>
    <phoneticPr fontId="34" type="noConversion"/>
  </si>
  <si>
    <t>青岛即墨</t>
    <phoneticPr fontId="34" type="noConversion"/>
  </si>
  <si>
    <t>银行电子承兑</t>
    <phoneticPr fontId="34" type="noConversion"/>
  </si>
  <si>
    <t>周转箱</t>
    <phoneticPr fontId="34" type="noConversion"/>
  </si>
  <si>
    <t>同现有供货收费标准</t>
    <phoneticPr fontId="34" type="noConversion"/>
  </si>
  <si>
    <t>2023年</t>
    <phoneticPr fontId="37" type="noConversion"/>
  </si>
  <si>
    <t>成本预估根据项目经理提供资料估算。供应商年度降价与销价降价同步。</t>
    <phoneticPr fontId="37" type="noConversion"/>
  </si>
  <si>
    <t>驾驶员座总成</t>
  </si>
  <si>
    <t>座垫总成-前座</t>
  </si>
  <si>
    <t>主靠背总成-前座</t>
  </si>
  <si>
    <t>副靠背总成</t>
  </si>
  <si>
    <t>供应商年降：    连降2.5%</t>
    <phoneticPr fontId="37" type="noConversion"/>
  </si>
  <si>
    <t>材料成本（连降2.5%）</t>
    <phoneticPr fontId="37" type="noConversion"/>
  </si>
  <si>
    <t>预计</t>
    <phoneticPr fontId="37" type="noConversion"/>
  </si>
  <si>
    <t>销售价格（未税）：由营销部门提供，包括年降2.5%。</t>
    <phoneticPr fontId="37" type="noConversion"/>
  </si>
  <si>
    <t>单台材料成本为未税价格。注塑件颜色变更不影响成本。</t>
    <phoneticPr fontId="37" type="noConversion"/>
  </si>
  <si>
    <t>一汽轻卡减震司机座椅、虎威副司机座椅   河北黄骅--青岛即墨  9.6每车能装72套，36箱，每车运费3200元</t>
    <phoneticPr fontId="37" type="noConversion"/>
  </si>
  <si>
    <t xml:space="preserve">领途及J6F车型气囊减震座椅项目投资收益分析 </t>
    <phoneticPr fontId="37" type="noConversion"/>
  </si>
  <si>
    <t>ZY2335</t>
    <phoneticPr fontId="37" type="noConversion"/>
  </si>
  <si>
    <t>6800010BH26-C00</t>
  </si>
  <si>
    <t>6903010AH26-C00</t>
  </si>
  <si>
    <t>6905100-H26-C00</t>
  </si>
  <si>
    <t>通风、加热气腰托、气囊减震、扶手</t>
  </si>
  <si>
    <t>6905020CH26-C00</t>
    <phoneticPr fontId="34" type="noConversion"/>
  </si>
  <si>
    <t xml:space="preserve">   4年</t>
    <phoneticPr fontId="37" type="noConversion"/>
  </si>
  <si>
    <t>SLT0010202</t>
  </si>
  <si>
    <t>SLT0002432</t>
  </si>
  <si>
    <t>SLT0002438</t>
  </si>
  <si>
    <t>SLT0002190</t>
  </si>
  <si>
    <t>图号不变，换发泡造型</t>
    <phoneticPr fontId="34" type="noConversion"/>
  </si>
  <si>
    <t>老产品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</si>
</sst>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178" fontId="52" fillId="3" borderId="1" xfId="1" applyNumberFormat="1" applyFont="1" applyFill="1" applyBorder="1" applyAlignment="1">
      <alignment horizontal="center" vertic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49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0" xfId="0" applyFont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9" borderId="2" xfId="0" applyFont="1" applyFill="1" applyBorder="1" applyAlignment="1">
      <alignment horizontal="center" vertical="center" wrapText="1" readingOrder="1"/>
    </xf>
    <xf numFmtId="0" fontId="52" fillId="9" borderId="1" xfId="0" applyFont="1" applyFill="1" applyBorder="1" applyAlignment="1">
      <alignment horizontal="center" vertical="center" wrapText="1" readingOrder="1"/>
    </xf>
    <xf numFmtId="43" fontId="50" fillId="0" borderId="1" xfId="1" applyFont="1" applyBorder="1" applyAlignment="1" applyProtection="1">
      <alignment vertical="center"/>
      <protection locked="0"/>
    </xf>
    <xf numFmtId="0" fontId="6" fillId="0" borderId="1" xfId="0" applyFont="1" applyFill="1" applyBorder="1">
      <alignment vertical="center"/>
    </xf>
    <xf numFmtId="43" fontId="48" fillId="7" borderId="0" xfId="0" applyNumberFormat="1" applyFont="1" applyFill="1">
      <alignment vertical="center"/>
    </xf>
    <xf numFmtId="178" fontId="14" fillId="0" borderId="1" xfId="3" applyNumberFormat="1" applyFont="1" applyBorder="1" applyAlignment="1">
      <alignment vertical="center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top" wrapText="1"/>
    </xf>
    <xf numFmtId="43" fontId="23" fillId="0" borderId="1" xfId="1" applyFont="1" applyBorder="1" applyAlignment="1" applyProtection="1">
      <alignment vertical="center"/>
      <protection locked="0"/>
    </xf>
    <xf numFmtId="43" fontId="55" fillId="0" borderId="0" xfId="1" applyFont="1">
      <alignment vertical="center"/>
    </xf>
    <xf numFmtId="0" fontId="56" fillId="0" borderId="1" xfId="0" applyFont="1" applyFill="1" applyBorder="1" applyAlignment="1">
      <alignment vertical="center" wrapText="1"/>
    </xf>
    <xf numFmtId="178" fontId="23" fillId="11" borderId="1" xfId="1" applyNumberFormat="1" applyFont="1" applyFill="1" applyBorder="1" applyAlignment="1" applyProtection="1">
      <alignment vertical="center"/>
      <protection locked="0"/>
    </xf>
    <xf numFmtId="178" fontId="50" fillId="11" borderId="1" xfId="1" applyNumberFormat="1" applyFont="1" applyFill="1" applyBorder="1" applyAlignment="1" applyProtection="1">
      <alignment vertical="center"/>
      <protection locked="0"/>
    </xf>
    <xf numFmtId="0" fontId="52" fillId="11" borderId="1" xfId="0" applyFont="1" applyFill="1" applyBorder="1" applyAlignment="1">
      <alignment horizontal="center" vertical="center" wrapText="1" readingOrder="1"/>
    </xf>
    <xf numFmtId="178" fontId="52" fillId="11" borderId="1" xfId="1" applyNumberFormat="1" applyFont="1" applyFill="1" applyBorder="1" applyAlignment="1">
      <alignment horizontal="center" vertical="center" wrapText="1" readingOrder="1"/>
    </xf>
    <xf numFmtId="0" fontId="52" fillId="11" borderId="0" xfId="0" applyFont="1" applyFill="1" applyAlignment="1">
      <alignment horizontal="center" vertical="center" wrapText="1"/>
    </xf>
    <xf numFmtId="0" fontId="44" fillId="11" borderId="16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178" fontId="6" fillId="11" borderId="1" xfId="0" applyNumberFormat="1" applyFont="1" applyFill="1" applyBorder="1" applyAlignment="1">
      <alignment horizontal="center" wrapText="1" readingOrder="1"/>
    </xf>
    <xf numFmtId="178" fontId="52" fillId="11" borderId="1" xfId="0" applyNumberFormat="1" applyFont="1" applyFill="1" applyBorder="1" applyAlignment="1">
      <alignment horizont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 readingOrder="1"/>
    </xf>
    <xf numFmtId="0" fontId="52" fillId="3" borderId="7" xfId="0" applyFont="1" applyFill="1" applyBorder="1" applyAlignment="1">
      <alignment horizontal="center" vertical="center" wrapText="1" readingOrder="1"/>
    </xf>
    <xf numFmtId="0" fontId="52" fillId="3" borderId="6" xfId="0" applyFont="1" applyFill="1" applyBorder="1" applyAlignment="1">
      <alignment horizontal="center" vertical="center" wrapText="1" readingOrder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5" sqref="C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51" t="str">
        <f>损益表!A1</f>
        <v xml:space="preserve">领途及J6F车型气囊减震座椅项目投资收益分析 </v>
      </c>
      <c r="B1" s="252"/>
      <c r="C1" s="252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285</v>
      </c>
    </row>
    <row r="5" spans="1:4" s="127" customFormat="1" ht="33.75" customHeight="1">
      <c r="A5" s="130">
        <v>3</v>
      </c>
      <c r="B5" s="249" t="s">
        <v>6</v>
      </c>
      <c r="C5" s="132" t="s">
        <v>277</v>
      </c>
    </row>
    <row r="6" spans="1:4" s="127" customFormat="1" ht="33.75" customHeight="1">
      <c r="A6" s="130">
        <v>4</v>
      </c>
      <c r="B6" s="250"/>
      <c r="C6" s="131" t="s">
        <v>286</v>
      </c>
    </row>
    <row r="7" spans="1:4" s="127" customFormat="1" ht="33.75" customHeight="1">
      <c r="A7" s="130">
        <v>5</v>
      </c>
      <c r="B7" s="133" t="s">
        <v>7</v>
      </c>
      <c r="C7" s="131" t="s">
        <v>238</v>
      </c>
    </row>
    <row r="8" spans="1:4" s="127" customFormat="1" ht="33.75" customHeight="1">
      <c r="A8" s="130">
        <v>6</v>
      </c>
      <c r="B8" s="249" t="s">
        <v>8</v>
      </c>
      <c r="C8" s="131" t="s">
        <v>239</v>
      </c>
    </row>
    <row r="9" spans="1:4" s="127" customFormat="1" ht="33.75" customHeight="1">
      <c r="A9" s="130">
        <v>7</v>
      </c>
      <c r="B9" s="250"/>
      <c r="C9" s="131" t="s">
        <v>9</v>
      </c>
    </row>
    <row r="10" spans="1:4" s="127" customFormat="1" ht="33.75" customHeight="1">
      <c r="A10" s="130">
        <v>8</v>
      </c>
      <c r="B10" s="250"/>
      <c r="C10" s="132" t="s">
        <v>231</v>
      </c>
    </row>
    <row r="11" spans="1:4" s="127" customFormat="1" ht="33.75" customHeight="1">
      <c r="A11" s="130">
        <v>9</v>
      </c>
      <c r="B11" s="250"/>
      <c r="C11" s="131" t="s">
        <v>10</v>
      </c>
    </row>
    <row r="12" spans="1:4" s="127" customFormat="1" ht="33.75" customHeight="1">
      <c r="A12" s="130">
        <v>10</v>
      </c>
      <c r="B12" s="133" t="s">
        <v>11</v>
      </c>
      <c r="C12" s="131" t="s">
        <v>12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C8" sqref="C8"/>
    </sheetView>
  </sheetViews>
  <sheetFormatPr defaultColWidth="9" defaultRowHeight="20.25"/>
  <cols>
    <col min="1" max="1" width="14" style="190" customWidth="1"/>
    <col min="2" max="2" width="16.875" style="190" customWidth="1"/>
    <col min="3" max="9" width="18.25" style="190" customWidth="1"/>
    <col min="10" max="10" width="19.875" style="190" customWidth="1"/>
    <col min="11" max="11" width="18.25" style="190" customWidth="1"/>
    <col min="12" max="12" width="13.5" style="190" customWidth="1"/>
    <col min="13" max="13" width="15.625" style="190" customWidth="1"/>
    <col min="14" max="14" width="12.25" style="190" customWidth="1"/>
    <col min="15" max="16384" width="9" style="190"/>
  </cols>
  <sheetData>
    <row r="1" spans="1:15" ht="29.25" customHeight="1">
      <c r="A1" s="285" t="s">
        <v>184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5" ht="24" customHeight="1">
      <c r="A2" s="192" t="s">
        <v>185</v>
      </c>
      <c r="E2" s="191"/>
      <c r="F2" s="191"/>
      <c r="G2" s="191"/>
      <c r="H2" s="191"/>
      <c r="I2" s="191"/>
      <c r="J2" s="191"/>
      <c r="K2" s="191"/>
      <c r="L2" s="191"/>
    </row>
    <row r="3" spans="1:15">
      <c r="C3" s="190" t="s">
        <v>186</v>
      </c>
      <c r="D3" s="193" t="s">
        <v>295</v>
      </c>
      <c r="E3" s="194">
        <v>2.5000000000000001E-2</v>
      </c>
      <c r="F3" s="195"/>
      <c r="G3" s="195"/>
      <c r="H3" s="195"/>
    </row>
    <row r="4" spans="1:15">
      <c r="K4" s="196"/>
    </row>
    <row r="5" spans="1:15" ht="28.5" customHeight="1">
      <c r="A5" s="284" t="s">
        <v>187</v>
      </c>
      <c r="B5" s="208" t="s">
        <v>137</v>
      </c>
      <c r="C5" s="235" t="s">
        <v>278</v>
      </c>
      <c r="D5" s="234" t="s">
        <v>279</v>
      </c>
      <c r="E5" s="234" t="s">
        <v>280</v>
      </c>
      <c r="F5" s="234" t="s">
        <v>281</v>
      </c>
      <c r="G5" s="227"/>
      <c r="H5" s="228"/>
      <c r="I5" s="229"/>
      <c r="J5" s="229"/>
      <c r="K5" s="197"/>
      <c r="L5" s="286" t="s">
        <v>14</v>
      </c>
    </row>
    <row r="6" spans="1:15" ht="59.25" customHeight="1">
      <c r="A6" s="284"/>
      <c r="B6" s="208" t="s">
        <v>138</v>
      </c>
      <c r="C6" s="235" t="s">
        <v>290</v>
      </c>
      <c r="D6" s="235" t="s">
        <v>291</v>
      </c>
      <c r="E6" s="235" t="s">
        <v>294</v>
      </c>
      <c r="F6" s="235" t="s">
        <v>292</v>
      </c>
      <c r="G6" s="200"/>
      <c r="H6" s="229"/>
      <c r="I6" s="229"/>
      <c r="J6" s="229"/>
      <c r="K6" s="198"/>
      <c r="L6" s="287"/>
      <c r="N6" s="190">
        <v>100</v>
      </c>
    </row>
    <row r="7" spans="1:15" ht="32.25" customHeight="1">
      <c r="A7" s="284"/>
      <c r="B7" s="209" t="s">
        <v>188</v>
      </c>
      <c r="C7" s="236" t="s">
        <v>293</v>
      </c>
      <c r="D7" s="236"/>
      <c r="E7" s="236"/>
      <c r="F7" s="236"/>
      <c r="G7" s="227"/>
      <c r="H7" s="229"/>
      <c r="I7" s="229"/>
      <c r="J7" s="229"/>
      <c r="K7" s="198"/>
      <c r="L7" s="288"/>
      <c r="N7" s="190">
        <f>N6*(1-$E$3)</f>
        <v>97.5</v>
      </c>
      <c r="O7" s="190">
        <f>N7/$N$6</f>
        <v>0.97499999999999998</v>
      </c>
    </row>
    <row r="8" spans="1:15" ht="40.5">
      <c r="A8" s="284"/>
      <c r="B8" s="199" t="s">
        <v>189</v>
      </c>
      <c r="C8" s="237">
        <v>1415.2</v>
      </c>
      <c r="D8" s="237">
        <v>119.09</v>
      </c>
      <c r="E8" s="237">
        <v>156.37</v>
      </c>
      <c r="F8" s="237">
        <v>150.22</v>
      </c>
      <c r="G8" s="230"/>
      <c r="H8" s="230"/>
      <c r="I8" s="230"/>
      <c r="J8" s="230"/>
      <c r="K8" s="198"/>
      <c r="L8" s="202">
        <f>SUM(C8:K8)</f>
        <v>1840.8799999999999</v>
      </c>
      <c r="M8" s="213">
        <f>SUM(C8:K8)</f>
        <v>1840.8799999999999</v>
      </c>
      <c r="N8" s="190">
        <f>N7*(1-$E$3)</f>
        <v>95.0625</v>
      </c>
      <c r="O8" s="190">
        <f t="shared" ref="O8:O9" si="0">N8/$N$6</f>
        <v>0.95062500000000005</v>
      </c>
    </row>
    <row r="9" spans="1:15">
      <c r="A9" s="284" t="s">
        <v>190</v>
      </c>
      <c r="B9" s="201" t="s">
        <v>256</v>
      </c>
      <c r="C9" s="240">
        <v>8000</v>
      </c>
      <c r="D9" s="240">
        <v>8000</v>
      </c>
      <c r="E9" s="240">
        <v>8000</v>
      </c>
      <c r="F9" s="240">
        <v>8000</v>
      </c>
      <c r="G9" s="241"/>
      <c r="H9" s="241"/>
      <c r="I9" s="241"/>
      <c r="J9" s="241"/>
      <c r="K9" s="242"/>
      <c r="L9" s="243">
        <f>SUM(C9:K9)</f>
        <v>32000</v>
      </c>
      <c r="N9" s="190">
        <f t="shared" ref="N9:N10" si="1">N8*(1-$E$3)</f>
        <v>92.685937499999994</v>
      </c>
      <c r="O9" s="190">
        <f t="shared" si="0"/>
        <v>0.92685937499999993</v>
      </c>
    </row>
    <row r="10" spans="1:15">
      <c r="A10" s="284"/>
      <c r="B10" s="218" t="s">
        <v>180</v>
      </c>
      <c r="C10" s="240">
        <v>10000</v>
      </c>
      <c r="D10" s="240">
        <v>10000</v>
      </c>
      <c r="E10" s="240">
        <v>10000</v>
      </c>
      <c r="F10" s="240">
        <v>10000</v>
      </c>
      <c r="G10" s="241"/>
      <c r="H10" s="241"/>
      <c r="I10" s="241"/>
      <c r="J10" s="241"/>
      <c r="K10" s="244"/>
      <c r="L10" s="243">
        <f t="shared" ref="L10:L14" si="2">SUM(C10:K10)</f>
        <v>40000</v>
      </c>
      <c r="N10" s="190">
        <f t="shared" si="1"/>
        <v>90.368789062499999</v>
      </c>
      <c r="O10" s="190">
        <f t="shared" ref="O10" si="3">N10/$N$6</f>
        <v>0.90368789062499999</v>
      </c>
    </row>
    <row r="11" spans="1:15">
      <c r="A11" s="284"/>
      <c r="B11" s="218" t="s">
        <v>181</v>
      </c>
      <c r="C11" s="240">
        <v>12000</v>
      </c>
      <c r="D11" s="240">
        <v>12000</v>
      </c>
      <c r="E11" s="240">
        <v>12000</v>
      </c>
      <c r="F11" s="240">
        <v>12000</v>
      </c>
      <c r="G11" s="241"/>
      <c r="H11" s="241"/>
      <c r="I11" s="241"/>
      <c r="J11" s="241"/>
      <c r="K11" s="242"/>
      <c r="L11" s="243">
        <f t="shared" si="2"/>
        <v>48000</v>
      </c>
    </row>
    <row r="12" spans="1:15">
      <c r="A12" s="284"/>
      <c r="B12" s="218" t="s">
        <v>225</v>
      </c>
      <c r="C12" s="240">
        <v>12000</v>
      </c>
      <c r="D12" s="240">
        <v>12000</v>
      </c>
      <c r="E12" s="240">
        <v>12000</v>
      </c>
      <c r="F12" s="240">
        <v>12000</v>
      </c>
      <c r="G12" s="241"/>
      <c r="H12" s="241"/>
      <c r="I12" s="241"/>
      <c r="J12" s="241"/>
      <c r="K12" s="245"/>
      <c r="L12" s="243">
        <f t="shared" si="2"/>
        <v>48000</v>
      </c>
    </row>
    <row r="13" spans="1:15">
      <c r="A13" s="284"/>
      <c r="B13" s="218" t="s">
        <v>236</v>
      </c>
      <c r="C13" s="240">
        <v>15000</v>
      </c>
      <c r="D13" s="240">
        <v>15000</v>
      </c>
      <c r="E13" s="240">
        <v>15000</v>
      </c>
      <c r="F13" s="240">
        <v>15000</v>
      </c>
      <c r="G13" s="241"/>
      <c r="H13" s="241"/>
      <c r="I13" s="241"/>
      <c r="J13" s="241"/>
      <c r="K13" s="245"/>
      <c r="L13" s="243">
        <f t="shared" si="2"/>
        <v>60000</v>
      </c>
    </row>
    <row r="14" spans="1:15">
      <c r="A14" s="284"/>
      <c r="B14" s="218" t="s">
        <v>237</v>
      </c>
      <c r="C14" s="246"/>
      <c r="D14" s="246"/>
      <c r="E14" s="246"/>
      <c r="F14" s="246"/>
      <c r="G14" s="242"/>
      <c r="H14" s="242"/>
      <c r="I14" s="242"/>
      <c r="J14" s="242"/>
      <c r="K14" s="242"/>
      <c r="L14" s="243">
        <f t="shared" si="2"/>
        <v>0</v>
      </c>
    </row>
    <row r="15" spans="1:15">
      <c r="A15" s="283" t="s">
        <v>14</v>
      </c>
      <c r="B15" s="283"/>
      <c r="C15" s="247">
        <f t="shared" ref="C15:L15" si="4">SUM(C9:C14)</f>
        <v>57000</v>
      </c>
      <c r="D15" s="247">
        <f t="shared" si="4"/>
        <v>57000</v>
      </c>
      <c r="E15" s="247">
        <f t="shared" si="4"/>
        <v>57000</v>
      </c>
      <c r="F15" s="247">
        <f t="shared" si="4"/>
        <v>57000</v>
      </c>
      <c r="G15" s="248">
        <f t="shared" si="4"/>
        <v>0</v>
      </c>
      <c r="H15" s="248">
        <f t="shared" si="4"/>
        <v>0</v>
      </c>
      <c r="I15" s="248">
        <f t="shared" si="4"/>
        <v>0</v>
      </c>
      <c r="J15" s="248">
        <f t="shared" si="4"/>
        <v>0</v>
      </c>
      <c r="K15" s="248">
        <f t="shared" si="4"/>
        <v>0</v>
      </c>
      <c r="L15" s="248">
        <f t="shared" si="4"/>
        <v>228000</v>
      </c>
    </row>
    <row r="16" spans="1:15">
      <c r="A16" s="203"/>
      <c r="B16" s="203"/>
      <c r="C16" s="238"/>
      <c r="D16" s="222"/>
      <c r="E16" s="222"/>
      <c r="F16" s="222"/>
    </row>
    <row r="17" spans="2:14" ht="29.25" customHeight="1">
      <c r="B17" s="204" t="s">
        <v>247</v>
      </c>
      <c r="C17" s="239">
        <f>1078.17+7.68</f>
        <v>1085.8500000000001</v>
      </c>
      <c r="D17" s="239">
        <v>112.53</v>
      </c>
      <c r="E17" s="239">
        <v>142.85</v>
      </c>
      <c r="F17" s="239">
        <v>77.239999999999995</v>
      </c>
      <c r="G17" s="231"/>
      <c r="H17" s="231"/>
      <c r="I17" s="231"/>
      <c r="J17" s="205"/>
      <c r="K17" s="204"/>
      <c r="L17" s="202">
        <f t="shared" ref="L17" si="5">SUM(C17:K17)</f>
        <v>1418.47</v>
      </c>
      <c r="M17" s="203"/>
      <c r="N17" s="213"/>
    </row>
    <row r="18" spans="2:14" ht="29.25" customHeight="1">
      <c r="B18" s="204" t="s">
        <v>248</v>
      </c>
      <c r="C18" s="205">
        <f>C8-C17</f>
        <v>329.34999999999991</v>
      </c>
      <c r="D18" s="205">
        <f t="shared" ref="D18:J18" si="6">D8-D17</f>
        <v>6.5600000000000023</v>
      </c>
      <c r="E18" s="205">
        <f t="shared" si="6"/>
        <v>13.52000000000001</v>
      </c>
      <c r="F18" s="205">
        <f t="shared" si="6"/>
        <v>72.98</v>
      </c>
      <c r="G18" s="205">
        <f t="shared" si="6"/>
        <v>0</v>
      </c>
      <c r="H18" s="205">
        <f t="shared" si="6"/>
        <v>0</v>
      </c>
      <c r="I18" s="205">
        <f t="shared" si="6"/>
        <v>0</v>
      </c>
      <c r="J18" s="205">
        <f t="shared" si="6"/>
        <v>0</v>
      </c>
      <c r="K18" s="205">
        <f t="shared" ref="K18:L18" si="7">K8-K17</f>
        <v>0</v>
      </c>
      <c r="L18" s="205">
        <f t="shared" si="7"/>
        <v>422.40999999999985</v>
      </c>
      <c r="M18" s="203"/>
      <c r="N18" s="213"/>
    </row>
    <row r="19" spans="2:14" ht="29.25" customHeight="1">
      <c r="B19" s="204" t="s">
        <v>249</v>
      </c>
      <c r="C19" s="206">
        <f>C18/C8</f>
        <v>0.23272328999434702</v>
      </c>
      <c r="D19" s="206">
        <f t="shared" ref="D19:J19" si="8">D18/D8</f>
        <v>5.508438995717526E-2</v>
      </c>
      <c r="E19" s="206">
        <f t="shared" si="8"/>
        <v>8.6461597493125347E-2</v>
      </c>
      <c r="F19" s="206">
        <f t="shared" si="8"/>
        <v>0.48582079616562379</v>
      </c>
      <c r="G19" s="206" t="e">
        <f t="shared" si="8"/>
        <v>#DIV/0!</v>
      </c>
      <c r="H19" s="206" t="e">
        <f t="shared" si="8"/>
        <v>#DIV/0!</v>
      </c>
      <c r="I19" s="206" t="e">
        <f t="shared" si="8"/>
        <v>#DIV/0!</v>
      </c>
      <c r="J19" s="206" t="e">
        <f t="shared" si="8"/>
        <v>#DIV/0!</v>
      </c>
      <c r="K19" s="206" t="e">
        <f t="shared" ref="K19:L19" si="9">K18/K8</f>
        <v>#DIV/0!</v>
      </c>
      <c r="L19" s="206">
        <f t="shared" si="9"/>
        <v>0.22946090999956537</v>
      </c>
      <c r="M19" s="214"/>
      <c r="N19" s="214"/>
    </row>
    <row r="21" spans="2:14">
      <c r="B21" s="190" t="s">
        <v>253</v>
      </c>
      <c r="C21" s="213">
        <f>C8*0.7</f>
        <v>990.64</v>
      </c>
      <c r="D21" s="213">
        <f t="shared" ref="D21" si="10">D8*0.7</f>
        <v>83.363</v>
      </c>
      <c r="E21" s="232">
        <f>E8*0.8</f>
        <v>125.096</v>
      </c>
      <c r="F21" s="232">
        <f t="shared" ref="F21:J21" si="11">F8*0.8</f>
        <v>120.176</v>
      </c>
      <c r="G21" s="232">
        <f t="shared" si="11"/>
        <v>0</v>
      </c>
      <c r="H21" s="232">
        <f t="shared" si="11"/>
        <v>0</v>
      </c>
      <c r="I21" s="232">
        <f t="shared" si="11"/>
        <v>0</v>
      </c>
      <c r="J21" s="232">
        <f t="shared" si="11"/>
        <v>0</v>
      </c>
      <c r="M21" s="213"/>
    </row>
    <row r="22" spans="2:14">
      <c r="B22" s="190" t="s">
        <v>254</v>
      </c>
      <c r="C22" s="213">
        <f>C17-C21</f>
        <v>95.21000000000015</v>
      </c>
      <c r="D22" s="213">
        <f t="shared" ref="D22:J22" si="12">D17-D21</f>
        <v>29.167000000000002</v>
      </c>
      <c r="E22" s="213">
        <f t="shared" si="12"/>
        <v>17.753999999999991</v>
      </c>
      <c r="F22" s="213">
        <f t="shared" si="12"/>
        <v>-42.936000000000007</v>
      </c>
      <c r="G22" s="213">
        <f t="shared" si="12"/>
        <v>0</v>
      </c>
      <c r="H22" s="213">
        <f t="shared" si="12"/>
        <v>0</v>
      </c>
      <c r="I22" s="213">
        <f t="shared" si="12"/>
        <v>0</v>
      </c>
      <c r="J22" s="213">
        <f t="shared" si="12"/>
        <v>0</v>
      </c>
      <c r="M22" s="213"/>
    </row>
  </sheetData>
  <mergeCells count="5">
    <mergeCell ref="A15:B15"/>
    <mergeCell ref="A5:A8"/>
    <mergeCell ref="A9:A14"/>
    <mergeCell ref="A1:L1"/>
    <mergeCell ref="L5:L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15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301" t="s">
        <v>6</v>
      </c>
      <c r="B1" s="301"/>
      <c r="C1" s="5"/>
      <c r="N1" s="8"/>
    </row>
    <row r="2" spans="1:15">
      <c r="A2" s="302" t="s">
        <v>191</v>
      </c>
      <c r="B2" s="302"/>
      <c r="C2" s="303"/>
      <c r="D2" s="303"/>
      <c r="E2" s="304" t="s">
        <v>282</v>
      </c>
      <c r="F2" s="305"/>
      <c r="G2" s="305"/>
      <c r="H2" s="305"/>
      <c r="I2" s="305"/>
      <c r="J2" s="305"/>
      <c r="K2" s="305"/>
      <c r="L2" s="305"/>
      <c r="M2" s="306"/>
    </row>
    <row r="3" spans="1:15" ht="24" customHeight="1">
      <c r="A3" s="291" t="s">
        <v>13</v>
      </c>
      <c r="B3" s="291" t="s">
        <v>192</v>
      </c>
      <c r="C3" s="6" t="s">
        <v>193</v>
      </c>
      <c r="D3" s="307" t="str">
        <f>损益表!A1</f>
        <v xml:space="preserve">领途及J6F车型气囊减震座椅项目投资收益分析 </v>
      </c>
      <c r="E3" s="307"/>
      <c r="F3" s="6" t="s">
        <v>194</v>
      </c>
      <c r="G3" s="179" t="s">
        <v>289</v>
      </c>
      <c r="H3" s="179"/>
      <c r="I3" s="179"/>
      <c r="J3" s="179"/>
      <c r="K3" s="179"/>
      <c r="L3" s="173"/>
      <c r="M3" s="308" t="s">
        <v>147</v>
      </c>
    </row>
    <row r="4" spans="1:15">
      <c r="A4" s="291"/>
      <c r="B4" s="291"/>
      <c r="C4" s="6" t="s">
        <v>137</v>
      </c>
      <c r="D4" s="163" t="str">
        <f>销量!C5</f>
        <v>驾驶员座总成</v>
      </c>
      <c r="E4" s="163" t="str">
        <f>销量!D5</f>
        <v>座垫总成-前座</v>
      </c>
      <c r="F4" s="163" t="str">
        <f>销量!E5</f>
        <v>主靠背总成-前座</v>
      </c>
      <c r="G4" s="163" t="str">
        <f>销量!F5</f>
        <v>副靠背总成</v>
      </c>
      <c r="H4" s="163">
        <f>销量!G5</f>
        <v>0</v>
      </c>
      <c r="I4" s="163">
        <f>销量!H5</f>
        <v>0</v>
      </c>
      <c r="J4" s="163">
        <f>销量!I5</f>
        <v>0</v>
      </c>
      <c r="K4" s="163">
        <f>销量!J5</f>
        <v>0</v>
      </c>
      <c r="L4" s="163"/>
      <c r="M4" s="309"/>
    </row>
    <row r="5" spans="1:15" ht="47.25" customHeight="1">
      <c r="A5" s="291"/>
      <c r="B5" s="291"/>
      <c r="C5" s="6" t="s">
        <v>241</v>
      </c>
      <c r="D5" s="164" t="str">
        <f>销量!C6</f>
        <v>6800010BH26-C00</v>
      </c>
      <c r="E5" s="164" t="str">
        <f>销量!D6</f>
        <v>6903010AH26-C00</v>
      </c>
      <c r="F5" s="164" t="str">
        <f>销量!E6</f>
        <v>6905020CH26-C00</v>
      </c>
      <c r="G5" s="164" t="str">
        <f>销量!F6</f>
        <v>6905100-H26-C00</v>
      </c>
      <c r="H5" s="164">
        <f>销量!G6</f>
        <v>0</v>
      </c>
      <c r="I5" s="164">
        <f>销量!H6</f>
        <v>0</v>
      </c>
      <c r="J5" s="164">
        <f>销量!I6</f>
        <v>0</v>
      </c>
      <c r="K5" s="164">
        <f>销量!J6</f>
        <v>0</v>
      </c>
      <c r="L5" s="164"/>
      <c r="M5" s="310"/>
    </row>
    <row r="6" spans="1:15" s="176" customFormat="1">
      <c r="A6" s="178">
        <v>1</v>
      </c>
      <c r="B6" s="311"/>
      <c r="C6" s="312"/>
      <c r="D6" s="181">
        <v>1085.8500000000001</v>
      </c>
      <c r="E6" s="181">
        <v>112.53</v>
      </c>
      <c r="F6" s="181">
        <v>142.85</v>
      </c>
      <c r="G6" s="181">
        <v>77.239999999999995</v>
      </c>
      <c r="H6" s="181"/>
      <c r="I6" s="181"/>
      <c r="J6" s="181"/>
      <c r="K6" s="181"/>
      <c r="L6" s="184"/>
      <c r="M6" s="145"/>
    </row>
    <row r="7" spans="1:15" s="176" customFormat="1" ht="16.5" customHeight="1">
      <c r="A7" s="178">
        <v>2</v>
      </c>
      <c r="B7" s="311"/>
      <c r="C7" s="312"/>
      <c r="D7" s="183"/>
      <c r="E7" s="183"/>
      <c r="F7" s="183"/>
      <c r="G7" s="183"/>
      <c r="H7" s="183"/>
      <c r="I7" s="183"/>
      <c r="J7" s="183"/>
      <c r="K7" s="183"/>
      <c r="L7" s="183"/>
      <c r="M7" s="182"/>
    </row>
    <row r="8" spans="1:15" s="176" customFormat="1" ht="16.5" customHeight="1">
      <c r="A8" s="178">
        <v>3</v>
      </c>
      <c r="B8" s="311"/>
      <c r="C8" s="312"/>
      <c r="D8" s="184"/>
      <c r="E8" s="183"/>
      <c r="F8" s="184"/>
      <c r="G8" s="184"/>
      <c r="H8" s="184"/>
      <c r="I8" s="184"/>
      <c r="J8" s="184"/>
      <c r="K8" s="184"/>
      <c r="L8" s="183"/>
      <c r="M8" s="182"/>
    </row>
    <row r="9" spans="1:15" s="176" customFormat="1">
      <c r="A9" s="178">
        <v>4</v>
      </c>
      <c r="B9" s="311"/>
      <c r="C9" s="312"/>
      <c r="D9" s="184"/>
      <c r="E9" s="183"/>
      <c r="F9" s="184"/>
      <c r="G9" s="184"/>
      <c r="H9" s="184"/>
      <c r="I9" s="184"/>
      <c r="J9" s="184"/>
      <c r="K9" s="184"/>
      <c r="L9" s="183"/>
      <c r="M9" s="182"/>
    </row>
    <row r="10" spans="1:15" s="176" customFormat="1" ht="16.5" customHeight="1">
      <c r="A10" s="178">
        <v>5</v>
      </c>
      <c r="B10" s="311"/>
      <c r="C10" s="312"/>
      <c r="D10" s="184"/>
      <c r="E10" s="183"/>
      <c r="F10" s="184"/>
      <c r="G10" s="184"/>
      <c r="H10" s="184"/>
      <c r="I10" s="184"/>
      <c r="J10" s="184"/>
      <c r="K10" s="184"/>
      <c r="L10" s="183"/>
      <c r="M10" s="182"/>
      <c r="N10" s="289"/>
      <c r="O10" s="290"/>
    </row>
    <row r="11" spans="1:15" s="176" customFormat="1" ht="16.5" customHeight="1">
      <c r="A11" s="178">
        <v>6</v>
      </c>
      <c r="B11" s="311"/>
      <c r="C11" s="312"/>
      <c r="D11" s="184"/>
      <c r="E11" s="183"/>
      <c r="F11" s="184"/>
      <c r="G11" s="184"/>
      <c r="H11" s="184"/>
      <c r="I11" s="184"/>
      <c r="J11" s="184"/>
      <c r="K11" s="184"/>
      <c r="L11" s="183"/>
      <c r="M11" s="182"/>
      <c r="N11" s="289"/>
      <c r="O11" s="290"/>
    </row>
    <row r="12" spans="1:15" ht="31.5" customHeight="1">
      <c r="A12" s="293" t="s">
        <v>195</v>
      </c>
      <c r="B12" s="294"/>
      <c r="C12" s="295"/>
      <c r="D12" s="7">
        <f>SUM(D6:D11)</f>
        <v>1085.8500000000001</v>
      </c>
      <c r="E12" s="7">
        <f>SUM(E6:E11)</f>
        <v>112.53</v>
      </c>
      <c r="F12" s="7">
        <f>SUM(F6:F11)</f>
        <v>142.85</v>
      </c>
      <c r="G12" s="7">
        <f t="shared" ref="G12:K12" si="0">SUM(G6:G11)</f>
        <v>77.239999999999995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9"/>
    </row>
    <row r="13" spans="1:15">
      <c r="D13" s="322" t="s">
        <v>296</v>
      </c>
      <c r="E13" s="322" t="s">
        <v>297</v>
      </c>
      <c r="F13" s="322" t="s">
        <v>298</v>
      </c>
      <c r="G13" s="322" t="s">
        <v>299</v>
      </c>
      <c r="H13" s="13"/>
      <c r="I13" s="13"/>
      <c r="J13" s="13"/>
      <c r="K13" s="13"/>
    </row>
    <row r="14" spans="1:15" ht="33">
      <c r="D14" s="322" t="s">
        <v>300</v>
      </c>
      <c r="E14" s="322" t="s">
        <v>301</v>
      </c>
      <c r="F14" s="322" t="s">
        <v>301</v>
      </c>
      <c r="G14" s="322" t="s">
        <v>301</v>
      </c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92" t="s">
        <v>242</v>
      </c>
      <c r="E17" s="292"/>
      <c r="F17" s="292"/>
      <c r="G17" s="292"/>
      <c r="H17" s="292"/>
      <c r="I17" s="292"/>
      <c r="J17" s="292"/>
      <c r="K17" s="292"/>
      <c r="L17" s="292"/>
      <c r="M17" s="292"/>
    </row>
    <row r="18" spans="2:13">
      <c r="C18" s="296" t="s">
        <v>224</v>
      </c>
      <c r="D18" s="296" t="s">
        <v>251</v>
      </c>
      <c r="E18" s="298" t="s">
        <v>283</v>
      </c>
      <c r="F18" s="299"/>
      <c r="G18" s="299"/>
      <c r="H18" s="299"/>
      <c r="I18" s="299"/>
      <c r="J18" s="299"/>
      <c r="K18" s="299"/>
      <c r="L18" s="299"/>
      <c r="M18" s="300"/>
    </row>
    <row r="19" spans="2:13">
      <c r="B19" s="13"/>
      <c r="C19" s="297"/>
      <c r="D19" s="297"/>
      <c r="E19" s="152" t="s">
        <v>256</v>
      </c>
      <c r="F19" s="219" t="s">
        <v>180</v>
      </c>
      <c r="G19" s="219" t="s">
        <v>181</v>
      </c>
      <c r="H19" s="219" t="s">
        <v>225</v>
      </c>
      <c r="I19" s="219" t="s">
        <v>236</v>
      </c>
      <c r="J19" s="219" t="s">
        <v>237</v>
      </c>
      <c r="K19" s="219" t="s">
        <v>240</v>
      </c>
      <c r="L19" s="219" t="s">
        <v>261</v>
      </c>
      <c r="M19" s="152"/>
    </row>
    <row r="20" spans="2:13">
      <c r="C20" s="210" t="str">
        <f>D4</f>
        <v>驾驶员座总成</v>
      </c>
      <c r="D20" s="210" t="str">
        <f>D5</f>
        <v>6800010BH26-C00</v>
      </c>
      <c r="E20" s="183">
        <f>D12</f>
        <v>1085.8500000000001</v>
      </c>
      <c r="F20" s="154">
        <f>E20*(1-0.025)</f>
        <v>1058.7037500000001</v>
      </c>
      <c r="G20" s="154">
        <f t="shared" ref="G20:I20" si="1">F20*(1-0.025)</f>
        <v>1032.23615625</v>
      </c>
      <c r="H20" s="154">
        <f t="shared" si="1"/>
        <v>1006.43025234375</v>
      </c>
      <c r="I20" s="154">
        <f t="shared" si="1"/>
        <v>981.26949603515618</v>
      </c>
      <c r="J20" s="154"/>
      <c r="K20" s="154"/>
      <c r="L20" s="154"/>
      <c r="M20" s="154"/>
    </row>
    <row r="21" spans="2:13">
      <c r="C21" s="210" t="str">
        <f>E4</f>
        <v>座垫总成-前座</v>
      </c>
      <c r="D21" s="210" t="str">
        <f>E5</f>
        <v>6903010AH26-C00</v>
      </c>
      <c r="E21" s="183">
        <f>E12</f>
        <v>112.53</v>
      </c>
      <c r="F21" s="154">
        <f t="shared" ref="F21:I21" si="2">E21*(1-0.025)</f>
        <v>109.71675</v>
      </c>
      <c r="G21" s="154">
        <f t="shared" si="2"/>
        <v>106.97383125</v>
      </c>
      <c r="H21" s="154">
        <f t="shared" si="2"/>
        <v>104.29948546875001</v>
      </c>
      <c r="I21" s="154">
        <f t="shared" si="2"/>
        <v>101.69199833203126</v>
      </c>
      <c r="J21" s="154"/>
      <c r="K21" s="154"/>
      <c r="L21" s="154"/>
      <c r="M21" s="154"/>
    </row>
    <row r="22" spans="2:13" ht="28.5">
      <c r="C22" s="210" t="str">
        <f>F4</f>
        <v>主靠背总成-前座</v>
      </c>
      <c r="D22" s="210" t="str">
        <f>F5</f>
        <v>6905020CH26-C00</v>
      </c>
      <c r="E22" s="183">
        <f>F12</f>
        <v>142.85</v>
      </c>
      <c r="F22" s="154">
        <f t="shared" ref="F22:I22" si="3">E22*(1-0.025)</f>
        <v>139.27875</v>
      </c>
      <c r="G22" s="154">
        <f t="shared" si="3"/>
        <v>135.79678125000001</v>
      </c>
      <c r="H22" s="154">
        <f t="shared" si="3"/>
        <v>132.40186171875001</v>
      </c>
      <c r="I22" s="154">
        <f t="shared" si="3"/>
        <v>129.09181517578125</v>
      </c>
      <c r="J22" s="154"/>
      <c r="K22" s="154"/>
      <c r="L22" s="154"/>
      <c r="M22" s="154"/>
    </row>
    <row r="23" spans="2:13">
      <c r="C23" s="180" t="str">
        <f>G4</f>
        <v>副靠背总成</v>
      </c>
      <c r="D23" s="210" t="str">
        <f>G5</f>
        <v>6905100-H26-C00</v>
      </c>
      <c r="E23" s="183">
        <f>G12</f>
        <v>77.239999999999995</v>
      </c>
      <c r="F23" s="154">
        <f t="shared" ref="F23:I23" si="4">E23*(1-0.025)</f>
        <v>75.308999999999997</v>
      </c>
      <c r="G23" s="154">
        <f t="shared" si="4"/>
        <v>73.42627499999999</v>
      </c>
      <c r="H23" s="154">
        <f t="shared" si="4"/>
        <v>71.590618124999992</v>
      </c>
      <c r="I23" s="154">
        <f t="shared" si="4"/>
        <v>69.800852671874992</v>
      </c>
      <c r="J23" s="154"/>
      <c r="K23" s="154"/>
      <c r="L23" s="154"/>
      <c r="M23" s="154"/>
    </row>
    <row r="24" spans="2:13">
      <c r="C24" s="180">
        <f>H4</f>
        <v>0</v>
      </c>
      <c r="D24" s="210">
        <f>H5</f>
        <v>0</v>
      </c>
      <c r="E24" s="183">
        <f>H12</f>
        <v>0</v>
      </c>
      <c r="F24" s="154">
        <f t="shared" ref="F24:I24" si="5">E24*(1-0.025)</f>
        <v>0</v>
      </c>
      <c r="G24" s="154">
        <f t="shared" si="5"/>
        <v>0</v>
      </c>
      <c r="H24" s="154">
        <f t="shared" si="5"/>
        <v>0</v>
      </c>
      <c r="I24" s="154">
        <f t="shared" si="5"/>
        <v>0</v>
      </c>
      <c r="J24" s="154"/>
      <c r="K24" s="154"/>
      <c r="L24" s="154"/>
      <c r="M24" s="154"/>
    </row>
    <row r="25" spans="2:13">
      <c r="C25" s="180">
        <f>I4</f>
        <v>0</v>
      </c>
      <c r="D25" s="210">
        <f>I5</f>
        <v>0</v>
      </c>
      <c r="E25" s="183">
        <f>I12</f>
        <v>0</v>
      </c>
      <c r="F25" s="154">
        <f t="shared" ref="F25:I25" si="6">E25*(1-0.025)</f>
        <v>0</v>
      </c>
      <c r="G25" s="154">
        <f t="shared" si="6"/>
        <v>0</v>
      </c>
      <c r="H25" s="154">
        <f t="shared" si="6"/>
        <v>0</v>
      </c>
      <c r="I25" s="154">
        <f t="shared" si="6"/>
        <v>0</v>
      </c>
      <c r="J25" s="154"/>
      <c r="K25" s="154"/>
      <c r="L25" s="154"/>
      <c r="M25" s="154"/>
    </row>
    <row r="26" spans="2:13">
      <c r="C26" s="180">
        <f>J4</f>
        <v>0</v>
      </c>
      <c r="D26" s="210">
        <f>J5</f>
        <v>0</v>
      </c>
      <c r="E26" s="183">
        <f>J12</f>
        <v>0</v>
      </c>
      <c r="F26" s="154">
        <f t="shared" ref="F26:I26" si="7">E26*(1-0.025)</f>
        <v>0</v>
      </c>
      <c r="G26" s="154">
        <f t="shared" si="7"/>
        <v>0</v>
      </c>
      <c r="H26" s="154">
        <f t="shared" si="7"/>
        <v>0</v>
      </c>
      <c r="I26" s="154">
        <f t="shared" si="7"/>
        <v>0</v>
      </c>
      <c r="J26" s="154"/>
      <c r="K26" s="154"/>
      <c r="L26" s="154"/>
      <c r="M26" s="9"/>
    </row>
    <row r="27" spans="2:13">
      <c r="C27" s="180">
        <f>K4</f>
        <v>0</v>
      </c>
      <c r="D27" s="210">
        <f>K5</f>
        <v>0</v>
      </c>
      <c r="E27" s="183">
        <f>K12</f>
        <v>0</v>
      </c>
      <c r="F27" s="154">
        <f t="shared" ref="F27:I27" si="8">E27*(1-0.025)</f>
        <v>0</v>
      </c>
      <c r="G27" s="154">
        <f t="shared" si="8"/>
        <v>0</v>
      </c>
      <c r="H27" s="154">
        <f t="shared" si="8"/>
        <v>0</v>
      </c>
      <c r="I27" s="154">
        <f t="shared" si="8"/>
        <v>0</v>
      </c>
      <c r="J27" s="154"/>
      <c r="K27" s="154"/>
      <c r="L27" s="154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5.5" style="212" customWidth="1"/>
    <col min="2" max="2" width="29.625" style="212" customWidth="1"/>
    <col min="3" max="3" width="25.5" style="212" customWidth="1"/>
    <col min="4" max="4" width="22" style="212" customWidth="1"/>
    <col min="5" max="16384" width="9" style="212"/>
  </cols>
  <sheetData>
    <row r="1" spans="1:5" ht="27" customHeight="1">
      <c r="A1" s="211" t="s">
        <v>13</v>
      </c>
      <c r="B1" s="211" t="s">
        <v>196</v>
      </c>
      <c r="C1" s="211" t="s">
        <v>197</v>
      </c>
      <c r="D1" s="211" t="s">
        <v>198</v>
      </c>
    </row>
    <row r="2" spans="1:5">
      <c r="A2" s="211">
        <v>1</v>
      </c>
      <c r="B2" s="223" t="s">
        <v>199</v>
      </c>
      <c r="C2" s="174" t="s">
        <v>271</v>
      </c>
      <c r="D2" s="224"/>
    </row>
    <row r="3" spans="1:5">
      <c r="A3" s="211">
        <v>2</v>
      </c>
      <c r="B3" s="223" t="s">
        <v>200</v>
      </c>
      <c r="C3" s="175" t="s">
        <v>272</v>
      </c>
      <c r="D3" s="224" t="s">
        <v>263</v>
      </c>
    </row>
    <row r="4" spans="1:5">
      <c r="A4" s="211">
        <v>3</v>
      </c>
      <c r="B4" s="223" t="s">
        <v>201</v>
      </c>
      <c r="C4" s="174" t="s">
        <v>273</v>
      </c>
      <c r="D4" s="224" t="s">
        <v>264</v>
      </c>
    </row>
    <row r="5" spans="1:5">
      <c r="A5" s="211">
        <v>4</v>
      </c>
      <c r="B5" s="223" t="s">
        <v>202</v>
      </c>
      <c r="C5" s="174" t="s">
        <v>268</v>
      </c>
      <c r="D5" s="224"/>
    </row>
    <row r="6" spans="1:5">
      <c r="A6" s="211">
        <v>5</v>
      </c>
      <c r="B6" s="223" t="s">
        <v>203</v>
      </c>
      <c r="C6" s="174" t="s">
        <v>268</v>
      </c>
      <c r="D6" s="224"/>
    </row>
    <row r="7" spans="1:5">
      <c r="A7" s="211">
        <v>6</v>
      </c>
      <c r="B7" s="224" t="s">
        <v>204</v>
      </c>
      <c r="C7" s="175" t="s">
        <v>274</v>
      </c>
      <c r="D7" s="224"/>
    </row>
    <row r="8" spans="1:5">
      <c r="A8" s="211">
        <v>7</v>
      </c>
      <c r="B8" s="223" t="s">
        <v>205</v>
      </c>
      <c r="C8" s="185" t="s">
        <v>268</v>
      </c>
      <c r="D8" s="224"/>
    </row>
    <row r="9" spans="1:5">
      <c r="A9" s="211">
        <v>8</v>
      </c>
      <c r="B9" s="224" t="s">
        <v>206</v>
      </c>
      <c r="C9" s="185" t="s">
        <v>275</v>
      </c>
      <c r="D9" s="224"/>
    </row>
    <row r="10" spans="1:5">
      <c r="A10" s="211">
        <v>9</v>
      </c>
      <c r="B10" s="224" t="s">
        <v>207</v>
      </c>
      <c r="C10" s="185" t="s">
        <v>268</v>
      </c>
      <c r="D10" s="224"/>
      <c r="E10" s="215"/>
    </row>
    <row r="11" spans="1:5">
      <c r="A11" s="211">
        <v>10</v>
      </c>
      <c r="B11" s="224" t="s">
        <v>208</v>
      </c>
      <c r="C11" s="185" t="s">
        <v>265</v>
      </c>
      <c r="D11" s="224" t="s">
        <v>266</v>
      </c>
    </row>
    <row r="12" spans="1:5">
      <c r="A12" s="211">
        <v>11</v>
      </c>
      <c r="B12" s="224" t="s">
        <v>209</v>
      </c>
      <c r="C12" s="185" t="s">
        <v>265</v>
      </c>
      <c r="D12" s="224"/>
    </row>
    <row r="13" spans="1:5">
      <c r="A13" s="211">
        <v>12</v>
      </c>
      <c r="B13" s="223" t="s">
        <v>243</v>
      </c>
      <c r="C13" s="185" t="s">
        <v>269</v>
      </c>
      <c r="D13" s="224"/>
    </row>
    <row r="14" spans="1:5">
      <c r="A14" s="211">
        <v>13</v>
      </c>
      <c r="B14" s="223" t="s">
        <v>244</v>
      </c>
      <c r="C14" s="185" t="s">
        <v>270</v>
      </c>
      <c r="D14" s="224"/>
    </row>
    <row r="15" spans="1:5">
      <c r="A15" s="211">
        <v>14</v>
      </c>
      <c r="B15" s="223" t="s">
        <v>245</v>
      </c>
      <c r="C15" s="185"/>
      <c r="D15" s="224"/>
    </row>
    <row r="16" spans="1:5">
      <c r="A16" s="211">
        <v>15</v>
      </c>
      <c r="B16" s="224" t="s">
        <v>123</v>
      </c>
      <c r="C16" s="224"/>
      <c r="D16" s="224"/>
    </row>
    <row r="17" spans="2:4" ht="16.5">
      <c r="B17" s="225" t="s">
        <v>267</v>
      </c>
      <c r="C17" s="226"/>
      <c r="D17" s="226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zoomScale="85" zoomScaleNormal="85" workbookViewId="0">
      <selection activeCell="K16" sqref="K16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2" s="135" customFormat="1" ht="18.75" customHeight="1">
      <c r="F1" s="313" t="s">
        <v>210</v>
      </c>
      <c r="G1" s="313"/>
      <c r="H1" s="136"/>
    </row>
    <row r="2" spans="1:12" ht="20.25" customHeight="1">
      <c r="A2" s="319" t="s">
        <v>211</v>
      </c>
      <c r="B2" s="319"/>
      <c r="C2" s="320" t="s">
        <v>284</v>
      </c>
      <c r="D2" s="320"/>
      <c r="E2" s="320"/>
      <c r="F2" s="320"/>
      <c r="G2" s="316"/>
      <c r="H2" s="137" t="s">
        <v>218</v>
      </c>
      <c r="J2" s="151"/>
      <c r="K2" s="151"/>
    </row>
    <row r="3" spans="1:12" ht="34.5" customHeight="1">
      <c r="A3" s="319"/>
      <c r="B3" s="319"/>
      <c r="C3" s="144" t="s">
        <v>220</v>
      </c>
      <c r="D3" s="144" t="s">
        <v>219</v>
      </c>
      <c r="E3" s="145" t="s">
        <v>223</v>
      </c>
      <c r="F3" s="145" t="s">
        <v>222</v>
      </c>
      <c r="G3" s="145" t="s">
        <v>246</v>
      </c>
      <c r="H3" s="148">
        <f>销量!C8</f>
        <v>1415.2</v>
      </c>
      <c r="I3" s="321" t="s">
        <v>287</v>
      </c>
      <c r="J3" s="321"/>
      <c r="K3" s="321"/>
      <c r="L3" s="321"/>
    </row>
    <row r="4" spans="1:12">
      <c r="A4" s="314" t="s">
        <v>212</v>
      </c>
      <c r="B4" s="314"/>
      <c r="C4" s="139"/>
      <c r="D4" s="140">
        <f>$H$3*E4</f>
        <v>82.28057729905143</v>
      </c>
      <c r="E4" s="158">
        <v>5.8140600126520232E-2</v>
      </c>
      <c r="F4" s="158">
        <v>0.10179000000000001</v>
      </c>
      <c r="G4" s="141">
        <v>6.3270000000000007E-2</v>
      </c>
      <c r="I4" s="149"/>
      <c r="J4" s="56"/>
      <c r="K4" s="56"/>
    </row>
    <row r="5" spans="1:12">
      <c r="A5" s="314" t="s">
        <v>213</v>
      </c>
      <c r="B5" s="142" t="s">
        <v>214</v>
      </c>
      <c r="C5" s="139"/>
      <c r="D5" s="140">
        <f>$H$3*E5</f>
        <v>63.683999999999997</v>
      </c>
      <c r="E5" s="141">
        <v>4.4999999999999998E-2</v>
      </c>
      <c r="F5" s="158">
        <v>0.2</v>
      </c>
      <c r="G5" s="141">
        <v>0.08</v>
      </c>
      <c r="I5" s="150"/>
      <c r="J5" s="56"/>
      <c r="K5" s="56"/>
    </row>
    <row r="6" spans="1:12">
      <c r="A6" s="314"/>
      <c r="B6" s="142" t="s">
        <v>215</v>
      </c>
      <c r="C6" s="139"/>
      <c r="D6" s="140">
        <f t="shared" ref="D6" si="0">$H$3*E6</f>
        <v>25.570338672430768</v>
      </c>
      <c r="E6" s="158">
        <v>1.8068356891203199E-2</v>
      </c>
      <c r="F6" s="158">
        <v>4.0280000000000003E-2</v>
      </c>
      <c r="G6" s="141">
        <v>2.068E-2</v>
      </c>
      <c r="I6" s="149"/>
      <c r="J6" s="56"/>
      <c r="K6" s="56"/>
    </row>
    <row r="7" spans="1:12">
      <c r="A7" s="315" t="s">
        <v>216</v>
      </c>
      <c r="B7" s="316"/>
      <c r="C7" s="143"/>
      <c r="D7" s="186">
        <f>$H$3*E7</f>
        <v>171.53491597148221</v>
      </c>
      <c r="E7" s="187">
        <f>SUM(E4:E6)</f>
        <v>0.12120895701772344</v>
      </c>
      <c r="F7" s="187">
        <f>SUM(F4:F6)</f>
        <v>0.34206999999999999</v>
      </c>
      <c r="G7" s="188">
        <f>SUM(G4:G6)</f>
        <v>0.16395000000000001</v>
      </c>
      <c r="I7" s="149"/>
      <c r="J7" s="56"/>
      <c r="K7" s="56"/>
    </row>
    <row r="8" spans="1:12">
      <c r="A8" s="314" t="s">
        <v>44</v>
      </c>
      <c r="B8" s="314"/>
      <c r="C8" s="139"/>
      <c r="D8" s="140">
        <f>$H$3*E8</f>
        <v>57.405195309160653</v>
      </c>
      <c r="E8" s="159">
        <v>4.0563309291379773E-2</v>
      </c>
      <c r="F8" s="158">
        <v>2.9350000000000001E-2</v>
      </c>
      <c r="G8" s="141">
        <v>4.9200000000000001E-2</v>
      </c>
      <c r="I8" s="150"/>
      <c r="J8" s="56"/>
      <c r="K8" s="56"/>
    </row>
    <row r="9" spans="1:12">
      <c r="A9" s="317" t="s">
        <v>217</v>
      </c>
      <c r="B9" s="142" t="s">
        <v>214</v>
      </c>
      <c r="C9" s="139"/>
      <c r="D9" s="140">
        <f>$H$3*E9</f>
        <v>11.180080000000002</v>
      </c>
      <c r="E9" s="141">
        <v>7.9000000000000008E-3</v>
      </c>
      <c r="F9" s="158">
        <v>2.1489999999999999E-2</v>
      </c>
      <c r="G9" s="141">
        <v>9.4900000000000002E-3</v>
      </c>
      <c r="I9" s="138"/>
      <c r="J9" s="56"/>
      <c r="K9" s="56"/>
    </row>
    <row r="10" spans="1:12">
      <c r="A10" s="318"/>
      <c r="B10" s="142" t="s">
        <v>215</v>
      </c>
      <c r="C10" s="139"/>
      <c r="D10" s="140">
        <f>$H$3*E10</f>
        <v>35.380000000000003</v>
      </c>
      <c r="E10" s="138">
        <v>2.5000000000000001E-2</v>
      </c>
      <c r="F10" s="158">
        <v>5.8119999999999998E-2</v>
      </c>
      <c r="G10" s="141">
        <v>5.4899999999999997E-2</v>
      </c>
      <c r="I10" s="138"/>
      <c r="J10" s="56"/>
      <c r="K10" s="56"/>
    </row>
    <row r="11" spans="1:12">
      <c r="A11" s="314" t="s">
        <v>47</v>
      </c>
      <c r="B11" s="314"/>
      <c r="C11" s="139"/>
      <c r="D11" s="140">
        <f t="shared" ref="D11" si="1">$H$3*E11</f>
        <v>30.14376</v>
      </c>
      <c r="E11" s="141">
        <v>2.1299999999999999E-2</v>
      </c>
      <c r="F11" s="158">
        <v>2.1299999999999999E-2</v>
      </c>
      <c r="G11" s="141">
        <v>2.1299999999999999E-2</v>
      </c>
      <c r="I11" s="138"/>
      <c r="J11" s="56"/>
      <c r="K11" s="56"/>
    </row>
    <row r="15" spans="1:12">
      <c r="A15" s="135"/>
      <c r="B15" s="135"/>
      <c r="C15" s="135"/>
      <c r="D15" s="135"/>
      <c r="E15" s="135"/>
      <c r="F15" s="313" t="s">
        <v>210</v>
      </c>
      <c r="G15" s="313"/>
      <c r="H15" s="136"/>
    </row>
    <row r="16" spans="1:12" ht="22.5" customHeight="1">
      <c r="A16" s="319" t="s">
        <v>211</v>
      </c>
      <c r="B16" s="319"/>
      <c r="C16" s="320" t="str">
        <f>C2</f>
        <v>预计</v>
      </c>
      <c r="D16" s="320"/>
      <c r="E16" s="320"/>
      <c r="F16" s="320"/>
      <c r="G16" s="316"/>
      <c r="H16" s="137" t="s">
        <v>218</v>
      </c>
    </row>
    <row r="17" spans="1:8" ht="27">
      <c r="A17" s="319"/>
      <c r="B17" s="319"/>
      <c r="C17" s="144" t="s">
        <v>220</v>
      </c>
      <c r="D17" s="144" t="s">
        <v>219</v>
      </c>
      <c r="E17" s="145" t="s">
        <v>223</v>
      </c>
      <c r="F17" s="145" t="s">
        <v>222</v>
      </c>
      <c r="G17" s="145" t="s">
        <v>221</v>
      </c>
      <c r="H17" s="148">
        <f>销量!D8</f>
        <v>119.09</v>
      </c>
    </row>
    <row r="18" spans="1:8">
      <c r="A18" s="314" t="s">
        <v>212</v>
      </c>
      <c r="B18" s="314"/>
      <c r="C18" s="139"/>
      <c r="D18" s="140">
        <f>$H$17*E18</f>
        <v>6.9239640690672948</v>
      </c>
      <c r="E18" s="158">
        <v>5.8140600126520232E-2</v>
      </c>
      <c r="F18" s="158">
        <v>0.10179000000000001</v>
      </c>
      <c r="G18" s="141">
        <v>6.3270000000000007E-2</v>
      </c>
    </row>
    <row r="19" spans="1:8">
      <c r="A19" s="314" t="s">
        <v>213</v>
      </c>
      <c r="B19" s="157" t="s">
        <v>214</v>
      </c>
      <c r="C19" s="139"/>
      <c r="D19" s="140">
        <f t="shared" ref="D19:D23" si="2">$H$17*E19</f>
        <v>5.3590499999999999</v>
      </c>
      <c r="E19" s="141">
        <v>4.4999999999999998E-2</v>
      </c>
      <c r="F19" s="158">
        <v>0.2</v>
      </c>
      <c r="G19" s="141">
        <v>0.08</v>
      </c>
    </row>
    <row r="20" spans="1:8">
      <c r="A20" s="314"/>
      <c r="B20" s="157" t="s">
        <v>215</v>
      </c>
      <c r="C20" s="139"/>
      <c r="D20" s="140">
        <f t="shared" si="2"/>
        <v>2.1517606221733891</v>
      </c>
      <c r="E20" s="158">
        <v>1.8068356891203199E-2</v>
      </c>
      <c r="F20" s="158">
        <v>4.0280000000000003E-2</v>
      </c>
      <c r="G20" s="141">
        <v>2.068E-2</v>
      </c>
    </row>
    <row r="21" spans="1:8">
      <c r="A21" s="315" t="s">
        <v>216</v>
      </c>
      <c r="B21" s="316"/>
      <c r="C21" s="143"/>
      <c r="D21" s="140">
        <f t="shared" si="2"/>
        <v>14.434774691240685</v>
      </c>
      <c r="E21" s="187">
        <f>SUM(E18:E20)</f>
        <v>0.12120895701772344</v>
      </c>
      <c r="F21" s="187">
        <f>SUM(F18:F20)</f>
        <v>0.34206999999999999</v>
      </c>
      <c r="G21" s="188">
        <f>SUM(G18:G20)</f>
        <v>0.16395000000000001</v>
      </c>
    </row>
    <row r="22" spans="1:8">
      <c r="A22" s="314" t="s">
        <v>44</v>
      </c>
      <c r="B22" s="314"/>
      <c r="C22" s="139"/>
      <c r="D22" s="140">
        <f t="shared" si="2"/>
        <v>4.8306845035104171</v>
      </c>
      <c r="E22" s="159">
        <v>4.0563309291379773E-2</v>
      </c>
      <c r="F22" s="158">
        <v>2.9350000000000001E-2</v>
      </c>
      <c r="G22" s="141">
        <v>4.9200000000000001E-2</v>
      </c>
    </row>
    <row r="23" spans="1:8">
      <c r="A23" s="317" t="s">
        <v>217</v>
      </c>
      <c r="B23" s="157" t="s">
        <v>214</v>
      </c>
      <c r="C23" s="139"/>
      <c r="D23" s="140">
        <f t="shared" si="2"/>
        <v>0.94081100000000006</v>
      </c>
      <c r="E23" s="141">
        <v>7.9000000000000008E-3</v>
      </c>
      <c r="F23" s="158">
        <v>2.1489999999999999E-2</v>
      </c>
      <c r="G23" s="141">
        <v>9.4900000000000002E-3</v>
      </c>
    </row>
    <row r="24" spans="1:8">
      <c r="A24" s="318"/>
      <c r="B24" s="157" t="s">
        <v>215</v>
      </c>
      <c r="C24" s="139"/>
      <c r="D24" s="140">
        <f>$H$17*E24</f>
        <v>2.9772500000000002</v>
      </c>
      <c r="E24" s="138">
        <v>2.5000000000000001E-2</v>
      </c>
      <c r="F24" s="158">
        <v>5.8119999999999998E-2</v>
      </c>
      <c r="G24" s="141">
        <v>5.4899999999999997E-2</v>
      </c>
    </row>
    <row r="25" spans="1:8">
      <c r="A25" s="314" t="s">
        <v>47</v>
      </c>
      <c r="B25" s="314"/>
      <c r="C25" s="139"/>
      <c r="D25" s="140">
        <f t="shared" ref="D25" si="3">$H$17*E25</f>
        <v>2.5366170000000001</v>
      </c>
      <c r="E25" s="141">
        <v>2.1299999999999999E-2</v>
      </c>
      <c r="F25" s="158">
        <v>2.1299999999999999E-2</v>
      </c>
      <c r="G25" s="141">
        <v>2.1299999999999999E-2</v>
      </c>
    </row>
    <row r="29" spans="1:8">
      <c r="A29" s="135"/>
      <c r="B29" s="135"/>
      <c r="C29" s="135"/>
      <c r="D29" s="135"/>
      <c r="E29" s="135"/>
      <c r="F29" s="313" t="s">
        <v>210</v>
      </c>
      <c r="G29" s="313"/>
      <c r="H29" s="136"/>
    </row>
    <row r="30" spans="1:8" ht="30" customHeight="1">
      <c r="A30" s="319" t="s">
        <v>211</v>
      </c>
      <c r="B30" s="319"/>
      <c r="C30" s="320" t="str">
        <f>C2</f>
        <v>预计</v>
      </c>
      <c r="D30" s="320"/>
      <c r="E30" s="320"/>
      <c r="F30" s="320"/>
      <c r="G30" s="316"/>
      <c r="H30" s="137" t="s">
        <v>218</v>
      </c>
    </row>
    <row r="31" spans="1:8" ht="27">
      <c r="A31" s="319"/>
      <c r="B31" s="319"/>
      <c r="C31" s="144" t="s">
        <v>220</v>
      </c>
      <c r="D31" s="144" t="s">
        <v>219</v>
      </c>
      <c r="E31" s="145" t="s">
        <v>223</v>
      </c>
      <c r="F31" s="145" t="s">
        <v>222</v>
      </c>
      <c r="G31" s="145" t="s">
        <v>221</v>
      </c>
      <c r="H31" s="148">
        <f>销量!E8</f>
        <v>156.37</v>
      </c>
    </row>
    <row r="32" spans="1:8">
      <c r="A32" s="314" t="s">
        <v>212</v>
      </c>
      <c r="B32" s="314"/>
      <c r="C32" s="139"/>
      <c r="D32" s="140">
        <f>$H$31*E32</f>
        <v>9.0914456417839684</v>
      </c>
      <c r="E32" s="158">
        <v>5.8140600126520232E-2</v>
      </c>
      <c r="F32" s="158">
        <v>0.10179000000000001</v>
      </c>
      <c r="G32" s="141">
        <v>6.3270000000000007E-2</v>
      </c>
    </row>
    <row r="33" spans="1:8">
      <c r="A33" s="314" t="s">
        <v>213</v>
      </c>
      <c r="B33" s="157" t="s">
        <v>214</v>
      </c>
      <c r="C33" s="139"/>
      <c r="D33" s="140">
        <f t="shared" ref="D33:D37" si="4">$H$31*E33</f>
        <v>7.0366499999999998</v>
      </c>
      <c r="E33" s="141">
        <v>4.4999999999999998E-2</v>
      </c>
      <c r="F33" s="158">
        <v>0.2</v>
      </c>
      <c r="G33" s="141">
        <v>0.08</v>
      </c>
    </row>
    <row r="34" spans="1:8">
      <c r="A34" s="314"/>
      <c r="B34" s="157" t="s">
        <v>215</v>
      </c>
      <c r="C34" s="139"/>
      <c r="D34" s="140">
        <f t="shared" si="4"/>
        <v>2.8253489670774443</v>
      </c>
      <c r="E34" s="158">
        <v>1.8068356891203199E-2</v>
      </c>
      <c r="F34" s="158">
        <v>4.0280000000000003E-2</v>
      </c>
      <c r="G34" s="141">
        <v>2.068E-2</v>
      </c>
    </row>
    <row r="35" spans="1:8">
      <c r="A35" s="315" t="s">
        <v>216</v>
      </c>
      <c r="B35" s="316"/>
      <c r="C35" s="143"/>
      <c r="D35" s="140">
        <f t="shared" si="4"/>
        <v>18.953444608861414</v>
      </c>
      <c r="E35" s="187">
        <f>SUM(E32:E34)</f>
        <v>0.12120895701772344</v>
      </c>
      <c r="F35" s="187">
        <f>SUM(F32:F34)</f>
        <v>0.34206999999999999</v>
      </c>
      <c r="G35" s="188">
        <f>SUM(G32:G34)</f>
        <v>0.16395000000000001</v>
      </c>
    </row>
    <row r="36" spans="1:8">
      <c r="A36" s="314" t="s">
        <v>44</v>
      </c>
      <c r="B36" s="314"/>
      <c r="C36" s="139"/>
      <c r="D36" s="140">
        <f t="shared" si="4"/>
        <v>6.3428846738930558</v>
      </c>
      <c r="E36" s="159">
        <v>4.0563309291379773E-2</v>
      </c>
      <c r="F36" s="158">
        <v>2.9350000000000001E-2</v>
      </c>
      <c r="G36" s="141">
        <v>4.9200000000000001E-2</v>
      </c>
    </row>
    <row r="37" spans="1:8">
      <c r="A37" s="317" t="s">
        <v>217</v>
      </c>
      <c r="B37" s="157" t="s">
        <v>214</v>
      </c>
      <c r="C37" s="139"/>
      <c r="D37" s="140">
        <f t="shared" si="4"/>
        <v>1.2353230000000002</v>
      </c>
      <c r="E37" s="141">
        <v>7.9000000000000008E-3</v>
      </c>
      <c r="F37" s="158">
        <v>2.1489999999999999E-2</v>
      </c>
      <c r="G37" s="141">
        <v>9.4900000000000002E-3</v>
      </c>
    </row>
    <row r="38" spans="1:8">
      <c r="A38" s="318"/>
      <c r="B38" s="157" t="s">
        <v>215</v>
      </c>
      <c r="C38" s="139"/>
      <c r="D38" s="140">
        <f>$H$31*E38</f>
        <v>3.9092500000000001</v>
      </c>
      <c r="E38" s="138">
        <v>2.5000000000000001E-2</v>
      </c>
      <c r="F38" s="158">
        <v>5.8119999999999998E-2</v>
      </c>
      <c r="G38" s="141">
        <v>5.4899999999999997E-2</v>
      </c>
    </row>
    <row r="39" spans="1:8">
      <c r="A39" s="314" t="s">
        <v>47</v>
      </c>
      <c r="B39" s="314"/>
      <c r="C39" s="139"/>
      <c r="D39" s="140">
        <f t="shared" ref="D39" si="5">$H$31*E39</f>
        <v>3.3306810000000002</v>
      </c>
      <c r="E39" s="141">
        <v>2.1299999999999999E-2</v>
      </c>
      <c r="F39" s="158">
        <v>2.1299999999999999E-2</v>
      </c>
      <c r="G39" s="141">
        <v>2.1299999999999999E-2</v>
      </c>
    </row>
    <row r="42" spans="1:8">
      <c r="A42" s="135"/>
      <c r="B42" s="135"/>
      <c r="C42" s="135"/>
      <c r="D42" s="135"/>
      <c r="E42" s="135"/>
      <c r="F42" s="313" t="s">
        <v>210</v>
      </c>
      <c r="G42" s="313"/>
      <c r="H42" s="136"/>
    </row>
    <row r="43" spans="1:8" ht="28.5" customHeight="1">
      <c r="A43" s="319" t="s">
        <v>211</v>
      </c>
      <c r="B43" s="319"/>
      <c r="C43" s="320" t="str">
        <f>C2</f>
        <v>预计</v>
      </c>
      <c r="D43" s="320"/>
      <c r="E43" s="320"/>
      <c r="F43" s="320"/>
      <c r="G43" s="316"/>
      <c r="H43" s="137" t="s">
        <v>218</v>
      </c>
    </row>
    <row r="44" spans="1:8" ht="27">
      <c r="A44" s="319"/>
      <c r="B44" s="319"/>
      <c r="C44" s="144" t="s">
        <v>220</v>
      </c>
      <c r="D44" s="144" t="s">
        <v>219</v>
      </c>
      <c r="E44" s="145" t="s">
        <v>223</v>
      </c>
      <c r="F44" s="145" t="s">
        <v>222</v>
      </c>
      <c r="G44" s="145" t="s">
        <v>221</v>
      </c>
      <c r="H44" s="148">
        <f>销量!F8</f>
        <v>150.22</v>
      </c>
    </row>
    <row r="45" spans="1:8">
      <c r="A45" s="314" t="s">
        <v>212</v>
      </c>
      <c r="B45" s="314"/>
      <c r="C45" s="139"/>
      <c r="D45" s="140">
        <f>$H$44*E45</f>
        <v>8.7338809510058688</v>
      </c>
      <c r="E45" s="158">
        <v>5.8140600126520232E-2</v>
      </c>
      <c r="F45" s="158">
        <v>0.10179000000000001</v>
      </c>
      <c r="G45" s="141">
        <v>6.3270000000000007E-2</v>
      </c>
    </row>
    <row r="46" spans="1:8">
      <c r="A46" s="314" t="s">
        <v>213</v>
      </c>
      <c r="B46" s="157" t="s">
        <v>214</v>
      </c>
      <c r="C46" s="139"/>
      <c r="D46" s="140">
        <f t="shared" ref="D46:D50" si="6">$H$44*E46</f>
        <v>6.7599</v>
      </c>
      <c r="E46" s="141">
        <v>4.4999999999999998E-2</v>
      </c>
      <c r="F46" s="158">
        <v>0.2</v>
      </c>
      <c r="G46" s="141">
        <v>0.08</v>
      </c>
    </row>
    <row r="47" spans="1:8">
      <c r="A47" s="314"/>
      <c r="B47" s="157" t="s">
        <v>215</v>
      </c>
      <c r="C47" s="139"/>
      <c r="D47" s="140">
        <f t="shared" si="6"/>
        <v>2.7142285721965447</v>
      </c>
      <c r="E47" s="158">
        <v>1.8068356891203199E-2</v>
      </c>
      <c r="F47" s="158">
        <v>4.0280000000000003E-2</v>
      </c>
      <c r="G47" s="141">
        <v>2.068E-2</v>
      </c>
    </row>
    <row r="48" spans="1:8">
      <c r="A48" s="315" t="s">
        <v>216</v>
      </c>
      <c r="B48" s="316"/>
      <c r="C48" s="143"/>
      <c r="D48" s="140">
        <f t="shared" si="6"/>
        <v>18.208009523202414</v>
      </c>
      <c r="E48" s="187">
        <f>SUM(E45:E47)</f>
        <v>0.12120895701772344</v>
      </c>
      <c r="F48" s="187">
        <f>SUM(F45:F47)</f>
        <v>0.34206999999999999</v>
      </c>
      <c r="G48" s="188">
        <f>SUM(G45:G47)</f>
        <v>0.16395000000000001</v>
      </c>
    </row>
    <row r="49" spans="1:8">
      <c r="A49" s="314" t="s">
        <v>44</v>
      </c>
      <c r="B49" s="314"/>
      <c r="C49" s="139"/>
      <c r="D49" s="140">
        <f t="shared" si="6"/>
        <v>6.0934203217510694</v>
      </c>
      <c r="E49" s="159">
        <v>4.0563309291379773E-2</v>
      </c>
      <c r="F49" s="158">
        <v>2.9350000000000001E-2</v>
      </c>
      <c r="G49" s="141">
        <v>4.9200000000000001E-2</v>
      </c>
    </row>
    <row r="50" spans="1:8">
      <c r="A50" s="317" t="s">
        <v>217</v>
      </c>
      <c r="B50" s="157" t="s">
        <v>214</v>
      </c>
      <c r="C50" s="139"/>
      <c r="D50" s="140">
        <f t="shared" si="6"/>
        <v>1.1867380000000001</v>
      </c>
      <c r="E50" s="141">
        <v>7.9000000000000008E-3</v>
      </c>
      <c r="F50" s="158">
        <v>2.1489999999999999E-2</v>
      </c>
      <c r="G50" s="141">
        <v>9.4900000000000002E-3</v>
      </c>
    </row>
    <row r="51" spans="1:8">
      <c r="A51" s="318"/>
      <c r="B51" s="157" t="s">
        <v>215</v>
      </c>
      <c r="C51" s="139"/>
      <c r="D51" s="140">
        <f>$H$44*E51</f>
        <v>3.7555000000000001</v>
      </c>
      <c r="E51" s="138">
        <v>2.5000000000000001E-2</v>
      </c>
      <c r="F51" s="158">
        <v>5.8119999999999998E-2</v>
      </c>
      <c r="G51" s="141">
        <v>5.4899999999999997E-2</v>
      </c>
    </row>
    <row r="52" spans="1:8">
      <c r="A52" s="314" t="s">
        <v>47</v>
      </c>
      <c r="B52" s="314"/>
      <c r="C52" s="139"/>
      <c r="D52" s="140">
        <f t="shared" ref="D52" si="7">$H$44*E52</f>
        <v>3.1996859999999998</v>
      </c>
      <c r="E52" s="141">
        <v>2.1299999999999999E-2</v>
      </c>
      <c r="F52" s="158">
        <v>2.1299999999999999E-2</v>
      </c>
      <c r="G52" s="141">
        <v>2.1299999999999999E-2</v>
      </c>
    </row>
    <row r="55" spans="1:8">
      <c r="A55" s="135"/>
      <c r="B55" s="135"/>
      <c r="C55" s="135"/>
      <c r="D55" s="135"/>
      <c r="E55" s="135"/>
      <c r="F55" s="313" t="s">
        <v>210</v>
      </c>
      <c r="G55" s="313"/>
      <c r="H55" s="136"/>
    </row>
    <row r="56" spans="1:8">
      <c r="A56" s="319" t="s">
        <v>211</v>
      </c>
      <c r="B56" s="319"/>
      <c r="C56" s="320" t="str">
        <f>C2</f>
        <v>预计</v>
      </c>
      <c r="D56" s="320"/>
      <c r="E56" s="320"/>
      <c r="F56" s="320"/>
      <c r="G56" s="316"/>
      <c r="H56" s="137" t="s">
        <v>218</v>
      </c>
    </row>
    <row r="57" spans="1:8" ht="27">
      <c r="A57" s="319"/>
      <c r="B57" s="319"/>
      <c r="C57" s="144" t="s">
        <v>220</v>
      </c>
      <c r="D57" s="144" t="s">
        <v>219</v>
      </c>
      <c r="E57" s="145" t="s">
        <v>223</v>
      </c>
      <c r="F57" s="145" t="s">
        <v>222</v>
      </c>
      <c r="G57" s="145" t="s">
        <v>221</v>
      </c>
      <c r="H57" s="148">
        <f>销量!G8</f>
        <v>0</v>
      </c>
    </row>
    <row r="58" spans="1:8">
      <c r="A58" s="314" t="s">
        <v>212</v>
      </c>
      <c r="B58" s="314"/>
      <c r="C58" s="139"/>
      <c r="D58" s="140">
        <f>$H$57*E58</f>
        <v>0</v>
      </c>
      <c r="E58" s="158">
        <v>5.8140600126520232E-2</v>
      </c>
      <c r="F58" s="158">
        <v>0.10179000000000001</v>
      </c>
      <c r="G58" s="141">
        <v>6.3270000000000007E-2</v>
      </c>
    </row>
    <row r="59" spans="1:8">
      <c r="A59" s="314" t="s">
        <v>213</v>
      </c>
      <c r="B59" s="157" t="s">
        <v>214</v>
      </c>
      <c r="C59" s="139"/>
      <c r="D59" s="140">
        <f t="shared" ref="D59:D63" si="8">$H$57*E59</f>
        <v>0</v>
      </c>
      <c r="E59" s="141">
        <v>4.4999999999999998E-2</v>
      </c>
      <c r="F59" s="158">
        <v>0.2</v>
      </c>
      <c r="G59" s="141">
        <v>0.08</v>
      </c>
    </row>
    <row r="60" spans="1:8">
      <c r="A60" s="314"/>
      <c r="B60" s="157" t="s">
        <v>215</v>
      </c>
      <c r="C60" s="139"/>
      <c r="D60" s="140">
        <f t="shared" si="8"/>
        <v>0</v>
      </c>
      <c r="E60" s="158">
        <v>1.8068356891203199E-2</v>
      </c>
      <c r="F60" s="158">
        <v>4.0280000000000003E-2</v>
      </c>
      <c r="G60" s="141">
        <v>2.068E-2</v>
      </c>
    </row>
    <row r="61" spans="1:8">
      <c r="A61" s="315" t="s">
        <v>216</v>
      </c>
      <c r="B61" s="316"/>
      <c r="C61" s="143"/>
      <c r="D61" s="140">
        <f t="shared" si="8"/>
        <v>0</v>
      </c>
      <c r="E61" s="187">
        <f>SUM(E58:E60)</f>
        <v>0.12120895701772344</v>
      </c>
      <c r="F61" s="187">
        <f>SUM(F58:F60)</f>
        <v>0.34206999999999999</v>
      </c>
      <c r="G61" s="188">
        <f>SUM(G58:G60)</f>
        <v>0.16395000000000001</v>
      </c>
    </row>
    <row r="62" spans="1:8">
      <c r="A62" s="314" t="s">
        <v>44</v>
      </c>
      <c r="B62" s="314"/>
      <c r="C62" s="139"/>
      <c r="D62" s="140">
        <f t="shared" si="8"/>
        <v>0</v>
      </c>
      <c r="E62" s="159">
        <v>4.0563309291379773E-2</v>
      </c>
      <c r="F62" s="158">
        <v>2.9350000000000001E-2</v>
      </c>
      <c r="G62" s="141">
        <v>4.9200000000000001E-2</v>
      </c>
    </row>
    <row r="63" spans="1:8">
      <c r="A63" s="317" t="s">
        <v>217</v>
      </c>
      <c r="B63" s="157" t="s">
        <v>214</v>
      </c>
      <c r="C63" s="139"/>
      <c r="D63" s="140">
        <f t="shared" si="8"/>
        <v>0</v>
      </c>
      <c r="E63" s="141">
        <v>7.9000000000000008E-3</v>
      </c>
      <c r="F63" s="158">
        <v>2.1489999999999999E-2</v>
      </c>
      <c r="G63" s="141">
        <v>9.4900000000000002E-3</v>
      </c>
    </row>
    <row r="64" spans="1:8">
      <c r="A64" s="318"/>
      <c r="B64" s="157" t="s">
        <v>215</v>
      </c>
      <c r="C64" s="139"/>
      <c r="D64" s="140">
        <f>$H$57*E64</f>
        <v>0</v>
      </c>
      <c r="E64" s="138">
        <v>2.5000000000000001E-2</v>
      </c>
      <c r="F64" s="158">
        <v>5.8119999999999998E-2</v>
      </c>
      <c r="G64" s="141">
        <v>5.4899999999999997E-2</v>
      </c>
    </row>
    <row r="65" spans="1:8">
      <c r="A65" s="314" t="s">
        <v>47</v>
      </c>
      <c r="B65" s="314"/>
      <c r="C65" s="139"/>
      <c r="D65" s="140">
        <f t="shared" ref="D65" si="9">$H$57*E65</f>
        <v>0</v>
      </c>
      <c r="E65" s="141">
        <v>2.1299999999999999E-2</v>
      </c>
      <c r="F65" s="158">
        <v>2.1299999999999999E-2</v>
      </c>
      <c r="G65" s="141">
        <v>2.1299999999999999E-2</v>
      </c>
    </row>
    <row r="68" spans="1:8">
      <c r="A68" s="135"/>
      <c r="B68" s="135"/>
      <c r="C68" s="135"/>
      <c r="D68" s="135"/>
      <c r="E68" s="135"/>
      <c r="F68" s="313" t="s">
        <v>210</v>
      </c>
      <c r="G68" s="313"/>
      <c r="H68" s="136"/>
    </row>
    <row r="69" spans="1:8">
      <c r="A69" s="319" t="s">
        <v>211</v>
      </c>
      <c r="B69" s="319"/>
      <c r="C69" s="320" t="str">
        <f>C16</f>
        <v>预计</v>
      </c>
      <c r="D69" s="320"/>
      <c r="E69" s="320"/>
      <c r="F69" s="320"/>
      <c r="G69" s="316"/>
      <c r="H69" s="137" t="s">
        <v>218</v>
      </c>
    </row>
    <row r="70" spans="1:8" ht="27">
      <c r="A70" s="319"/>
      <c r="B70" s="319"/>
      <c r="C70" s="144" t="s">
        <v>220</v>
      </c>
      <c r="D70" s="144" t="s">
        <v>219</v>
      </c>
      <c r="E70" s="145" t="s">
        <v>223</v>
      </c>
      <c r="F70" s="145" t="s">
        <v>222</v>
      </c>
      <c r="G70" s="145" t="s">
        <v>221</v>
      </c>
      <c r="H70" s="148">
        <f>销量!H8</f>
        <v>0</v>
      </c>
    </row>
    <row r="71" spans="1:8">
      <c r="A71" s="314" t="s">
        <v>212</v>
      </c>
      <c r="B71" s="314"/>
      <c r="C71" s="139"/>
      <c r="D71" s="140">
        <f>$H$70*E71</f>
        <v>0</v>
      </c>
      <c r="E71" s="158">
        <v>5.8140600126520232E-2</v>
      </c>
      <c r="F71" s="158">
        <v>0.10179000000000001</v>
      </c>
      <c r="G71" s="141">
        <v>6.3270000000000007E-2</v>
      </c>
    </row>
    <row r="72" spans="1:8">
      <c r="A72" s="314" t="s">
        <v>213</v>
      </c>
      <c r="B72" s="157" t="s">
        <v>214</v>
      </c>
      <c r="C72" s="139"/>
      <c r="D72" s="140">
        <f t="shared" ref="D72:D76" si="10">$H$70*E72</f>
        <v>0</v>
      </c>
      <c r="E72" s="141">
        <v>4.4999999999999998E-2</v>
      </c>
      <c r="F72" s="158">
        <v>0.2</v>
      </c>
      <c r="G72" s="141">
        <v>0.08</v>
      </c>
    </row>
    <row r="73" spans="1:8">
      <c r="A73" s="314"/>
      <c r="B73" s="157" t="s">
        <v>215</v>
      </c>
      <c r="C73" s="139"/>
      <c r="D73" s="140">
        <f t="shared" si="10"/>
        <v>0</v>
      </c>
      <c r="E73" s="158">
        <v>1.8068356891203199E-2</v>
      </c>
      <c r="F73" s="158">
        <v>4.0280000000000003E-2</v>
      </c>
      <c r="G73" s="141">
        <v>2.068E-2</v>
      </c>
    </row>
    <row r="74" spans="1:8">
      <c r="A74" s="315" t="s">
        <v>216</v>
      </c>
      <c r="B74" s="316"/>
      <c r="C74" s="143"/>
      <c r="D74" s="140">
        <f t="shared" si="10"/>
        <v>0</v>
      </c>
      <c r="E74" s="187">
        <f>SUM(E71:E73)</f>
        <v>0.12120895701772344</v>
      </c>
      <c r="F74" s="187">
        <f>SUM(F71:F73)</f>
        <v>0.34206999999999999</v>
      </c>
      <c r="G74" s="188">
        <f>SUM(G71:G73)</f>
        <v>0.16395000000000001</v>
      </c>
    </row>
    <row r="75" spans="1:8">
      <c r="A75" s="314" t="s">
        <v>44</v>
      </c>
      <c r="B75" s="314"/>
      <c r="C75" s="139"/>
      <c r="D75" s="140">
        <f t="shared" si="10"/>
        <v>0</v>
      </c>
      <c r="E75" s="159">
        <v>4.0563309291379773E-2</v>
      </c>
      <c r="F75" s="158">
        <v>2.9350000000000001E-2</v>
      </c>
      <c r="G75" s="141">
        <v>4.9200000000000001E-2</v>
      </c>
    </row>
    <row r="76" spans="1:8">
      <c r="A76" s="317" t="s">
        <v>217</v>
      </c>
      <c r="B76" s="157" t="s">
        <v>214</v>
      </c>
      <c r="C76" s="139"/>
      <c r="D76" s="140">
        <f t="shared" si="10"/>
        <v>0</v>
      </c>
      <c r="E76" s="141">
        <v>7.9000000000000008E-3</v>
      </c>
      <c r="F76" s="158">
        <v>2.1489999999999999E-2</v>
      </c>
      <c r="G76" s="141">
        <v>9.4900000000000002E-3</v>
      </c>
    </row>
    <row r="77" spans="1:8">
      <c r="A77" s="318"/>
      <c r="B77" s="157" t="s">
        <v>215</v>
      </c>
      <c r="C77" s="139"/>
      <c r="D77" s="140">
        <f>$H$70*E77</f>
        <v>0</v>
      </c>
      <c r="E77" s="138">
        <v>2.5000000000000001E-2</v>
      </c>
      <c r="F77" s="158">
        <v>5.8119999999999998E-2</v>
      </c>
      <c r="G77" s="141">
        <v>5.4899999999999997E-2</v>
      </c>
    </row>
    <row r="78" spans="1:8">
      <c r="A78" s="314" t="s">
        <v>47</v>
      </c>
      <c r="B78" s="314"/>
      <c r="C78" s="139"/>
      <c r="D78" s="140">
        <f t="shared" ref="D78" si="11">$H$70*E78</f>
        <v>0</v>
      </c>
      <c r="E78" s="141">
        <v>2.1299999999999999E-2</v>
      </c>
      <c r="F78" s="158">
        <v>2.1299999999999999E-2</v>
      </c>
      <c r="G78" s="141">
        <v>2.1299999999999999E-2</v>
      </c>
    </row>
    <row r="81" spans="1:8">
      <c r="A81" s="135"/>
      <c r="B81" s="135"/>
      <c r="C81" s="135"/>
      <c r="D81" s="135"/>
      <c r="E81" s="135"/>
      <c r="F81" s="313" t="s">
        <v>210</v>
      </c>
      <c r="G81" s="313"/>
      <c r="H81" s="136"/>
    </row>
    <row r="82" spans="1:8">
      <c r="A82" s="319" t="s">
        <v>211</v>
      </c>
      <c r="B82" s="319"/>
      <c r="C82" s="320" t="str">
        <f>C2</f>
        <v>预计</v>
      </c>
      <c r="D82" s="320"/>
      <c r="E82" s="320"/>
      <c r="F82" s="320"/>
      <c r="G82" s="316"/>
      <c r="H82" s="137" t="s">
        <v>218</v>
      </c>
    </row>
    <row r="83" spans="1:8" ht="27">
      <c r="A83" s="319"/>
      <c r="B83" s="319"/>
      <c r="C83" s="144" t="s">
        <v>220</v>
      </c>
      <c r="D83" s="144" t="s">
        <v>219</v>
      </c>
      <c r="E83" s="145" t="s">
        <v>223</v>
      </c>
      <c r="F83" s="145" t="s">
        <v>222</v>
      </c>
      <c r="G83" s="145" t="s">
        <v>221</v>
      </c>
      <c r="H83" s="148">
        <f>销量!I8</f>
        <v>0</v>
      </c>
    </row>
    <row r="84" spans="1:8">
      <c r="A84" s="314" t="s">
        <v>212</v>
      </c>
      <c r="B84" s="314"/>
      <c r="C84" s="139"/>
      <c r="D84" s="140">
        <f>$H$83*E84</f>
        <v>0</v>
      </c>
      <c r="E84" s="158">
        <v>5.8140600126520232E-2</v>
      </c>
      <c r="F84" s="158">
        <v>0.10179000000000001</v>
      </c>
      <c r="G84" s="141">
        <v>6.3270000000000007E-2</v>
      </c>
    </row>
    <row r="85" spans="1:8">
      <c r="A85" s="314" t="s">
        <v>213</v>
      </c>
      <c r="B85" s="171" t="s">
        <v>214</v>
      </c>
      <c r="C85" s="139"/>
      <c r="D85" s="140">
        <f t="shared" ref="D85:D89" si="12">$H$83*E85</f>
        <v>0</v>
      </c>
      <c r="E85" s="141">
        <v>4.4999999999999998E-2</v>
      </c>
      <c r="F85" s="158">
        <v>0.2</v>
      </c>
      <c r="G85" s="141">
        <v>0.08</v>
      </c>
    </row>
    <row r="86" spans="1:8">
      <c r="A86" s="314"/>
      <c r="B86" s="171" t="s">
        <v>215</v>
      </c>
      <c r="C86" s="139"/>
      <c r="D86" s="140">
        <f t="shared" si="12"/>
        <v>0</v>
      </c>
      <c r="E86" s="158">
        <v>1.8068356891203199E-2</v>
      </c>
      <c r="F86" s="158">
        <v>4.0280000000000003E-2</v>
      </c>
      <c r="G86" s="141">
        <v>2.068E-2</v>
      </c>
    </row>
    <row r="87" spans="1:8">
      <c r="A87" s="315" t="s">
        <v>216</v>
      </c>
      <c r="B87" s="316"/>
      <c r="C87" s="143"/>
      <c r="D87" s="140">
        <f t="shared" si="12"/>
        <v>0</v>
      </c>
      <c r="E87" s="187">
        <f>SUM(E84:E86)</f>
        <v>0.12120895701772344</v>
      </c>
      <c r="F87" s="187">
        <f>SUM(F84:F86)</f>
        <v>0.34206999999999999</v>
      </c>
      <c r="G87" s="188">
        <f>SUM(G84:G86)</f>
        <v>0.16395000000000001</v>
      </c>
    </row>
    <row r="88" spans="1:8">
      <c r="A88" s="314" t="s">
        <v>44</v>
      </c>
      <c r="B88" s="314"/>
      <c r="C88" s="139"/>
      <c r="D88" s="140">
        <f t="shared" si="12"/>
        <v>0</v>
      </c>
      <c r="E88" s="159">
        <v>4.0563309291379773E-2</v>
      </c>
      <c r="F88" s="158">
        <v>2.9350000000000001E-2</v>
      </c>
      <c r="G88" s="141">
        <v>4.9200000000000001E-2</v>
      </c>
    </row>
    <row r="89" spans="1:8">
      <c r="A89" s="317" t="s">
        <v>217</v>
      </c>
      <c r="B89" s="171" t="s">
        <v>214</v>
      </c>
      <c r="C89" s="139"/>
      <c r="D89" s="140">
        <f t="shared" si="12"/>
        <v>0</v>
      </c>
      <c r="E89" s="141">
        <v>7.9000000000000008E-3</v>
      </c>
      <c r="F89" s="158">
        <v>2.1489999999999999E-2</v>
      </c>
      <c r="G89" s="141">
        <v>9.4900000000000002E-3</v>
      </c>
    </row>
    <row r="90" spans="1:8">
      <c r="A90" s="318"/>
      <c r="B90" s="171" t="s">
        <v>215</v>
      </c>
      <c r="C90" s="139"/>
      <c r="D90" s="140">
        <f t="shared" ref="D90:D91" si="13">$H$83*E90</f>
        <v>0</v>
      </c>
      <c r="E90" s="138">
        <v>2.5000000000000001E-2</v>
      </c>
      <c r="F90" s="158">
        <v>5.8119999999999998E-2</v>
      </c>
      <c r="G90" s="141">
        <v>5.4899999999999997E-2</v>
      </c>
    </row>
    <row r="91" spans="1:8">
      <c r="A91" s="314" t="s">
        <v>47</v>
      </c>
      <c r="B91" s="314"/>
      <c r="C91" s="139"/>
      <c r="D91" s="140">
        <f t="shared" si="13"/>
        <v>0</v>
      </c>
      <c r="E91" s="141">
        <v>2.1299999999999999E-2</v>
      </c>
      <c r="F91" s="158">
        <v>2.1299999999999999E-2</v>
      </c>
      <c r="G91" s="141">
        <v>2.1299999999999999E-2</v>
      </c>
    </row>
    <row r="94" spans="1:8">
      <c r="A94" s="135"/>
      <c r="B94" s="135"/>
      <c r="C94" s="135"/>
      <c r="D94" s="135"/>
      <c r="E94" s="135"/>
      <c r="F94" s="313" t="s">
        <v>210</v>
      </c>
      <c r="G94" s="313"/>
      <c r="H94" s="136"/>
    </row>
    <row r="95" spans="1:8">
      <c r="A95" s="319" t="s">
        <v>211</v>
      </c>
      <c r="B95" s="319"/>
      <c r="C95" s="320" t="str">
        <f>C2</f>
        <v>预计</v>
      </c>
      <c r="D95" s="320"/>
      <c r="E95" s="320"/>
      <c r="F95" s="320"/>
      <c r="G95" s="316"/>
      <c r="H95" s="137" t="s">
        <v>218</v>
      </c>
    </row>
    <row r="96" spans="1:8" ht="27">
      <c r="A96" s="319"/>
      <c r="B96" s="319"/>
      <c r="C96" s="144" t="s">
        <v>220</v>
      </c>
      <c r="D96" s="144" t="s">
        <v>219</v>
      </c>
      <c r="E96" s="145" t="s">
        <v>223</v>
      </c>
      <c r="F96" s="145" t="s">
        <v>222</v>
      </c>
      <c r="G96" s="145" t="s">
        <v>221</v>
      </c>
      <c r="H96" s="148">
        <f>销量!J8</f>
        <v>0</v>
      </c>
    </row>
    <row r="97" spans="1:8">
      <c r="A97" s="314" t="s">
        <v>212</v>
      </c>
      <c r="B97" s="314"/>
      <c r="C97" s="139"/>
      <c r="D97" s="140">
        <f>$H$96*E97</f>
        <v>0</v>
      </c>
      <c r="E97" s="158">
        <v>5.8140600126520232E-2</v>
      </c>
      <c r="F97" s="158">
        <v>0.10179000000000001</v>
      </c>
      <c r="G97" s="141">
        <v>6.3270000000000007E-2</v>
      </c>
    </row>
    <row r="98" spans="1:8">
      <c r="A98" s="314" t="s">
        <v>213</v>
      </c>
      <c r="B98" s="171" t="s">
        <v>214</v>
      </c>
      <c r="C98" s="139"/>
      <c r="D98" s="140">
        <f t="shared" ref="D98:D103" si="14">$H$96*E98</f>
        <v>0</v>
      </c>
      <c r="E98" s="141">
        <v>4.4999999999999998E-2</v>
      </c>
      <c r="F98" s="158">
        <v>0.2</v>
      </c>
      <c r="G98" s="141">
        <v>0.08</v>
      </c>
    </row>
    <row r="99" spans="1:8">
      <c r="A99" s="314"/>
      <c r="B99" s="171" t="s">
        <v>215</v>
      </c>
      <c r="C99" s="139"/>
      <c r="D99" s="140">
        <f t="shared" si="14"/>
        <v>0</v>
      </c>
      <c r="E99" s="158">
        <v>1.8068356891203199E-2</v>
      </c>
      <c r="F99" s="158">
        <v>4.0280000000000003E-2</v>
      </c>
      <c r="G99" s="141">
        <v>2.068E-2</v>
      </c>
    </row>
    <row r="100" spans="1:8">
      <c r="A100" s="315" t="s">
        <v>216</v>
      </c>
      <c r="B100" s="316"/>
      <c r="C100" s="143"/>
      <c r="D100" s="140">
        <f t="shared" si="14"/>
        <v>0</v>
      </c>
      <c r="E100" s="187">
        <f>SUM(E97:E99)</f>
        <v>0.12120895701772344</v>
      </c>
      <c r="F100" s="187">
        <f>SUM(F97:F99)</f>
        <v>0.34206999999999999</v>
      </c>
      <c r="G100" s="188">
        <f>SUM(G97:G99)</f>
        <v>0.16395000000000001</v>
      </c>
    </row>
    <row r="101" spans="1:8">
      <c r="A101" s="314" t="s">
        <v>44</v>
      </c>
      <c r="B101" s="314"/>
      <c r="C101" s="139"/>
      <c r="D101" s="140">
        <f t="shared" si="14"/>
        <v>0</v>
      </c>
      <c r="E101" s="159">
        <v>4.0563309291379773E-2</v>
      </c>
      <c r="F101" s="158">
        <v>2.9350000000000001E-2</v>
      </c>
      <c r="G101" s="141">
        <v>4.9200000000000001E-2</v>
      </c>
    </row>
    <row r="102" spans="1:8">
      <c r="A102" s="317" t="s">
        <v>217</v>
      </c>
      <c r="B102" s="171" t="s">
        <v>214</v>
      </c>
      <c r="C102" s="139"/>
      <c r="D102" s="140">
        <f t="shared" si="14"/>
        <v>0</v>
      </c>
      <c r="E102" s="141">
        <v>7.9000000000000008E-3</v>
      </c>
      <c r="F102" s="158">
        <v>2.1489999999999999E-2</v>
      </c>
      <c r="G102" s="141">
        <v>9.4900000000000002E-3</v>
      </c>
    </row>
    <row r="103" spans="1:8">
      <c r="A103" s="318"/>
      <c r="B103" s="171" t="s">
        <v>215</v>
      </c>
      <c r="C103" s="139"/>
      <c r="D103" s="140">
        <f t="shared" si="14"/>
        <v>0</v>
      </c>
      <c r="E103" s="138">
        <v>2.5000000000000001E-2</v>
      </c>
      <c r="F103" s="158">
        <v>5.8119999999999998E-2</v>
      </c>
      <c r="G103" s="141">
        <v>5.4899999999999997E-2</v>
      </c>
    </row>
    <row r="104" spans="1:8">
      <c r="A104" s="314" t="s">
        <v>47</v>
      </c>
      <c r="B104" s="314"/>
      <c r="C104" s="139"/>
      <c r="D104" s="140">
        <f t="shared" ref="D104" si="15">$H$96*E104</f>
        <v>0</v>
      </c>
      <c r="E104" s="141">
        <v>2.1299999999999999E-2</v>
      </c>
      <c r="F104" s="158">
        <v>2.1299999999999999E-2</v>
      </c>
      <c r="G104" s="141">
        <v>2.1299999999999999E-2</v>
      </c>
    </row>
    <row r="107" spans="1:8">
      <c r="A107" s="135"/>
      <c r="B107" s="135"/>
      <c r="C107" s="135"/>
      <c r="D107" s="135"/>
      <c r="E107" s="135"/>
      <c r="F107" s="313" t="s">
        <v>210</v>
      </c>
      <c r="G107" s="313"/>
      <c r="H107" s="136"/>
    </row>
    <row r="108" spans="1:8">
      <c r="A108" s="319" t="s">
        <v>211</v>
      </c>
      <c r="B108" s="319"/>
      <c r="C108" s="320" t="str">
        <f>C2</f>
        <v>预计</v>
      </c>
      <c r="D108" s="320"/>
      <c r="E108" s="320"/>
      <c r="F108" s="320"/>
      <c r="G108" s="316"/>
      <c r="H108" s="137" t="s">
        <v>218</v>
      </c>
    </row>
    <row r="109" spans="1:8" ht="27">
      <c r="A109" s="319"/>
      <c r="B109" s="319"/>
      <c r="C109" s="144" t="s">
        <v>220</v>
      </c>
      <c r="D109" s="144" t="s">
        <v>219</v>
      </c>
      <c r="E109" s="145" t="s">
        <v>223</v>
      </c>
      <c r="F109" s="145" t="s">
        <v>222</v>
      </c>
      <c r="G109" s="145" t="s">
        <v>221</v>
      </c>
      <c r="H109" s="148">
        <f>销量!K8</f>
        <v>0</v>
      </c>
    </row>
    <row r="110" spans="1:8">
      <c r="A110" s="314" t="s">
        <v>212</v>
      </c>
      <c r="B110" s="314"/>
      <c r="C110" s="139"/>
      <c r="D110" s="140">
        <f>$H$109*E110</f>
        <v>0</v>
      </c>
      <c r="E110" s="158">
        <v>5.8140600126520232E-2</v>
      </c>
      <c r="F110" s="158">
        <v>0.10179000000000001</v>
      </c>
      <c r="G110" s="141">
        <v>6.3270000000000007E-2</v>
      </c>
    </row>
    <row r="111" spans="1:8">
      <c r="A111" s="314" t="s">
        <v>213</v>
      </c>
      <c r="B111" s="171" t="s">
        <v>214</v>
      </c>
      <c r="C111" s="139"/>
      <c r="D111" s="140">
        <f t="shared" ref="D111:D115" si="16">$H$109*E111</f>
        <v>0</v>
      </c>
      <c r="E111" s="141">
        <v>4.4999999999999998E-2</v>
      </c>
      <c r="F111" s="158">
        <v>0.2</v>
      </c>
      <c r="G111" s="141">
        <v>0.08</v>
      </c>
    </row>
    <row r="112" spans="1:8">
      <c r="A112" s="314"/>
      <c r="B112" s="171" t="s">
        <v>215</v>
      </c>
      <c r="C112" s="139"/>
      <c r="D112" s="140">
        <f t="shared" si="16"/>
        <v>0</v>
      </c>
      <c r="E112" s="158">
        <v>1.8068356891203199E-2</v>
      </c>
      <c r="F112" s="158">
        <v>4.0280000000000003E-2</v>
      </c>
      <c r="G112" s="141">
        <v>2.068E-2</v>
      </c>
    </row>
    <row r="113" spans="1:7">
      <c r="A113" s="315" t="s">
        <v>216</v>
      </c>
      <c r="B113" s="316"/>
      <c r="C113" s="143"/>
      <c r="D113" s="140">
        <f t="shared" si="16"/>
        <v>0</v>
      </c>
      <c r="E113" s="187">
        <f>SUM(E110:E112)</f>
        <v>0.12120895701772344</v>
      </c>
      <c r="F113" s="187">
        <f>SUM(F110:F112)</f>
        <v>0.34206999999999999</v>
      </c>
      <c r="G113" s="188">
        <f>SUM(G110:G112)</f>
        <v>0.16395000000000001</v>
      </c>
    </row>
    <row r="114" spans="1:7">
      <c r="A114" s="314" t="s">
        <v>44</v>
      </c>
      <c r="B114" s="314"/>
      <c r="C114" s="139"/>
      <c r="D114" s="140">
        <f t="shared" si="16"/>
        <v>0</v>
      </c>
      <c r="E114" s="159">
        <v>4.0563309291379773E-2</v>
      </c>
      <c r="F114" s="158">
        <v>2.9350000000000001E-2</v>
      </c>
      <c r="G114" s="141">
        <v>4.9200000000000001E-2</v>
      </c>
    </row>
    <row r="115" spans="1:7">
      <c r="A115" s="317" t="s">
        <v>217</v>
      </c>
      <c r="B115" s="171" t="s">
        <v>214</v>
      </c>
      <c r="C115" s="139"/>
      <c r="D115" s="140">
        <f t="shared" si="16"/>
        <v>0</v>
      </c>
      <c r="E115" s="141">
        <v>7.9000000000000008E-3</v>
      </c>
      <c r="F115" s="158">
        <v>2.1489999999999999E-2</v>
      </c>
      <c r="G115" s="141">
        <v>9.4900000000000002E-3</v>
      </c>
    </row>
    <row r="116" spans="1:7">
      <c r="A116" s="318"/>
      <c r="B116" s="171" t="s">
        <v>215</v>
      </c>
      <c r="C116" s="139"/>
      <c r="D116" s="140">
        <f>$H$109*E116</f>
        <v>0</v>
      </c>
      <c r="E116" s="138">
        <v>2.5000000000000001E-2</v>
      </c>
      <c r="F116" s="158">
        <v>5.8119999999999998E-2</v>
      </c>
      <c r="G116" s="141">
        <v>5.4899999999999997E-2</v>
      </c>
    </row>
    <row r="117" spans="1:7">
      <c r="A117" s="314" t="s">
        <v>47</v>
      </c>
      <c r="B117" s="314"/>
      <c r="C117" s="139"/>
      <c r="D117" s="140">
        <f t="shared" ref="D117" si="17">$H$109*E117</f>
        <v>0</v>
      </c>
      <c r="E117" s="141">
        <v>2.1299999999999999E-2</v>
      </c>
      <c r="F117" s="158">
        <v>2.1299999999999999E-2</v>
      </c>
      <c r="G117" s="141">
        <v>2.1299999999999999E-2</v>
      </c>
    </row>
  </sheetData>
  <mergeCells count="82">
    <mergeCell ref="I3:L3"/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H23" sqref="H23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53" t="s">
        <v>288</v>
      </c>
      <c r="B1" s="253"/>
      <c r="C1" s="253"/>
      <c r="D1" s="253"/>
      <c r="E1" s="253"/>
      <c r="F1" s="253"/>
      <c r="G1" s="253"/>
      <c r="H1" s="253"/>
    </row>
    <row r="2" spans="1:38" s="222" customFormat="1" ht="18" customHeight="1">
      <c r="A2" s="220"/>
      <c r="B2" s="221"/>
      <c r="C2" s="221"/>
      <c r="D2" s="221"/>
      <c r="E2" s="221"/>
      <c r="F2" s="221"/>
      <c r="G2" s="221" t="s">
        <v>255</v>
      </c>
      <c r="H2" s="221"/>
    </row>
    <row r="3" spans="1:38" ht="15.75" customHeight="1">
      <c r="A3" s="254" t="s">
        <v>13</v>
      </c>
      <c r="B3" s="100" t="s">
        <v>1</v>
      </c>
      <c r="C3" s="100" t="s">
        <v>257</v>
      </c>
      <c r="D3" s="100" t="s">
        <v>258</v>
      </c>
      <c r="E3" s="100" t="s">
        <v>259</v>
      </c>
      <c r="F3" s="100" t="s">
        <v>250</v>
      </c>
      <c r="G3" s="100" t="s">
        <v>260</v>
      </c>
      <c r="H3" s="39" t="s">
        <v>14</v>
      </c>
      <c r="AL3" s="98" t="s">
        <v>15</v>
      </c>
    </row>
    <row r="4" spans="1:38" s="36" customFormat="1" ht="15.75" customHeight="1">
      <c r="A4" s="255"/>
      <c r="B4" s="41" t="s">
        <v>3</v>
      </c>
      <c r="C4" s="101">
        <f>'2023年'!K6</f>
        <v>32000</v>
      </c>
      <c r="D4" s="101">
        <f>'2024年'!K6</f>
        <v>40000</v>
      </c>
      <c r="E4" s="101">
        <f>'2025年'!K6</f>
        <v>48000</v>
      </c>
      <c r="F4" s="101">
        <f>'2026年'!K6</f>
        <v>48000</v>
      </c>
      <c r="G4" s="101">
        <f>'2027年'!K6</f>
        <v>60000</v>
      </c>
      <c r="H4" s="101">
        <f>SUM(C4:G4)</f>
        <v>228000</v>
      </c>
      <c r="I4" s="57"/>
      <c r="AJ4" s="40" t="s">
        <v>13</v>
      </c>
      <c r="AK4" s="41" t="s">
        <v>3</v>
      </c>
      <c r="AL4" s="36" t="s">
        <v>16</v>
      </c>
    </row>
    <row r="5" spans="1:38" s="36" customFormat="1" ht="15.75" customHeight="1">
      <c r="A5" s="50">
        <v>1</v>
      </c>
      <c r="B5" s="41" t="s">
        <v>17</v>
      </c>
      <c r="C5" s="101">
        <f>'2023年'!K7</f>
        <v>14727040</v>
      </c>
      <c r="D5" s="101">
        <f>'2024年'!K7</f>
        <v>18408800</v>
      </c>
      <c r="E5" s="101">
        <f>'2025年'!K7</f>
        <v>22090560</v>
      </c>
      <c r="F5" s="101">
        <f>'2026年'!K7</f>
        <v>22090560</v>
      </c>
      <c r="G5" s="101">
        <f>'2027年'!K7</f>
        <v>27613200</v>
      </c>
      <c r="H5" s="101">
        <f t="shared" ref="H5:H12" si="0">SUM(C5:G5)</f>
        <v>104930160</v>
      </c>
      <c r="I5" s="57"/>
      <c r="AJ5" s="40" t="s">
        <v>18</v>
      </c>
      <c r="AK5" s="41" t="s">
        <v>17</v>
      </c>
      <c r="AL5" s="36" t="s">
        <v>16</v>
      </c>
    </row>
    <row r="6" spans="1:38" s="36" customFormat="1" ht="15.75" customHeight="1">
      <c r="A6" s="50">
        <v>2</v>
      </c>
      <c r="B6" s="38" t="s">
        <v>19</v>
      </c>
      <c r="C6" s="101">
        <f>'2023年'!K8</f>
        <v>0</v>
      </c>
      <c r="D6" s="101">
        <f>'2024年'!K8</f>
        <v>460220.00000000041</v>
      </c>
      <c r="E6" s="101">
        <f>'2025年'!K8</f>
        <v>1090721.3999999987</v>
      </c>
      <c r="F6" s="101">
        <f>'2026年'!K8</f>
        <v>1615717.3650000016</v>
      </c>
      <c r="G6" s="101">
        <f>'2027年'!K8</f>
        <v>2659485.5385937504</v>
      </c>
      <c r="H6" s="101">
        <f t="shared" si="0"/>
        <v>5826144.303593751</v>
      </c>
      <c r="I6" s="57"/>
      <c r="AJ6" s="40" t="s">
        <v>20</v>
      </c>
      <c r="AK6" s="38" t="s">
        <v>21</v>
      </c>
      <c r="AL6" s="36" t="s">
        <v>16</v>
      </c>
    </row>
    <row r="7" spans="1:38" s="36" customFormat="1" ht="15.75" customHeight="1">
      <c r="A7" s="50">
        <v>3</v>
      </c>
      <c r="B7" s="41" t="s">
        <v>22</v>
      </c>
      <c r="C7" s="102">
        <f>+C5-C6</f>
        <v>14727040</v>
      </c>
      <c r="D7" s="102">
        <f>'2024年'!K9</f>
        <v>17948580</v>
      </c>
      <c r="E7" s="102">
        <f>'2025年'!K9</f>
        <v>20999838.599999998</v>
      </c>
      <c r="F7" s="102">
        <f>'2026年'!K9</f>
        <v>20474842.634999998</v>
      </c>
      <c r="G7" s="102">
        <f>'2027年'!K9</f>
        <v>24953714.46140625</v>
      </c>
      <c r="H7" s="101">
        <f t="shared" si="0"/>
        <v>99104015.69640623</v>
      </c>
      <c r="I7" s="57"/>
      <c r="AJ7" s="40" t="s">
        <v>23</v>
      </c>
      <c r="AK7" s="41" t="s">
        <v>22</v>
      </c>
      <c r="AL7" s="36" t="s">
        <v>24</v>
      </c>
    </row>
    <row r="8" spans="1:38" s="36" customFormat="1" ht="15.75" customHeight="1">
      <c r="A8" s="50">
        <v>4</v>
      </c>
      <c r="B8" s="40" t="s">
        <v>25</v>
      </c>
      <c r="C8" s="101">
        <f>'2023年'!K10</f>
        <v>11347760.000000002</v>
      </c>
      <c r="D8" s="101">
        <f>'2024年'!K10</f>
        <v>13830082.500000002</v>
      </c>
      <c r="E8" s="101">
        <f>'2025年'!K10</f>
        <v>16181196.525</v>
      </c>
      <c r="F8" s="101">
        <f>'2026年'!K10</f>
        <v>15776666.611875001</v>
      </c>
      <c r="G8" s="101">
        <f>'2027年'!K10</f>
        <v>19227812.433222655</v>
      </c>
      <c r="H8" s="101">
        <f t="shared" si="0"/>
        <v>76363518.070097655</v>
      </c>
      <c r="I8" s="57"/>
      <c r="AJ8" s="40" t="s">
        <v>26</v>
      </c>
      <c r="AK8" s="40" t="s">
        <v>25</v>
      </c>
      <c r="AL8" s="36" t="s">
        <v>27</v>
      </c>
    </row>
    <row r="9" spans="1:38" s="36" customFormat="1" ht="15.75" customHeight="1">
      <c r="A9" s="50">
        <v>5</v>
      </c>
      <c r="B9" s="40" t="s">
        <v>28</v>
      </c>
      <c r="C9" s="101">
        <f>'2023年'!K11</f>
        <v>856238.94368726842</v>
      </c>
      <c r="D9" s="101">
        <f>'2024年'!K11</f>
        <v>1070298.6796090857</v>
      </c>
      <c r="E9" s="101">
        <f>'2025年'!K11</f>
        <v>1284358.4155309026</v>
      </c>
      <c r="F9" s="101">
        <f>'2026年'!K11</f>
        <v>1284358.4155309026</v>
      </c>
      <c r="G9" s="101">
        <f>'2027年'!K11</f>
        <v>1605448.0194136286</v>
      </c>
      <c r="H9" s="101">
        <f t="shared" si="0"/>
        <v>6100702.4737717872</v>
      </c>
      <c r="I9" s="57"/>
      <c r="AJ9" s="40" t="s">
        <v>29</v>
      </c>
      <c r="AK9" s="40" t="s">
        <v>28</v>
      </c>
    </row>
    <row r="10" spans="1:38" s="36" customFormat="1" ht="15.75" customHeight="1">
      <c r="A10" s="50">
        <v>6</v>
      </c>
      <c r="B10" s="40" t="s">
        <v>30</v>
      </c>
      <c r="C10" s="101">
        <f>'2023年'!K12</f>
        <v>266093.41467102512</v>
      </c>
      <c r="D10" s="101">
        <f>'2024年'!K12</f>
        <v>332616.76833878143</v>
      </c>
      <c r="E10" s="101">
        <f>'2025年'!K12</f>
        <v>399140.12200653774</v>
      </c>
      <c r="F10" s="101">
        <f>'2026年'!K12</f>
        <v>399140.12200653774</v>
      </c>
      <c r="G10" s="101">
        <f>'2027年'!K12</f>
        <v>498925.15250817215</v>
      </c>
      <c r="H10" s="101">
        <f t="shared" si="0"/>
        <v>1895915.5795310542</v>
      </c>
      <c r="I10" s="57"/>
      <c r="AJ10" s="40" t="s">
        <v>31</v>
      </c>
      <c r="AK10" s="40" t="s">
        <v>30</v>
      </c>
    </row>
    <row r="11" spans="1:38" s="36" customFormat="1" ht="15.75" customHeight="1">
      <c r="A11" s="50">
        <v>7</v>
      </c>
      <c r="B11" s="103" t="s">
        <v>32</v>
      </c>
      <c r="C11" s="101">
        <f>'2023年'!K13</f>
        <v>368176</v>
      </c>
      <c r="D11" s="101">
        <f>'2024年'!K13</f>
        <v>460220</v>
      </c>
      <c r="E11" s="101">
        <f>'2025年'!K13</f>
        <v>552264</v>
      </c>
      <c r="F11" s="101">
        <f>'2026年'!K13</f>
        <v>552264</v>
      </c>
      <c r="G11" s="101">
        <f>'2027年'!K13</f>
        <v>690330</v>
      </c>
      <c r="H11" s="101">
        <f t="shared" si="0"/>
        <v>2623254</v>
      </c>
      <c r="I11" s="57"/>
      <c r="AJ11" s="40" t="s">
        <v>33</v>
      </c>
      <c r="AK11" s="40" t="s">
        <v>32</v>
      </c>
      <c r="AL11" s="36" t="s">
        <v>16</v>
      </c>
    </row>
    <row r="12" spans="1:38" s="36" customFormat="1" ht="15.75" customHeight="1">
      <c r="A12" s="50">
        <v>8</v>
      </c>
      <c r="B12" s="104" t="s">
        <v>34</v>
      </c>
      <c r="C12" s="105">
        <f>'2023年'!K14</f>
        <v>1490508.3583582935</v>
      </c>
      <c r="D12" s="105">
        <f>'2024年'!K14</f>
        <v>1863135.447947867</v>
      </c>
      <c r="E12" s="105">
        <f>'2025年'!K14</f>
        <v>2235762.5375374407</v>
      </c>
      <c r="F12" s="105">
        <f>'2026年'!K14</f>
        <v>2235762.5375374407</v>
      </c>
      <c r="G12" s="105">
        <f>'2027年'!K14</f>
        <v>2794703.1719218008</v>
      </c>
      <c r="H12" s="105">
        <f t="shared" si="0"/>
        <v>10619872.053302843</v>
      </c>
      <c r="I12" s="57"/>
      <c r="AJ12" s="40" t="s">
        <v>35</v>
      </c>
      <c r="AK12" s="43" t="s">
        <v>34</v>
      </c>
    </row>
    <row r="13" spans="1:38" s="36" customFormat="1" ht="15.75" customHeight="1">
      <c r="A13" s="50">
        <v>9</v>
      </c>
      <c r="B13" s="106" t="s">
        <v>36</v>
      </c>
      <c r="C13" s="101">
        <f>'2023年'!K15</f>
        <v>1888771.6416417046</v>
      </c>
      <c r="D13" s="101">
        <f>'2024年'!K15</f>
        <v>2255362.0520521309</v>
      </c>
      <c r="E13" s="101">
        <f>'2025年'!K15</f>
        <v>2582879.5374625595</v>
      </c>
      <c r="F13" s="101">
        <f>'2026年'!K15</f>
        <v>2462413.4855875582</v>
      </c>
      <c r="G13" s="101">
        <f>'2027年'!K15</f>
        <v>2931198.8562617954</v>
      </c>
      <c r="H13" s="101">
        <f>H7-H8-H12</f>
        <v>12120625.573005732</v>
      </c>
      <c r="I13" s="57"/>
      <c r="K13" s="98"/>
      <c r="L13" s="98"/>
      <c r="M13" s="98"/>
      <c r="N13" s="98"/>
      <c r="O13" s="98"/>
      <c r="P13" s="98"/>
      <c r="AJ13" s="40" t="s">
        <v>37</v>
      </c>
      <c r="AK13" s="43" t="s">
        <v>36</v>
      </c>
    </row>
    <row r="14" spans="1:38" ht="15.75" customHeight="1">
      <c r="A14" s="50">
        <v>10</v>
      </c>
      <c r="B14" s="107" t="s">
        <v>38</v>
      </c>
      <c r="C14" s="108">
        <f>+C13/C7</f>
        <v>0.12825195298184189</v>
      </c>
      <c r="D14" s="108">
        <f>'2024年'!K16</f>
        <v>0.12565685151984898</v>
      </c>
      <c r="E14" s="108">
        <f>'2025年'!K16</f>
        <v>0.12299520899472817</v>
      </c>
      <c r="F14" s="108">
        <f>'2026年'!K16</f>
        <v>0.1202653192253733</v>
      </c>
      <c r="G14" s="108">
        <f>'2027年'!K16</f>
        <v>0.11746543228244545</v>
      </c>
      <c r="H14" s="108">
        <f>+H13/H7</f>
        <v>0.12230206301766698</v>
      </c>
      <c r="I14" s="57"/>
      <c r="AJ14" s="107" t="s">
        <v>39</v>
      </c>
      <c r="AK14" s="107" t="s">
        <v>38</v>
      </c>
    </row>
    <row r="15" spans="1:38" ht="15.75" customHeight="1">
      <c r="A15" s="50">
        <v>11</v>
      </c>
      <c r="B15" s="107" t="s">
        <v>40</v>
      </c>
      <c r="C15" s="101">
        <f>'2023年'!K17</f>
        <v>674116.79999999993</v>
      </c>
      <c r="D15" s="101">
        <f>'2024年'!K17</f>
        <v>839796</v>
      </c>
      <c r="E15" s="101">
        <f>'2025年'!K17</f>
        <v>1005475.2000000001</v>
      </c>
      <c r="F15" s="233">
        <f>'2026年'!K17</f>
        <v>1005475.2000000001</v>
      </c>
      <c r="G15" s="101">
        <f>'2027年'!K17</f>
        <v>1253994</v>
      </c>
      <c r="H15" s="101">
        <f>SUM(C15:G15)</f>
        <v>4778857.2</v>
      </c>
      <c r="I15" s="57"/>
      <c r="AJ15" s="107" t="s">
        <v>41</v>
      </c>
      <c r="AK15" s="107" t="s">
        <v>40</v>
      </c>
    </row>
    <row r="16" spans="1:38" ht="15.75" hidden="1" customHeight="1">
      <c r="A16" s="146"/>
      <c r="B16" s="107"/>
      <c r="C16" s="101"/>
      <c r="D16" s="101"/>
      <c r="E16" s="101"/>
      <c r="F16" s="207">
        <f>'2026年'!K18</f>
        <v>11400</v>
      </c>
      <c r="G16" s="101">
        <f>'2027年'!K18</f>
        <v>11400</v>
      </c>
      <c r="H16" s="101"/>
      <c r="I16" s="57"/>
      <c r="AJ16" s="107"/>
      <c r="AK16" s="107"/>
    </row>
    <row r="17" spans="1:38" ht="15.75" customHeight="1">
      <c r="A17" s="50">
        <v>12</v>
      </c>
      <c r="B17" s="107" t="s">
        <v>42</v>
      </c>
      <c r="C17" s="109">
        <f>'2023年'!K19</f>
        <v>116343.61600000001</v>
      </c>
      <c r="D17" s="109">
        <f>'2024年'!K19</f>
        <v>145429.52000000002</v>
      </c>
      <c r="E17" s="109">
        <f>'2025年'!K19</f>
        <v>174515.424</v>
      </c>
      <c r="F17" s="109">
        <f>'2026年'!K19</f>
        <v>174515.424</v>
      </c>
      <c r="G17" s="109">
        <f>'2027年'!K19</f>
        <v>218144.28000000006</v>
      </c>
      <c r="H17" s="101">
        <f>SUM(C17:G17)</f>
        <v>828948.26400000008</v>
      </c>
      <c r="I17" s="57"/>
      <c r="Q17" s="57"/>
      <c r="AJ17" s="107" t="s">
        <v>43</v>
      </c>
      <c r="AK17" s="107" t="s">
        <v>42</v>
      </c>
      <c r="AL17" s="98" t="s">
        <v>16</v>
      </c>
    </row>
    <row r="18" spans="1:38" ht="15.75" customHeight="1">
      <c r="A18" s="50">
        <v>13</v>
      </c>
      <c r="B18" s="107" t="s">
        <v>44</v>
      </c>
      <c r="C18" s="109">
        <f>'2023年'!K20</f>
        <v>597377.4784665216</v>
      </c>
      <c r="D18" s="109">
        <f>'2024年'!K20</f>
        <v>746721.84808315197</v>
      </c>
      <c r="E18" s="109">
        <f>'2025年'!K20</f>
        <v>896066.21769978234</v>
      </c>
      <c r="F18" s="109">
        <f>'2026年'!K20</f>
        <v>896066.21769978234</v>
      </c>
      <c r="G18" s="109">
        <f>'2027年'!K20</f>
        <v>1120082.772124728</v>
      </c>
      <c r="H18" s="101">
        <f>SUM(C18:G18)</f>
        <v>4256314.5340739666</v>
      </c>
      <c r="I18" s="57"/>
      <c r="AJ18" s="107" t="s">
        <v>45</v>
      </c>
      <c r="AK18" s="107" t="s">
        <v>44</v>
      </c>
    </row>
    <row r="19" spans="1:38" s="35" customFormat="1" ht="15.75" customHeight="1">
      <c r="A19" s="50">
        <v>14</v>
      </c>
      <c r="B19" s="48" t="s">
        <v>46</v>
      </c>
      <c r="C19" s="110">
        <f>'2023年'!K21</f>
        <v>4400</v>
      </c>
      <c r="D19" s="110">
        <f>'2024年'!K21</f>
        <v>4400</v>
      </c>
      <c r="E19" s="110">
        <f>'2025年'!K21</f>
        <v>4400</v>
      </c>
      <c r="F19" s="110">
        <f>'2026年'!K21</f>
        <v>4400</v>
      </c>
      <c r="G19" s="110">
        <f>'2027年'!K21</f>
        <v>4400</v>
      </c>
      <c r="H19" s="101">
        <f>SUM(C19:G19)</f>
        <v>22000</v>
      </c>
      <c r="I19" s="57"/>
      <c r="AJ19" s="48"/>
      <c r="AK19" s="48"/>
    </row>
    <row r="20" spans="1:38" s="36" customFormat="1" ht="15.75" customHeight="1">
      <c r="A20" s="50">
        <v>15</v>
      </c>
      <c r="B20" s="40" t="s">
        <v>47</v>
      </c>
      <c r="C20" s="109">
        <f>'2023年'!K22</f>
        <v>313685.95199999999</v>
      </c>
      <c r="D20" s="109">
        <f>'2024年'!K22</f>
        <v>392107.43999999994</v>
      </c>
      <c r="E20" s="109">
        <f>'2025年'!K22</f>
        <v>470528.92800000001</v>
      </c>
      <c r="F20" s="109">
        <f>'2026年'!K22</f>
        <v>470528.92800000001</v>
      </c>
      <c r="G20" s="109">
        <f>'2027年'!K22</f>
        <v>588161.16</v>
      </c>
      <c r="H20" s="101">
        <f>SUM(C20:G20)</f>
        <v>2235012.4080000003</v>
      </c>
      <c r="I20" s="57"/>
      <c r="AJ20" s="40" t="s">
        <v>48</v>
      </c>
      <c r="AK20" s="40" t="s">
        <v>47</v>
      </c>
    </row>
    <row r="21" spans="1:38" s="96" customFormat="1" ht="15.75" customHeight="1">
      <c r="A21" s="50">
        <v>16</v>
      </c>
      <c r="B21" s="111" t="s">
        <v>49</v>
      </c>
      <c r="C21" s="105">
        <f t="shared" ref="C21" si="1">+C20+C19+C18+C17+C15</f>
        <v>1705923.8464665215</v>
      </c>
      <c r="D21" s="105">
        <f>'2024年'!K23</f>
        <v>2128454.8080831519</v>
      </c>
      <c r="E21" s="105">
        <f>'2025年'!K23</f>
        <v>2550985.7696997826</v>
      </c>
      <c r="F21" s="105">
        <f>'2026年'!K23</f>
        <v>2550985.7696997826</v>
      </c>
      <c r="G21" s="105">
        <f>'2027年'!K23</f>
        <v>3184782.2121247277</v>
      </c>
      <c r="H21" s="105">
        <f>SUM(C21:G21)</f>
        <v>12121132.406073965</v>
      </c>
      <c r="I21" s="57"/>
      <c r="AJ21" s="124" t="s">
        <v>50</v>
      </c>
      <c r="AK21" s="125" t="s">
        <v>49</v>
      </c>
    </row>
    <row r="22" spans="1:38" ht="15.75" customHeight="1">
      <c r="A22" s="50">
        <v>17</v>
      </c>
      <c r="B22" s="107" t="s">
        <v>51</v>
      </c>
      <c r="C22" s="112">
        <f>+C13-C21</f>
        <v>182847.7951751831</v>
      </c>
      <c r="D22" s="112">
        <f>'2024年'!K24</f>
        <v>126907.24396897899</v>
      </c>
      <c r="E22" s="112">
        <f>'2025年'!K24</f>
        <v>31893.76776277693</v>
      </c>
      <c r="F22" s="112">
        <f>'2026年'!K24</f>
        <v>-88572.284112224355</v>
      </c>
      <c r="G22" s="112">
        <f>'2027年'!K24</f>
        <v>-253583.35586293228</v>
      </c>
      <c r="H22" s="112">
        <f>+H13-H21</f>
        <v>-506.83306823298335</v>
      </c>
      <c r="I22" s="57"/>
      <c r="AJ22" s="107" t="s">
        <v>52</v>
      </c>
      <c r="AK22" s="107" t="s">
        <v>51</v>
      </c>
    </row>
    <row r="23" spans="1:38" ht="15.75" customHeight="1">
      <c r="A23" s="50">
        <v>18</v>
      </c>
      <c r="B23" s="107" t="s">
        <v>53</v>
      </c>
      <c r="C23" s="112">
        <f>IF(C22&lt;0,0,C22*0.15)</f>
        <v>27427.169276277466</v>
      </c>
      <c r="D23" s="112">
        <f>'2024年'!K25</f>
        <v>19036.086595346849</v>
      </c>
      <c r="E23" s="112">
        <f>'2025年'!K25</f>
        <v>4784.0651644165391</v>
      </c>
      <c r="F23" s="112">
        <f>'2026年'!K25</f>
        <v>0</v>
      </c>
      <c r="G23" s="112">
        <f>'2027年'!K25</f>
        <v>0</v>
      </c>
      <c r="H23" s="112">
        <f>IF(H22&lt;0,0,H22*0.15)</f>
        <v>0</v>
      </c>
      <c r="I23" s="57"/>
      <c r="AJ23" s="107" t="s">
        <v>54</v>
      </c>
      <c r="AK23" s="107" t="s">
        <v>53</v>
      </c>
    </row>
    <row r="24" spans="1:38" ht="15.75" customHeight="1">
      <c r="A24" s="50">
        <v>19</v>
      </c>
      <c r="B24" s="107" t="s">
        <v>55</v>
      </c>
      <c r="C24" s="112">
        <f>C22-C23</f>
        <v>155420.62589890562</v>
      </c>
      <c r="D24" s="112">
        <f>'2024年'!K26</f>
        <v>107871.15737363214</v>
      </c>
      <c r="E24" s="112">
        <f>'2025年'!K26</f>
        <v>27109.702598360389</v>
      </c>
      <c r="F24" s="112">
        <f>'2026年'!K26</f>
        <v>-88572.284112224355</v>
      </c>
      <c r="G24" s="112">
        <f>'2027年'!K26</f>
        <v>-253583.35586293228</v>
      </c>
      <c r="H24" s="112">
        <f>H22-H23</f>
        <v>-506.83306823298335</v>
      </c>
      <c r="I24" s="57"/>
      <c r="AJ24" s="107" t="s">
        <v>56</v>
      </c>
      <c r="AK24" s="107" t="s">
        <v>55</v>
      </c>
    </row>
    <row r="25" spans="1:38" ht="15.75" customHeight="1">
      <c r="A25" s="50">
        <v>20</v>
      </c>
      <c r="B25" s="107" t="s">
        <v>57</v>
      </c>
      <c r="C25" s="113">
        <f>(C24/C5)*100%</f>
        <v>1.0553419145931947E-2</v>
      </c>
      <c r="D25" s="113">
        <f>'2024年'!K27</f>
        <v>5.8597604066333575E-3</v>
      </c>
      <c r="E25" s="113">
        <f>'2025年'!K27</f>
        <v>1.2272075763747224E-3</v>
      </c>
      <c r="F25" s="113">
        <f>'2026年'!K27</f>
        <v>-4.0095083199441009E-3</v>
      </c>
      <c r="G25" s="113">
        <f>'2027年'!K27</f>
        <v>-9.1834106826782936E-3</v>
      </c>
      <c r="H25" s="113">
        <f>(H24/H5)*100%</f>
        <v>-4.8301943715037067E-6</v>
      </c>
      <c r="I25" s="57"/>
      <c r="AJ25" s="126" t="s">
        <v>58</v>
      </c>
      <c r="AK25" s="126" t="s">
        <v>59</v>
      </c>
    </row>
    <row r="26" spans="1:38" s="97" customFormat="1" ht="15.75" customHeight="1">
      <c r="C26" s="114"/>
      <c r="D26" s="114"/>
      <c r="E26" s="114"/>
      <c r="F26" s="114"/>
      <c r="G26" s="114"/>
      <c r="H26" s="114"/>
      <c r="I26" s="123"/>
    </row>
    <row r="27" spans="1:38" s="97" customFormat="1" ht="15.75" customHeight="1">
      <c r="A27" s="97" t="s">
        <v>60</v>
      </c>
      <c r="C27" s="115"/>
      <c r="D27" s="115"/>
      <c r="E27" s="115"/>
      <c r="F27" s="115"/>
      <c r="G27" s="115"/>
      <c r="H27" s="115"/>
      <c r="I27" s="123"/>
      <c r="AJ27" s="97" t="s">
        <v>60</v>
      </c>
    </row>
    <row r="28" spans="1:38" ht="15.75" customHeight="1">
      <c r="A28" s="107" t="s">
        <v>13</v>
      </c>
      <c r="B28" s="116" t="s">
        <v>1</v>
      </c>
      <c r="C28" s="100" t="s">
        <v>179</v>
      </c>
      <c r="D28" s="100" t="s">
        <v>180</v>
      </c>
      <c r="E28" s="100" t="s">
        <v>181</v>
      </c>
      <c r="F28" s="100" t="s">
        <v>225</v>
      </c>
      <c r="G28" s="100" t="s">
        <v>236</v>
      </c>
      <c r="H28" s="39" t="s">
        <v>14</v>
      </c>
      <c r="AL28" s="98" t="s">
        <v>15</v>
      </c>
    </row>
    <row r="29" spans="1:38" s="36" customFormat="1" ht="15.75" customHeight="1">
      <c r="A29" s="40" t="s">
        <v>61</v>
      </c>
      <c r="B29" s="43" t="s">
        <v>62</v>
      </c>
      <c r="C29" s="47"/>
      <c r="D29" s="47"/>
      <c r="E29" s="47"/>
      <c r="F29" s="47"/>
      <c r="G29" s="47"/>
      <c r="H29" s="47"/>
      <c r="I29" s="57"/>
      <c r="AJ29" s="40" t="s">
        <v>63</v>
      </c>
      <c r="AK29" s="43" t="s">
        <v>62</v>
      </c>
    </row>
    <row r="30" spans="1:38" s="36" customFormat="1" ht="15.75" customHeight="1">
      <c r="A30" s="40" t="s">
        <v>18</v>
      </c>
      <c r="B30" s="40" t="s">
        <v>64</v>
      </c>
      <c r="C30" s="42">
        <f>+C7/C4</f>
        <v>460.22</v>
      </c>
      <c r="D30" s="42">
        <f t="shared" ref="D30:G30" si="2">+D7/D4</f>
        <v>448.71449999999999</v>
      </c>
      <c r="E30" s="42">
        <f t="shared" si="2"/>
        <v>437.49663749999996</v>
      </c>
      <c r="F30" s="42">
        <f t="shared" si="2"/>
        <v>426.55922156249994</v>
      </c>
      <c r="G30" s="42">
        <f t="shared" si="2"/>
        <v>415.89524102343751</v>
      </c>
      <c r="H30" s="42">
        <f>+H7/H4</f>
        <v>434.66673551055362</v>
      </c>
      <c r="I30" s="57"/>
      <c r="AJ30" s="40" t="s">
        <v>18</v>
      </c>
      <c r="AK30" s="40" t="s">
        <v>64</v>
      </c>
    </row>
    <row r="31" spans="1:38" s="36" customFormat="1" ht="15.75" customHeight="1">
      <c r="A31" s="40" t="s">
        <v>20</v>
      </c>
      <c r="B31" s="40" t="s">
        <v>65</v>
      </c>
      <c r="C31" s="42">
        <f>+C8/C4</f>
        <v>354.61750000000006</v>
      </c>
      <c r="D31" s="42">
        <f t="shared" ref="D31:G31" si="3">+D8/D4</f>
        <v>345.75206250000002</v>
      </c>
      <c r="E31" s="42">
        <f t="shared" si="3"/>
        <v>337.10826093750001</v>
      </c>
      <c r="F31" s="42">
        <f t="shared" si="3"/>
        <v>328.68055441406256</v>
      </c>
      <c r="G31" s="42">
        <f t="shared" si="3"/>
        <v>320.46354055371091</v>
      </c>
      <c r="H31" s="42">
        <f>+H8/H4</f>
        <v>334.92771083376164</v>
      </c>
      <c r="I31" s="57"/>
      <c r="AJ31" s="40" t="s">
        <v>20</v>
      </c>
      <c r="AK31" s="40" t="s">
        <v>65</v>
      </c>
    </row>
    <row r="32" spans="1:38" s="36" customFormat="1" ht="15.75" customHeight="1">
      <c r="A32" s="40" t="s">
        <v>66</v>
      </c>
      <c r="B32" s="40" t="s">
        <v>67</v>
      </c>
      <c r="C32" s="47">
        <f t="shared" ref="C32:H32" si="4">C30-C31</f>
        <v>105.60249999999996</v>
      </c>
      <c r="D32" s="47">
        <f t="shared" ref="D32:G32" si="5">D30-D31</f>
        <v>102.96243749999996</v>
      </c>
      <c r="E32" s="47">
        <f t="shared" si="5"/>
        <v>100.38837656249996</v>
      </c>
      <c r="F32" s="47">
        <f t="shared" si="5"/>
        <v>97.878667148437387</v>
      </c>
      <c r="G32" s="47">
        <f t="shared" si="5"/>
        <v>95.431700469726593</v>
      </c>
      <c r="H32" s="47">
        <f t="shared" si="4"/>
        <v>99.739024676791985</v>
      </c>
      <c r="I32" s="57"/>
      <c r="AJ32" s="40" t="s">
        <v>66</v>
      </c>
      <c r="AK32" s="40" t="s">
        <v>67</v>
      </c>
    </row>
    <row r="33" spans="1:37" s="36" customFormat="1" ht="15.75" customHeight="1">
      <c r="A33" s="40">
        <v>3.1</v>
      </c>
      <c r="B33" s="40" t="s">
        <v>68</v>
      </c>
      <c r="C33" s="117">
        <f t="shared" ref="C33:H33" si="6">C32/C30</f>
        <v>0.22946090999956534</v>
      </c>
      <c r="D33" s="117">
        <f t="shared" ref="D33:G33" si="7">D32/D30</f>
        <v>0.22946090999956537</v>
      </c>
      <c r="E33" s="117">
        <f t="shared" si="7"/>
        <v>0.22946090999956534</v>
      </c>
      <c r="F33" s="117">
        <f t="shared" si="7"/>
        <v>0.2294609099995652</v>
      </c>
      <c r="G33" s="117">
        <f t="shared" si="7"/>
        <v>0.2294609099995655</v>
      </c>
      <c r="H33" s="117">
        <f t="shared" si="6"/>
        <v>0.22946090999956525</v>
      </c>
      <c r="I33" s="57"/>
      <c r="AJ33" s="40"/>
      <c r="AK33" s="40"/>
    </row>
    <row r="34" spans="1:37" s="36" customFormat="1" ht="15.75" customHeight="1">
      <c r="A34" s="40" t="s">
        <v>63</v>
      </c>
      <c r="B34" s="43" t="s">
        <v>7</v>
      </c>
      <c r="C34" s="47"/>
      <c r="D34" s="47"/>
      <c r="E34" s="47"/>
      <c r="F34" s="47"/>
      <c r="G34" s="47"/>
      <c r="H34" s="47"/>
      <c r="I34" s="57"/>
      <c r="AJ34" s="40" t="s">
        <v>69</v>
      </c>
      <c r="AK34" s="43" t="s">
        <v>7</v>
      </c>
    </row>
    <row r="35" spans="1:37" s="36" customFormat="1" ht="15.75" customHeight="1">
      <c r="A35" s="40" t="s">
        <v>18</v>
      </c>
      <c r="B35" s="48" t="s">
        <v>70</v>
      </c>
      <c r="C35" s="42">
        <f>+C9/C4</f>
        <v>26.757466990227137</v>
      </c>
      <c r="D35" s="42">
        <f t="shared" ref="D35:G35" si="8">+D9/D4</f>
        <v>26.75746699022714</v>
      </c>
      <c r="E35" s="42">
        <f t="shared" si="8"/>
        <v>26.757466990227137</v>
      </c>
      <c r="F35" s="42">
        <f t="shared" si="8"/>
        <v>26.757466990227137</v>
      </c>
      <c r="G35" s="42">
        <f t="shared" si="8"/>
        <v>26.757466990227144</v>
      </c>
      <c r="H35" s="42">
        <f>+H9/H4</f>
        <v>26.757466990227137</v>
      </c>
      <c r="I35" s="57"/>
      <c r="AJ35" s="40" t="s">
        <v>66</v>
      </c>
      <c r="AK35" s="40" t="s">
        <v>70</v>
      </c>
    </row>
    <row r="36" spans="1:37" s="36" customFormat="1" ht="15.75" customHeight="1">
      <c r="A36" s="40" t="s">
        <v>20</v>
      </c>
      <c r="B36" s="48" t="s">
        <v>71</v>
      </c>
      <c r="C36" s="42">
        <f>+C10/C4</f>
        <v>8.3154192084695353</v>
      </c>
      <c r="D36" s="42">
        <f t="shared" ref="D36:G36" si="9">+D10/D4</f>
        <v>8.3154192084695353</v>
      </c>
      <c r="E36" s="42">
        <f t="shared" si="9"/>
        <v>8.3154192084695371</v>
      </c>
      <c r="F36" s="42">
        <f t="shared" si="9"/>
        <v>8.3154192084695371</v>
      </c>
      <c r="G36" s="42">
        <f t="shared" si="9"/>
        <v>8.3154192084695353</v>
      </c>
      <c r="H36" s="42">
        <f>+H10/H4</f>
        <v>8.3154192084695353</v>
      </c>
      <c r="I36" s="57"/>
      <c r="AJ36" s="40" t="s">
        <v>23</v>
      </c>
      <c r="AK36" s="40" t="s">
        <v>71</v>
      </c>
    </row>
    <row r="37" spans="1:37" s="36" customFormat="1" ht="15.75" customHeight="1">
      <c r="A37" s="40" t="s">
        <v>66</v>
      </c>
      <c r="B37" s="48" t="s">
        <v>72</v>
      </c>
      <c r="C37" s="42">
        <f>+C11/C4</f>
        <v>11.5055</v>
      </c>
      <c r="D37" s="42">
        <f t="shared" ref="D37:G37" si="10">+D11/D4</f>
        <v>11.5055</v>
      </c>
      <c r="E37" s="42">
        <f t="shared" si="10"/>
        <v>11.5055</v>
      </c>
      <c r="F37" s="42">
        <f t="shared" si="10"/>
        <v>11.5055</v>
      </c>
      <c r="G37" s="42">
        <f t="shared" si="10"/>
        <v>11.5055</v>
      </c>
      <c r="H37" s="42">
        <f>+H11/H4</f>
        <v>11.5055</v>
      </c>
      <c r="I37" s="57"/>
      <c r="AJ37" s="40" t="s">
        <v>29</v>
      </c>
      <c r="AK37" s="40" t="s">
        <v>72</v>
      </c>
    </row>
    <row r="38" spans="1:37" s="36" customFormat="1" ht="15.75" customHeight="1">
      <c r="A38" s="40" t="s">
        <v>73</v>
      </c>
      <c r="B38" s="106" t="s">
        <v>74</v>
      </c>
      <c r="C38" s="42"/>
      <c r="D38" s="42"/>
      <c r="E38" s="42"/>
      <c r="F38" s="42"/>
      <c r="G38" s="42"/>
      <c r="H38" s="42"/>
      <c r="I38" s="57"/>
      <c r="AJ38" s="40" t="s">
        <v>73</v>
      </c>
      <c r="AK38" s="43" t="s">
        <v>74</v>
      </c>
    </row>
    <row r="39" spans="1:37" s="36" customFormat="1">
      <c r="A39" s="40" t="s">
        <v>18</v>
      </c>
      <c r="B39" s="48" t="s">
        <v>252</v>
      </c>
      <c r="C39" s="42">
        <f>+C13/C4</f>
        <v>59.024113801303265</v>
      </c>
      <c r="D39" s="42">
        <f t="shared" ref="D39:G39" si="11">+D13/D4</f>
        <v>56.384051301303273</v>
      </c>
      <c r="E39" s="42">
        <f t="shared" si="11"/>
        <v>53.809990363803323</v>
      </c>
      <c r="F39" s="42">
        <f t="shared" si="11"/>
        <v>51.300280949740795</v>
      </c>
      <c r="G39" s="42">
        <f t="shared" si="11"/>
        <v>48.853314271029923</v>
      </c>
      <c r="H39" s="42">
        <f>+H13/H4</f>
        <v>53.160638478095315</v>
      </c>
      <c r="I39" s="57"/>
      <c r="AJ39" s="40" t="s">
        <v>18</v>
      </c>
      <c r="AK39" s="40" t="s">
        <v>75</v>
      </c>
    </row>
    <row r="40" spans="1:37" s="36" customFormat="1" ht="15.75" customHeight="1">
      <c r="A40" s="40" t="s">
        <v>20</v>
      </c>
      <c r="B40" s="48" t="s">
        <v>76</v>
      </c>
      <c r="C40" s="101">
        <f t="shared" ref="C40" si="12">+C21/C39</f>
        <v>28902.150944769532</v>
      </c>
      <c r="D40" s="101">
        <f t="shared" ref="D40:G40" si="13">+D21/D39</f>
        <v>37749.235093256844</v>
      </c>
      <c r="E40" s="101">
        <f t="shared" si="13"/>
        <v>47407.289101017363</v>
      </c>
      <c r="F40" s="101">
        <f t="shared" si="13"/>
        <v>49726.545790246244</v>
      </c>
      <c r="G40" s="101">
        <f t="shared" si="13"/>
        <v>65190.709364283757</v>
      </c>
      <c r="H40" s="161">
        <f t="shared" ref="H40" si="14">+H21/H39</f>
        <v>228009.53399136549</v>
      </c>
      <c r="I40" s="57"/>
      <c r="AJ40" s="40" t="s">
        <v>20</v>
      </c>
      <c r="AK40" s="40" t="s">
        <v>76</v>
      </c>
    </row>
    <row r="41" spans="1:37" s="36" customFormat="1" ht="15.75" hidden="1" customHeight="1">
      <c r="A41" s="40" t="s">
        <v>77</v>
      </c>
      <c r="B41" s="43" t="s">
        <v>78</v>
      </c>
      <c r="C41" s="47"/>
      <c r="D41" s="47"/>
      <c r="E41" s="47"/>
      <c r="F41" s="47"/>
      <c r="G41" s="47"/>
      <c r="H41" s="47"/>
      <c r="I41" s="57"/>
      <c r="AJ41" s="40" t="s">
        <v>77</v>
      </c>
      <c r="AK41" s="43" t="s">
        <v>78</v>
      </c>
    </row>
    <row r="42" spans="1:37" s="36" customFormat="1" ht="15.75" hidden="1" customHeight="1">
      <c r="A42" s="40" t="s">
        <v>18</v>
      </c>
      <c r="B42" s="40" t="s">
        <v>79</v>
      </c>
      <c r="C42" s="47">
        <f>+C15/C4</f>
        <v>21.066149999999997</v>
      </c>
      <c r="D42" s="47">
        <f t="shared" ref="D42:G42" si="15">+D15/D4</f>
        <v>20.994900000000001</v>
      </c>
      <c r="E42" s="47"/>
      <c r="F42" s="47"/>
      <c r="G42" s="47">
        <f t="shared" si="15"/>
        <v>20.899899999999999</v>
      </c>
      <c r="H42" s="47">
        <f>+H15/H4</f>
        <v>20.959900000000001</v>
      </c>
      <c r="I42" s="57"/>
      <c r="AJ42" s="40" t="s">
        <v>18</v>
      </c>
      <c r="AK42" s="40" t="s">
        <v>79</v>
      </c>
    </row>
    <row r="43" spans="1:37" s="36" customFormat="1" ht="15.75" hidden="1" customHeight="1">
      <c r="A43" s="40" t="s">
        <v>20</v>
      </c>
      <c r="B43" s="40" t="s">
        <v>80</v>
      </c>
      <c r="C43" s="47">
        <f>+C17/C4</f>
        <v>3.6357380000000004</v>
      </c>
      <c r="D43" s="47">
        <f t="shared" ref="D43:G43" si="16">+D17/D4</f>
        <v>3.6357380000000004</v>
      </c>
      <c r="E43" s="47"/>
      <c r="F43" s="47"/>
      <c r="G43" s="47">
        <f t="shared" si="16"/>
        <v>3.6357380000000008</v>
      </c>
      <c r="H43" s="47">
        <f>+H17/H4</f>
        <v>3.6357380000000004</v>
      </c>
      <c r="I43" s="57"/>
      <c r="AJ43" s="40" t="s">
        <v>20</v>
      </c>
      <c r="AK43" s="40" t="s">
        <v>80</v>
      </c>
    </row>
    <row r="44" spans="1:37" s="36" customFormat="1" ht="15.75" hidden="1" customHeight="1">
      <c r="A44" s="40" t="s">
        <v>66</v>
      </c>
      <c r="B44" s="40" t="s">
        <v>81</v>
      </c>
      <c r="C44" s="47">
        <f>+C18/C4</f>
        <v>18.668046202078799</v>
      </c>
      <c r="D44" s="47">
        <f t="shared" ref="D44:G44" si="17">+D18/D4</f>
        <v>18.668046202078799</v>
      </c>
      <c r="E44" s="47"/>
      <c r="F44" s="47"/>
      <c r="G44" s="47">
        <f t="shared" si="17"/>
        <v>18.668046202078799</v>
      </c>
      <c r="H44" s="47">
        <f>+H18/H4</f>
        <v>18.668046202078802</v>
      </c>
      <c r="I44" s="57"/>
      <c r="AJ44" s="40" t="s">
        <v>66</v>
      </c>
      <c r="AK44" s="40" t="s">
        <v>81</v>
      </c>
    </row>
    <row r="45" spans="1:37" s="36" customFormat="1" ht="15.75" hidden="1" customHeight="1">
      <c r="A45" s="40" t="s">
        <v>23</v>
      </c>
      <c r="B45" s="40" t="s">
        <v>82</v>
      </c>
      <c r="C45" s="47"/>
      <c r="D45" s="47"/>
      <c r="E45" s="47"/>
      <c r="F45" s="47"/>
      <c r="G45" s="47"/>
      <c r="H45" s="47"/>
      <c r="I45" s="57"/>
      <c r="AJ45" s="40" t="s">
        <v>23</v>
      </c>
      <c r="AK45" s="40" t="s">
        <v>83</v>
      </c>
    </row>
    <row r="46" spans="1:37" s="36" customFormat="1" ht="15.75" hidden="1" customHeight="1">
      <c r="A46" s="40" t="s">
        <v>26</v>
      </c>
      <c r="B46" s="40" t="s">
        <v>84</v>
      </c>
      <c r="C46" s="47"/>
      <c r="D46" s="47"/>
      <c r="E46" s="47"/>
      <c r="F46" s="47"/>
      <c r="G46" s="47"/>
      <c r="H46" s="47"/>
      <c r="I46" s="57"/>
      <c r="AJ46" s="40" t="s">
        <v>26</v>
      </c>
      <c r="AK46" s="40" t="s">
        <v>84</v>
      </c>
    </row>
    <row r="47" spans="1:37" s="36" customFormat="1" ht="15.75" hidden="1" customHeight="1">
      <c r="A47" s="40" t="s">
        <v>85</v>
      </c>
      <c r="B47" s="43" t="s">
        <v>86</v>
      </c>
      <c r="C47" s="47"/>
      <c r="D47" s="47"/>
      <c r="E47" s="47"/>
      <c r="F47" s="47"/>
      <c r="G47" s="47"/>
      <c r="H47" s="47"/>
      <c r="I47" s="57"/>
      <c r="AJ47" s="40" t="s">
        <v>85</v>
      </c>
      <c r="AK47" s="43" t="s">
        <v>86</v>
      </c>
    </row>
    <row r="48" spans="1:37" s="36" customFormat="1" ht="15.75" hidden="1" customHeight="1">
      <c r="A48" s="40" t="s">
        <v>18</v>
      </c>
      <c r="B48" s="40" t="s">
        <v>87</v>
      </c>
      <c r="C48" s="118">
        <f>+(C11+C17)/C7</f>
        <v>3.2900000000000006E-2</v>
      </c>
      <c r="D48" s="118">
        <f t="shared" ref="D48:G48" si="18">+(D11+D17)/D7</f>
        <v>3.3743589743589743E-2</v>
      </c>
      <c r="E48" s="118"/>
      <c r="F48" s="118"/>
      <c r="G48" s="118">
        <f t="shared" si="18"/>
        <v>3.6406374746535575E-2</v>
      </c>
      <c r="H48" s="118">
        <f>+(H11+H17)/H7</f>
        <v>3.4834130985927199E-2</v>
      </c>
      <c r="I48" s="57"/>
      <c r="AJ48" s="40" t="s">
        <v>18</v>
      </c>
      <c r="AK48" s="40" t="s">
        <v>87</v>
      </c>
    </row>
    <row r="49" spans="1:37" s="36" customFormat="1" ht="15.75" hidden="1" customHeight="1">
      <c r="A49" s="40" t="s">
        <v>20</v>
      </c>
      <c r="B49" s="40" t="s">
        <v>88</v>
      </c>
      <c r="C49" s="118">
        <f>+(C9+C10+C15)/C7</f>
        <v>0.12198304332427247</v>
      </c>
      <c r="D49" s="118">
        <f t="shared" ref="D49:G49" si="19">+(D9+D10+D15)/D7</f>
        <v>0.12495202673124377</v>
      </c>
      <c r="E49" s="118"/>
      <c r="F49" s="118"/>
      <c r="G49" s="118">
        <f t="shared" si="19"/>
        <v>0.1345838583316282</v>
      </c>
      <c r="H49" s="118">
        <f>+(H9+H10+H15)/H7</f>
        <v>0.1289097637823178</v>
      </c>
      <c r="I49" s="57"/>
      <c r="AJ49" s="40" t="s">
        <v>20</v>
      </c>
      <c r="AK49" s="40" t="s">
        <v>88</v>
      </c>
    </row>
    <row r="50" spans="1:37" s="36" customFormat="1" ht="15.75" hidden="1" customHeight="1">
      <c r="A50" s="40" t="s">
        <v>66</v>
      </c>
      <c r="B50" s="40" t="s">
        <v>89</v>
      </c>
      <c r="C50" s="118">
        <f>+C18/C7</f>
        <v>4.0563309291379773E-2</v>
      </c>
      <c r="D50" s="118">
        <f t="shared" ref="D50:G50" si="20">+D18/D7</f>
        <v>4.1603394145004899E-2</v>
      </c>
      <c r="E50" s="118"/>
      <c r="F50" s="118"/>
      <c r="G50" s="118">
        <f t="shared" si="20"/>
        <v>4.4886414559927063E-2</v>
      </c>
      <c r="H50" s="118">
        <f>+H18/H7</f>
        <v>4.2947952251629208E-2</v>
      </c>
      <c r="I50" s="57"/>
      <c r="AJ50" s="40" t="s">
        <v>66</v>
      </c>
      <c r="AK50" s="40" t="s">
        <v>89</v>
      </c>
    </row>
    <row r="51" spans="1:37" s="36" customFormat="1" ht="15.75" hidden="1" customHeight="1">
      <c r="A51" s="40" t="s">
        <v>23</v>
      </c>
      <c r="B51" s="40" t="s">
        <v>90</v>
      </c>
      <c r="C51" s="118">
        <f>+C19/C7</f>
        <v>2.9877015340489329E-4</v>
      </c>
      <c r="D51" s="118">
        <f t="shared" ref="D51:G51" si="21">+D19/D7</f>
        <v>2.4514474125529709E-4</v>
      </c>
      <c r="E51" s="118"/>
      <c r="F51" s="118"/>
      <c r="G51" s="118">
        <f t="shared" si="21"/>
        <v>1.7632645459677353E-4</v>
      </c>
      <c r="H51" s="118">
        <f>+H19/H7</f>
        <v>2.2198898647451858E-4</v>
      </c>
      <c r="I51" s="57"/>
      <c r="AJ51" s="40" t="s">
        <v>23</v>
      </c>
      <c r="AK51" s="40" t="s">
        <v>90</v>
      </c>
    </row>
    <row r="52" spans="1:37" s="36" customFormat="1" ht="15.75" hidden="1" customHeight="1">
      <c r="A52" s="40" t="s">
        <v>26</v>
      </c>
      <c r="B52" s="40" t="s">
        <v>91</v>
      </c>
      <c r="C52" s="118">
        <f>+C20/C7</f>
        <v>2.1299999999999999E-2</v>
      </c>
      <c r="D52" s="118">
        <f t="shared" ref="D52:G52" si="22">+D20/D7</f>
        <v>2.1846153846153842E-2</v>
      </c>
      <c r="E52" s="118"/>
      <c r="F52" s="118"/>
      <c r="G52" s="118">
        <f t="shared" si="22"/>
        <v>2.357008456234674E-2</v>
      </c>
      <c r="H52" s="118">
        <f>+H20/H7</f>
        <v>2.2552188145904241E-2</v>
      </c>
      <c r="I52" s="57"/>
      <c r="AJ52" s="40" t="s">
        <v>26</v>
      </c>
      <c r="AK52" s="40" t="s">
        <v>91</v>
      </c>
    </row>
    <row r="53" spans="1:37" s="36" customFormat="1" ht="15.75" hidden="1" customHeight="1">
      <c r="A53" s="40" t="s">
        <v>29</v>
      </c>
      <c r="B53" s="40" t="s">
        <v>92</v>
      </c>
      <c r="C53" s="118">
        <f>+C24/C7</f>
        <v>1.0553419145931947E-2</v>
      </c>
      <c r="D53" s="118">
        <f t="shared" ref="D53:G53" si="23">+D24/D7</f>
        <v>6.0100106734701101E-3</v>
      </c>
      <c r="E53" s="118"/>
      <c r="F53" s="118"/>
      <c r="G53" s="118">
        <f t="shared" si="23"/>
        <v>-1.0162148655468816E-2</v>
      </c>
      <c r="H53" s="118">
        <f>+H24/H7</f>
        <v>-5.1141526876732041E-6</v>
      </c>
      <c r="I53" s="57"/>
      <c r="AJ53" s="40" t="s">
        <v>29</v>
      </c>
      <c r="AK53" s="40" t="s">
        <v>93</v>
      </c>
    </row>
    <row r="54" spans="1:37" s="36" customFormat="1" ht="15.75" hidden="1" customHeight="1">
      <c r="A54" s="40" t="s">
        <v>94</v>
      </c>
      <c r="B54" s="43" t="s">
        <v>95</v>
      </c>
      <c r="C54" s="47">
        <f>+C22/C4</f>
        <v>5.7139935992244721</v>
      </c>
      <c r="D54" s="47">
        <f t="shared" ref="D54:G54" si="24">+D22/D4</f>
        <v>3.1726810992244747</v>
      </c>
      <c r="E54" s="47"/>
      <c r="F54" s="47"/>
      <c r="G54" s="47">
        <f t="shared" si="24"/>
        <v>-4.2263892643822043</v>
      </c>
      <c r="H54" s="47">
        <f>+H22/H4</f>
        <v>-2.2229520536534357E-3</v>
      </c>
      <c r="I54" s="57"/>
      <c r="AJ54" s="40" t="s">
        <v>94</v>
      </c>
      <c r="AK54" s="43" t="s">
        <v>95</v>
      </c>
    </row>
    <row r="55" spans="1:37" s="36" customFormat="1" ht="15.75" hidden="1" customHeight="1">
      <c r="A55" s="40" t="s">
        <v>96</v>
      </c>
      <c r="B55" s="119" t="s">
        <v>97</v>
      </c>
      <c r="C55" s="47"/>
      <c r="D55" s="47"/>
      <c r="E55" s="47"/>
      <c r="F55" s="47"/>
      <c r="G55" s="47"/>
      <c r="H55" s="47"/>
      <c r="I55" s="57"/>
      <c r="AJ55" s="40"/>
      <c r="AK55" s="43"/>
    </row>
    <row r="56" spans="1:37" s="36" customFormat="1" ht="15.75" hidden="1" customHeight="1">
      <c r="A56" s="40" t="s">
        <v>18</v>
      </c>
      <c r="B56" s="40" t="s">
        <v>98</v>
      </c>
      <c r="C56" s="47">
        <f>C57+C58</f>
        <v>82000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1.1000000000000001</v>
      </c>
      <c r="B57" s="120" t="s">
        <v>99</v>
      </c>
      <c r="C57" s="47">
        <f>项目投资!B27</f>
        <v>22000</v>
      </c>
      <c r="D57" s="47"/>
      <c r="E57" s="47"/>
      <c r="F57" s="47"/>
      <c r="G57" s="47"/>
      <c r="H57" s="47"/>
      <c r="I57" s="57"/>
    </row>
    <row r="58" spans="1:37" s="36" customFormat="1" ht="15.75" hidden="1" customHeight="1">
      <c r="A58" s="40">
        <v>1.2</v>
      </c>
      <c r="B58" s="40" t="s">
        <v>100</v>
      </c>
      <c r="C58" s="47">
        <f>项目投资!B26</f>
        <v>60000</v>
      </c>
      <c r="D58" s="47"/>
      <c r="E58" s="47"/>
      <c r="F58" s="47"/>
      <c r="G58" s="47"/>
      <c r="H58" s="47"/>
      <c r="I58" s="57"/>
    </row>
    <row r="59" spans="1:37" ht="15.75" hidden="1" customHeight="1">
      <c r="A59" s="107" t="s">
        <v>20</v>
      </c>
      <c r="B59" s="107" t="s">
        <v>101</v>
      </c>
      <c r="C59" s="121">
        <f t="shared" ref="C59:G59" si="25">C60+C61</f>
        <v>166820.62589890562</v>
      </c>
      <c r="D59" s="121">
        <f t="shared" si="25"/>
        <v>119271.15737363214</v>
      </c>
      <c r="E59" s="121"/>
      <c r="F59" s="121"/>
      <c r="G59" s="121">
        <f t="shared" si="25"/>
        <v>-242183.35586293228</v>
      </c>
      <c r="H59" s="121">
        <f t="shared" ref="H59" si="26">H60+H61</f>
        <v>56493.166931767017</v>
      </c>
      <c r="I59" s="57"/>
    </row>
    <row r="60" spans="1:37" ht="15.75" hidden="1" customHeight="1">
      <c r="A60" s="107" t="s">
        <v>66</v>
      </c>
      <c r="B60" s="107" t="s">
        <v>102</v>
      </c>
      <c r="C60" s="121">
        <f t="shared" ref="C60:G60" si="27">C24</f>
        <v>155420.62589890562</v>
      </c>
      <c r="D60" s="121">
        <f t="shared" si="27"/>
        <v>107871.15737363214</v>
      </c>
      <c r="E60" s="121"/>
      <c r="F60" s="121"/>
      <c r="G60" s="121">
        <f t="shared" si="27"/>
        <v>-253583.35586293228</v>
      </c>
      <c r="H60" s="121">
        <f t="shared" ref="H60" si="28">H24</f>
        <v>-506.83306823298335</v>
      </c>
      <c r="I60" s="57"/>
    </row>
    <row r="61" spans="1:37" ht="15.75" hidden="1" customHeight="1">
      <c r="A61" s="107" t="s">
        <v>23</v>
      </c>
      <c r="B61" s="107" t="s">
        <v>103</v>
      </c>
      <c r="C61" s="121">
        <f>'2023年'!K18</f>
        <v>11400</v>
      </c>
      <c r="D61" s="121">
        <f>'2024年'!K18</f>
        <v>11400</v>
      </c>
      <c r="E61" s="121"/>
      <c r="F61" s="121"/>
      <c r="G61" s="121">
        <f>'2027年'!K18</f>
        <v>11400</v>
      </c>
      <c r="H61" s="121">
        <f>项目投资!I26</f>
        <v>57000</v>
      </c>
      <c r="I61" s="57"/>
    </row>
    <row r="62" spans="1:37" ht="15.75" hidden="1" customHeight="1">
      <c r="A62" s="107" t="s">
        <v>26</v>
      </c>
      <c r="B62" s="107" t="s">
        <v>104</v>
      </c>
      <c r="C62" s="122"/>
      <c r="D62" s="122"/>
      <c r="E62" s="122"/>
      <c r="F62" s="122"/>
      <c r="G62" s="122"/>
      <c r="H62" s="121"/>
      <c r="I62" s="57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105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106</v>
      </c>
      <c r="B2" s="65"/>
    </row>
    <row r="3" spans="1:13" ht="16.899999999999999" customHeight="1">
      <c r="A3" s="66" t="s">
        <v>13</v>
      </c>
      <c r="B3" s="66" t="s">
        <v>107</v>
      </c>
      <c r="C3" s="256" t="s">
        <v>108</v>
      </c>
      <c r="D3" s="256"/>
      <c r="E3" s="256"/>
      <c r="F3" s="68"/>
      <c r="G3" s="69"/>
      <c r="H3" s="70"/>
      <c r="I3" s="70"/>
      <c r="J3" s="70" t="s">
        <v>109</v>
      </c>
      <c r="K3" s="70"/>
      <c r="L3" s="70"/>
      <c r="M3" s="91"/>
    </row>
    <row r="4" spans="1:13" ht="16.149999999999999" customHeight="1">
      <c r="A4" s="71"/>
      <c r="B4" s="71" t="s">
        <v>110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111</v>
      </c>
    </row>
    <row r="5" spans="1:13" ht="15.6" customHeight="1">
      <c r="A5" s="73">
        <v>1</v>
      </c>
      <c r="B5" s="74" t="s">
        <v>112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14727040</v>
      </c>
      <c r="G5" s="75">
        <f t="shared" si="1"/>
        <v>18408800</v>
      </c>
      <c r="H5" s="75">
        <f t="shared" si="1"/>
        <v>27613200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104930160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113</v>
      </c>
      <c r="C6" s="77"/>
      <c r="D6" s="77"/>
      <c r="E6" s="77" t="e">
        <f>损益表!#REF!</f>
        <v>#REF!</v>
      </c>
      <c r="F6" s="77">
        <f>损益表!C5</f>
        <v>14727040</v>
      </c>
      <c r="G6" s="77">
        <f>损益表!D5</f>
        <v>18408800</v>
      </c>
      <c r="H6" s="77">
        <f>损益表!G5</f>
        <v>27613200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损益表!H5</f>
        <v>104930160</v>
      </c>
      <c r="M6" s="79" t="e">
        <f t="shared" si="2"/>
        <v>#REF!</v>
      </c>
    </row>
    <row r="7" spans="1:13" ht="15.6" customHeight="1">
      <c r="A7" s="73">
        <v>1.2</v>
      </c>
      <c r="B7" s="76" t="s">
        <v>114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115</v>
      </c>
      <c r="C8" s="77" t="s">
        <v>116</v>
      </c>
      <c r="D8" s="77" t="s">
        <v>116</v>
      </c>
      <c r="E8" s="77" t="s">
        <v>116</v>
      </c>
      <c r="F8" s="77" t="s">
        <v>116</v>
      </c>
      <c r="G8" s="77" t="s">
        <v>116</v>
      </c>
      <c r="H8" s="77" t="s">
        <v>116</v>
      </c>
      <c r="I8" s="77" t="s">
        <v>116</v>
      </c>
      <c r="J8" s="77" t="s">
        <v>116</v>
      </c>
      <c r="K8" s="77" t="s">
        <v>116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117</v>
      </c>
      <c r="C9" s="77" t="s">
        <v>116</v>
      </c>
      <c r="D9" s="77" t="s">
        <v>116</v>
      </c>
      <c r="E9" s="77" t="s">
        <v>116</v>
      </c>
      <c r="F9" s="77" t="s">
        <v>116</v>
      </c>
      <c r="G9" s="77" t="s">
        <v>116</v>
      </c>
      <c r="H9" s="77" t="s">
        <v>116</v>
      </c>
      <c r="I9" s="77" t="s">
        <v>116</v>
      </c>
      <c r="J9" s="77" t="s">
        <v>116</v>
      </c>
      <c r="K9" s="77" t="s">
        <v>116</v>
      </c>
      <c r="L9" s="77" t="s">
        <v>116</v>
      </c>
      <c r="M9" s="79">
        <f t="shared" si="2"/>
        <v>0</v>
      </c>
    </row>
    <row r="10" spans="1:13" ht="15.6" customHeight="1">
      <c r="A10" s="78">
        <v>2</v>
      </c>
      <c r="B10" s="74" t="s">
        <v>118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119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120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121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122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53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124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14727040</v>
      </c>
      <c r="G17" s="75">
        <f t="shared" si="4"/>
        <v>18408800</v>
      </c>
      <c r="H17" s="75">
        <f t="shared" si="4"/>
        <v>27613200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104930160</v>
      </c>
      <c r="M17" s="79" t="e">
        <f t="shared" si="2"/>
        <v>#REF!</v>
      </c>
    </row>
    <row r="18" spans="1:18" ht="12">
      <c r="A18" s="80">
        <v>4</v>
      </c>
      <c r="B18" s="76" t="s">
        <v>125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116</v>
      </c>
    </row>
    <row r="19" spans="1:18" s="60" customFormat="1" ht="12">
      <c r="A19" s="80">
        <v>5</v>
      </c>
      <c r="B19" s="76" t="s">
        <v>126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14727040</v>
      </c>
      <c r="G19" s="77">
        <f t="shared" si="6"/>
        <v>18408800</v>
      </c>
      <c r="H19" s="77">
        <f t="shared" si="6"/>
        <v>27613200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104930160</v>
      </c>
      <c r="M19" s="79" t="e">
        <f>SUM(C19:L19)</f>
        <v>#REF!</v>
      </c>
    </row>
    <row r="20" spans="1:18" s="60" customFormat="1" ht="12">
      <c r="A20" s="73">
        <v>6</v>
      </c>
      <c r="B20" s="76" t="s">
        <v>127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116</v>
      </c>
    </row>
    <row r="21" spans="1:18" ht="12">
      <c r="A21" s="81"/>
      <c r="B21" s="82" t="s">
        <v>128</v>
      </c>
      <c r="C21" s="82"/>
      <c r="D21" s="82"/>
      <c r="E21" s="82" t="s">
        <v>129</v>
      </c>
      <c r="F21" s="82"/>
      <c r="G21" s="82"/>
      <c r="H21" s="82"/>
      <c r="I21" s="82" t="s">
        <v>130</v>
      </c>
      <c r="J21" s="82"/>
      <c r="K21" s="82"/>
      <c r="L21" s="82"/>
      <c r="M21" s="93"/>
    </row>
    <row r="22" spans="1:18" ht="12">
      <c r="A22" s="83"/>
      <c r="B22" s="84" t="s">
        <v>131</v>
      </c>
      <c r="C22" s="84"/>
      <c r="D22" s="85" t="s">
        <v>132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133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134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7" activePane="bottomRight" state="frozen"/>
      <selection pane="topRight"/>
      <selection pane="bottomLeft"/>
      <selection pane="bottomRight" activeCell="F25" sqref="F25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57" t="s">
        <v>135</v>
      </c>
      <c r="B1" s="257"/>
      <c r="C1" s="261" t="s">
        <v>234</v>
      </c>
      <c r="D1" s="262"/>
      <c r="E1" s="262"/>
      <c r="F1" s="262"/>
      <c r="G1" s="262"/>
      <c r="H1" s="262"/>
      <c r="I1" s="262"/>
      <c r="J1" s="262"/>
      <c r="K1" s="263"/>
    </row>
    <row r="2" spans="1:37">
      <c r="A2" s="257" t="s">
        <v>136</v>
      </c>
      <c r="B2" s="257"/>
      <c r="C2" s="264" t="s">
        <v>262</v>
      </c>
      <c r="D2" s="264"/>
      <c r="E2" s="264"/>
      <c r="F2" s="264"/>
      <c r="G2" s="264"/>
      <c r="H2" s="264"/>
      <c r="I2" s="264"/>
      <c r="J2" s="264"/>
      <c r="K2" s="264"/>
    </row>
    <row r="3" spans="1:37">
      <c r="A3" s="257" t="s">
        <v>137</v>
      </c>
      <c r="B3" s="257"/>
      <c r="C3" s="147" t="str">
        <f>销量!C5</f>
        <v>驾驶员座总成</v>
      </c>
      <c r="D3" s="147" t="str">
        <f>销量!D5</f>
        <v>座垫总成-前座</v>
      </c>
      <c r="E3" s="147" t="str">
        <f>销量!E5</f>
        <v>主靠背总成-前座</v>
      </c>
      <c r="F3" s="147" t="str">
        <f>销量!F5</f>
        <v>副靠背总成</v>
      </c>
      <c r="G3" s="147">
        <f>销量!G5</f>
        <v>0</v>
      </c>
      <c r="H3" s="147">
        <f>销量!H5</f>
        <v>0</v>
      </c>
      <c r="I3" s="147">
        <f>销量!I5</f>
        <v>0</v>
      </c>
      <c r="J3" s="147">
        <f>销量!J5</f>
        <v>0</v>
      </c>
      <c r="K3" s="258" t="s">
        <v>14</v>
      </c>
    </row>
    <row r="4" spans="1:37" ht="43.5" customHeight="1">
      <c r="A4" s="257" t="s">
        <v>138</v>
      </c>
      <c r="B4" s="257"/>
      <c r="C4" s="147" t="str">
        <f>销量!C6</f>
        <v>6800010BH26-C00</v>
      </c>
      <c r="D4" s="147" t="str">
        <f>销量!D6</f>
        <v>6903010AH26-C00</v>
      </c>
      <c r="E4" s="147" t="str">
        <f>销量!E6</f>
        <v>6905020CH26-C00</v>
      </c>
      <c r="F4" s="147" t="str">
        <f>销量!F6</f>
        <v>6905100-H26-C00</v>
      </c>
      <c r="G4" s="147">
        <f>销量!G6</f>
        <v>0</v>
      </c>
      <c r="H4" s="147">
        <f>销量!H6</f>
        <v>0</v>
      </c>
      <c r="I4" s="147">
        <f>销量!I6</f>
        <v>0</v>
      </c>
      <c r="J4" s="147">
        <f>销量!J6</f>
        <v>0</v>
      </c>
      <c r="K4" s="259"/>
    </row>
    <row r="5" spans="1:37">
      <c r="A5" s="257" t="s">
        <v>139</v>
      </c>
      <c r="B5" s="257"/>
      <c r="C5" s="39"/>
      <c r="D5" s="39"/>
      <c r="E5" s="39"/>
      <c r="F5" s="39"/>
      <c r="G5" s="39"/>
      <c r="H5" s="39"/>
      <c r="I5" s="39"/>
      <c r="J5" s="39"/>
      <c r="K5" s="260"/>
      <c r="AK5" s="36" t="s">
        <v>15</v>
      </c>
    </row>
    <row r="6" spans="1:37" ht="17.25">
      <c r="A6" s="40" t="s">
        <v>13</v>
      </c>
      <c r="B6" s="41" t="s">
        <v>140</v>
      </c>
      <c r="C6" s="12">
        <f>销量!C9</f>
        <v>8000</v>
      </c>
      <c r="D6" s="12">
        <f>销量!D9</f>
        <v>8000</v>
      </c>
      <c r="E6" s="12">
        <f>销量!E9</f>
        <v>8000</v>
      </c>
      <c r="F6" s="12">
        <f>销量!F9</f>
        <v>8000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2">
        <f t="shared" ref="K6:K15" si="0">SUM(C6:J6)</f>
        <v>32000</v>
      </c>
      <c r="AI6" s="40" t="s">
        <v>13</v>
      </c>
      <c r="AJ6" s="41" t="s">
        <v>3</v>
      </c>
      <c r="AK6" s="36" t="s">
        <v>16</v>
      </c>
    </row>
    <row r="7" spans="1:37">
      <c r="A7" s="38">
        <v>1</v>
      </c>
      <c r="B7" s="41" t="s">
        <v>17</v>
      </c>
      <c r="C7" s="42">
        <f>C6*销量!C8</f>
        <v>11321600</v>
      </c>
      <c r="D7" s="42">
        <f>D6*销量!D8</f>
        <v>952720</v>
      </c>
      <c r="E7" s="42">
        <f>E6*销量!E8</f>
        <v>1250960</v>
      </c>
      <c r="F7" s="42">
        <f>F6*销量!F8</f>
        <v>1201760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14727040</v>
      </c>
      <c r="L7" s="37"/>
      <c r="AI7" s="40" t="s">
        <v>18</v>
      </c>
      <c r="AJ7" s="41" t="s">
        <v>17</v>
      </c>
      <c r="AK7" s="36" t="s">
        <v>16</v>
      </c>
    </row>
    <row r="8" spans="1:37">
      <c r="A8" s="38">
        <v>2</v>
      </c>
      <c r="B8" s="38" t="s">
        <v>19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20</v>
      </c>
      <c r="AJ8" s="38" t="s">
        <v>21</v>
      </c>
      <c r="AK8" s="36" t="s">
        <v>16</v>
      </c>
    </row>
    <row r="9" spans="1:37">
      <c r="A9" s="38">
        <v>3</v>
      </c>
      <c r="B9" s="41" t="s">
        <v>22</v>
      </c>
      <c r="C9" s="42">
        <f>+C7-C8</f>
        <v>11321600</v>
      </c>
      <c r="D9" s="42">
        <f t="shared" ref="D9:J9" si="1">+D7-D8</f>
        <v>952720</v>
      </c>
      <c r="E9" s="42">
        <f t="shared" si="1"/>
        <v>1250960</v>
      </c>
      <c r="F9" s="42">
        <f t="shared" si="1"/>
        <v>1201760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14727040</v>
      </c>
      <c r="AI9" s="40" t="s">
        <v>23</v>
      </c>
      <c r="AJ9" s="41" t="s">
        <v>22</v>
      </c>
      <c r="AK9" s="36" t="s">
        <v>24</v>
      </c>
    </row>
    <row r="10" spans="1:37">
      <c r="A10" s="38">
        <v>4</v>
      </c>
      <c r="B10" s="40" t="s">
        <v>25</v>
      </c>
      <c r="C10" s="42">
        <f>C6*C33</f>
        <v>8686800.0000000019</v>
      </c>
      <c r="D10" s="42">
        <f>D6*D33</f>
        <v>900240</v>
      </c>
      <c r="E10" s="42">
        <f t="shared" ref="E10:J10" si="2">E6*E33</f>
        <v>1142800</v>
      </c>
      <c r="F10" s="42">
        <f t="shared" si="2"/>
        <v>617920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11347760.000000002</v>
      </c>
      <c r="AI10" s="40" t="s">
        <v>26</v>
      </c>
      <c r="AJ10" s="40" t="s">
        <v>25</v>
      </c>
      <c r="AK10" s="36" t="s">
        <v>27</v>
      </c>
    </row>
    <row r="11" spans="1:37">
      <c r="A11" s="38">
        <v>5</v>
      </c>
      <c r="B11" s="40" t="s">
        <v>28</v>
      </c>
      <c r="C11" s="42">
        <f>+C6*C36</f>
        <v>658244.61839241139</v>
      </c>
      <c r="D11" s="42">
        <f t="shared" ref="D11:J11" si="3">+D6*D36</f>
        <v>55391.71255253836</v>
      </c>
      <c r="E11" s="42">
        <f t="shared" si="3"/>
        <v>72731.565134271747</v>
      </c>
      <c r="F11" s="42">
        <f t="shared" si="3"/>
        <v>69871.047608046953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856238.94368726842</v>
      </c>
      <c r="AI11" s="40" t="s">
        <v>29</v>
      </c>
      <c r="AJ11" s="40" t="s">
        <v>28</v>
      </c>
    </row>
    <row r="12" spans="1:37">
      <c r="A12" s="38">
        <v>6</v>
      </c>
      <c r="B12" s="40" t="s">
        <v>30</v>
      </c>
      <c r="C12" s="42">
        <f>+C6*C37</f>
        <v>204562.70937944614</v>
      </c>
      <c r="D12" s="42">
        <f t="shared" ref="D12:J12" si="4">+D6*D37</f>
        <v>17214.084977387112</v>
      </c>
      <c r="E12" s="42">
        <f t="shared" si="4"/>
        <v>22602.791736619554</v>
      </c>
      <c r="F12" s="42">
        <f t="shared" si="4"/>
        <v>21713.828577572356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266093.41467102512</v>
      </c>
      <c r="AI12" s="40" t="s">
        <v>31</v>
      </c>
      <c r="AJ12" s="40" t="s">
        <v>30</v>
      </c>
    </row>
    <row r="13" spans="1:37">
      <c r="A13" s="38">
        <v>7</v>
      </c>
      <c r="B13" s="40" t="s">
        <v>32</v>
      </c>
      <c r="C13" s="42">
        <f>+C6*C38</f>
        <v>283040</v>
      </c>
      <c r="D13" s="42">
        <f t="shared" ref="D13:J13" si="5">+D6*D38</f>
        <v>23818</v>
      </c>
      <c r="E13" s="42">
        <f t="shared" si="5"/>
        <v>31274</v>
      </c>
      <c r="F13" s="42">
        <f t="shared" si="5"/>
        <v>30044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368176</v>
      </c>
      <c r="AI13" s="40" t="s">
        <v>33</v>
      </c>
      <c r="AJ13" s="40" t="s">
        <v>32</v>
      </c>
      <c r="AK13" s="36" t="s">
        <v>16</v>
      </c>
    </row>
    <row r="14" spans="1:37">
      <c r="A14" s="38">
        <v>8</v>
      </c>
      <c r="B14" s="43" t="s">
        <v>34</v>
      </c>
      <c r="C14" s="42">
        <f>SUM(C11:C13)</f>
        <v>1145847.3277718574</v>
      </c>
      <c r="D14" s="42">
        <f t="shared" ref="D14:J14" si="6">SUM(D11:D13)</f>
        <v>96423.797529925476</v>
      </c>
      <c r="E14" s="42">
        <f t="shared" si="6"/>
        <v>126608.35687089129</v>
      </c>
      <c r="F14" s="42">
        <f t="shared" si="6"/>
        <v>121628.8761856193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1490508.3583582935</v>
      </c>
      <c r="AI14" s="40" t="s">
        <v>35</v>
      </c>
      <c r="AJ14" s="43" t="s">
        <v>34</v>
      </c>
    </row>
    <row r="15" spans="1:37">
      <c r="A15" s="38">
        <v>9</v>
      </c>
      <c r="B15" s="43" t="s">
        <v>36</v>
      </c>
      <c r="C15" s="42">
        <f>+C9-C10-C14</f>
        <v>1488952.6722281408</v>
      </c>
      <c r="D15" s="42">
        <f t="shared" ref="D15:J15" si="7">+D9-D10-D14</f>
        <v>-43943.797529925476</v>
      </c>
      <c r="E15" s="42">
        <f t="shared" si="7"/>
        <v>-18448.356870891294</v>
      </c>
      <c r="F15" s="42">
        <f t="shared" si="7"/>
        <v>462211.12381438073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1888771.6416417046</v>
      </c>
      <c r="AI15" s="40" t="s">
        <v>37</v>
      </c>
      <c r="AJ15" s="43" t="s">
        <v>36</v>
      </c>
    </row>
    <row r="16" spans="1:37">
      <c r="A16" s="38">
        <v>10</v>
      </c>
      <c r="B16" s="40" t="s">
        <v>38</v>
      </c>
      <c r="C16" s="44">
        <f>+C15/C9</f>
        <v>0.13151433297662352</v>
      </c>
      <c r="D16" s="44">
        <f t="shared" ref="D16:J16" si="8">+D15/D9</f>
        <v>-4.6124567060548197E-2</v>
      </c>
      <c r="E16" s="44">
        <f t="shared" si="8"/>
        <v>-1.4747359524598144E-2</v>
      </c>
      <c r="F16" s="44">
        <f t="shared" si="8"/>
        <v>0.38461183914790037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0.12825195298184189</v>
      </c>
      <c r="AI16" s="40" t="s">
        <v>39</v>
      </c>
      <c r="AJ16" s="40" t="s">
        <v>38</v>
      </c>
    </row>
    <row r="17" spans="1:37">
      <c r="A17" s="38">
        <v>11</v>
      </c>
      <c r="B17" s="40" t="s">
        <v>40</v>
      </c>
      <c r="C17" s="42">
        <f>C6*C43+C18</f>
        <v>512322</v>
      </c>
      <c r="D17" s="42">
        <f t="shared" ref="D17:J17" si="10">D6*D43+D18</f>
        <v>45722.400000000001</v>
      </c>
      <c r="E17" s="42">
        <f t="shared" si="10"/>
        <v>59143.199999999997</v>
      </c>
      <c r="F17" s="42">
        <f t="shared" si="10"/>
        <v>56929.2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674116.79999999993</v>
      </c>
      <c r="AI17" s="40" t="s">
        <v>41</v>
      </c>
      <c r="AJ17" s="40" t="s">
        <v>40</v>
      </c>
    </row>
    <row r="18" spans="1:37" s="34" customFormat="1">
      <c r="A18" s="38">
        <v>12</v>
      </c>
      <c r="B18" s="45" t="s">
        <v>141</v>
      </c>
      <c r="C18" s="46">
        <f>$K$18/$K$6*C6</f>
        <v>2850</v>
      </c>
      <c r="D18" s="46">
        <f t="shared" ref="D18:J18" si="11">$K$18/$K$6*D6</f>
        <v>2850</v>
      </c>
      <c r="E18" s="46">
        <f t="shared" si="11"/>
        <v>2850</v>
      </c>
      <c r="F18" s="46">
        <f t="shared" si="11"/>
        <v>2850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11400</v>
      </c>
      <c r="L18" s="153" t="s">
        <v>142</v>
      </c>
      <c r="M18" s="153"/>
      <c r="N18" s="36"/>
    </row>
    <row r="19" spans="1:37">
      <c r="A19" s="38">
        <v>13</v>
      </c>
      <c r="B19" s="40" t="s">
        <v>42</v>
      </c>
      <c r="C19" s="42">
        <f>C6*C44</f>
        <v>89440.640000000014</v>
      </c>
      <c r="D19" s="42">
        <f t="shared" ref="D19:J19" si="12">D6*D44</f>
        <v>7526.4880000000003</v>
      </c>
      <c r="E19" s="42">
        <f t="shared" si="12"/>
        <v>9882.5840000000007</v>
      </c>
      <c r="F19" s="42">
        <f t="shared" si="12"/>
        <v>9493.9040000000005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116343.61600000001</v>
      </c>
      <c r="AI19" s="40" t="s">
        <v>43</v>
      </c>
      <c r="AJ19" s="40" t="s">
        <v>42</v>
      </c>
      <c r="AK19" s="36" t="s">
        <v>16</v>
      </c>
    </row>
    <row r="20" spans="1:37">
      <c r="A20" s="38">
        <v>14</v>
      </c>
      <c r="B20" s="40" t="s">
        <v>44</v>
      </c>
      <c r="C20" s="42">
        <f>C6*C45</f>
        <v>459241.56247328524</v>
      </c>
      <c r="D20" s="42">
        <f t="shared" ref="D20:J20" si="13">D6*D45</f>
        <v>38645.476028083336</v>
      </c>
      <c r="E20" s="42">
        <f t="shared" si="13"/>
        <v>50743.077391144448</v>
      </c>
      <c r="F20" s="42">
        <f t="shared" si="13"/>
        <v>48747.362574008555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597377.4784665216</v>
      </c>
      <c r="AI20" s="40" t="s">
        <v>45</v>
      </c>
      <c r="AJ20" s="40" t="s">
        <v>44</v>
      </c>
    </row>
    <row r="21" spans="1:37">
      <c r="A21" s="38">
        <v>15</v>
      </c>
      <c r="B21" s="40" t="s">
        <v>46</v>
      </c>
      <c r="C21" s="47">
        <f>$K$21/$K$6*C6</f>
        <v>1100</v>
      </c>
      <c r="D21" s="47">
        <f t="shared" ref="D21:J21" si="14">$K$21/$K$6*D6</f>
        <v>1100</v>
      </c>
      <c r="E21" s="47">
        <f t="shared" si="14"/>
        <v>1100</v>
      </c>
      <c r="F21" s="47">
        <f t="shared" si="14"/>
        <v>1100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项目投资!D27</f>
        <v>4400</v>
      </c>
      <c r="AI21" s="40"/>
      <c r="AJ21" s="40"/>
    </row>
    <row r="22" spans="1:37">
      <c r="A22" s="38">
        <v>16</v>
      </c>
      <c r="B22" s="40" t="s">
        <v>47</v>
      </c>
      <c r="C22" s="42">
        <f>C6*C47</f>
        <v>241150.08000000002</v>
      </c>
      <c r="D22" s="42">
        <f t="shared" ref="D22:J22" si="15">D6*D47</f>
        <v>20292.936000000002</v>
      </c>
      <c r="E22" s="42">
        <f t="shared" si="15"/>
        <v>26645.448</v>
      </c>
      <c r="F22" s="42">
        <f t="shared" si="15"/>
        <v>25597.487999999998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313685.95199999999</v>
      </c>
      <c r="AI22" s="40" t="s">
        <v>48</v>
      </c>
      <c r="AJ22" s="40" t="s">
        <v>47</v>
      </c>
    </row>
    <row r="23" spans="1:37">
      <c r="A23" s="38">
        <v>17</v>
      </c>
      <c r="B23" s="43" t="s">
        <v>49</v>
      </c>
      <c r="C23" s="47">
        <f>+C22+C21+C20+C19+C17</f>
        <v>1303254.2824732852</v>
      </c>
      <c r="D23" s="47">
        <f t="shared" ref="D23:J23" si="16">+D22+D21+D20+D19+D17</f>
        <v>113287.30002808335</v>
      </c>
      <c r="E23" s="47">
        <f t="shared" si="16"/>
        <v>147514.30939114443</v>
      </c>
      <c r="F23" s="47">
        <f t="shared" si="16"/>
        <v>141867.95457400853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1705923.8464665215</v>
      </c>
      <c r="AI23" s="40" t="s">
        <v>50</v>
      </c>
      <c r="AJ23" s="43" t="s">
        <v>49</v>
      </c>
    </row>
    <row r="24" spans="1:37">
      <c r="A24" s="38">
        <v>18</v>
      </c>
      <c r="B24" s="48" t="s">
        <v>51</v>
      </c>
      <c r="C24" s="47">
        <f>+C15-C23</f>
        <v>185698.38975485554</v>
      </c>
      <c r="D24" s="47">
        <f t="shared" ref="D24:J24" si="18">+D15-D23</f>
        <v>-157231.09755800883</v>
      </c>
      <c r="E24" s="47">
        <f t="shared" si="18"/>
        <v>-165962.66626203572</v>
      </c>
      <c r="F24" s="47">
        <f t="shared" si="18"/>
        <v>320343.1692403722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182847.7951751831</v>
      </c>
      <c r="M24" s="59"/>
      <c r="AI24" s="40" t="s">
        <v>52</v>
      </c>
      <c r="AJ24" s="40" t="s">
        <v>51</v>
      </c>
    </row>
    <row r="25" spans="1:37">
      <c r="A25" s="38">
        <v>19</v>
      </c>
      <c r="B25" s="40" t="s">
        <v>230</v>
      </c>
      <c r="C25" s="47">
        <f>IF(C24&lt;0,0,C24*0.15)</f>
        <v>27854.758463228329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48051.475386055827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27427.169276277466</v>
      </c>
      <c r="L25" s="55"/>
      <c r="M25" s="55"/>
      <c r="N25" s="55"/>
      <c r="AI25" s="40" t="s">
        <v>54</v>
      </c>
      <c r="AJ25" s="40" t="s">
        <v>53</v>
      </c>
    </row>
    <row r="26" spans="1:37">
      <c r="A26" s="38">
        <v>20</v>
      </c>
      <c r="B26" s="40" t="s">
        <v>55</v>
      </c>
      <c r="C26" s="47">
        <f t="shared" ref="C26" si="21">C24-C25</f>
        <v>157843.63129162721</v>
      </c>
      <c r="D26" s="47">
        <f t="shared" ref="D26:J26" si="22">D24-D25</f>
        <v>-157231.09755800883</v>
      </c>
      <c r="E26" s="47">
        <f t="shared" si="22"/>
        <v>-165962.66626203572</v>
      </c>
      <c r="F26" s="47">
        <f t="shared" si="22"/>
        <v>272291.69385431637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155420.62589890562</v>
      </c>
      <c r="L26" s="55"/>
      <c r="M26" s="55"/>
      <c r="N26" s="55"/>
      <c r="AI26" s="40" t="s">
        <v>56</v>
      </c>
      <c r="AJ26" s="40" t="s">
        <v>55</v>
      </c>
    </row>
    <row r="27" spans="1:37">
      <c r="A27" s="38">
        <v>21</v>
      </c>
      <c r="B27" s="40" t="s">
        <v>59</v>
      </c>
      <c r="C27" s="49">
        <f t="shared" ref="C27:K27" si="23">C26/C7</f>
        <v>1.3941813108714953E-2</v>
      </c>
      <c r="D27" s="49">
        <f t="shared" ref="D27:J27" si="24">D26/D7</f>
        <v>-0.16503390036737847</v>
      </c>
      <c r="E27" s="49">
        <f t="shared" si="24"/>
        <v>-0.13266824379839143</v>
      </c>
      <c r="F27" s="49">
        <f t="shared" si="24"/>
        <v>0.22657743131267172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1.0553419145931947E-2</v>
      </c>
      <c r="L27" s="55"/>
      <c r="M27" s="55"/>
      <c r="N27" s="55"/>
      <c r="AI27" s="40" t="s">
        <v>58</v>
      </c>
      <c r="AJ27" s="40" t="s">
        <v>59</v>
      </c>
    </row>
    <row r="28" spans="1:37">
      <c r="L28" s="55"/>
      <c r="M28" s="55"/>
      <c r="N28" s="55"/>
    </row>
    <row r="29" spans="1:37">
      <c r="A29" s="36" t="s">
        <v>60</v>
      </c>
      <c r="K29" s="37" t="s">
        <v>143</v>
      </c>
      <c r="L29" s="55"/>
      <c r="M29" s="55"/>
      <c r="N29" s="55"/>
      <c r="AI29" s="36" t="s">
        <v>60</v>
      </c>
    </row>
    <row r="30" spans="1:37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63</v>
      </c>
      <c r="AJ30" s="43" t="s">
        <v>62</v>
      </c>
    </row>
    <row r="31" spans="1:37">
      <c r="A31" s="50">
        <v>1</v>
      </c>
      <c r="B31" s="45" t="s">
        <v>64</v>
      </c>
      <c r="C31" s="51">
        <f>销量!C8</f>
        <v>1415.2</v>
      </c>
      <c r="D31" s="51">
        <f>销量!D8</f>
        <v>119.09</v>
      </c>
      <c r="E31" s="51">
        <f>销量!E8</f>
        <v>156.37</v>
      </c>
      <c r="F31" s="51">
        <f>销量!F8</f>
        <v>150.22</v>
      </c>
      <c r="G31" s="51">
        <f>销量!G8</f>
        <v>0</v>
      </c>
      <c r="H31" s="51">
        <f>销量!H8</f>
        <v>0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18</v>
      </c>
      <c r="AJ31" s="40" t="s">
        <v>64</v>
      </c>
    </row>
    <row r="32" spans="1:37">
      <c r="A32" s="50">
        <v>2</v>
      </c>
      <c r="B32" s="40" t="s">
        <v>144</v>
      </c>
      <c r="C32" s="42">
        <f>C31*1</f>
        <v>1415.2</v>
      </c>
      <c r="D32" s="42">
        <f t="shared" ref="D32:J32" si="25">D31*1</f>
        <v>119.09</v>
      </c>
      <c r="E32" s="42">
        <f t="shared" si="25"/>
        <v>156.37</v>
      </c>
      <c r="F32" s="42">
        <f t="shared" si="25"/>
        <v>150.22</v>
      </c>
      <c r="G32" s="42">
        <f t="shared" si="25"/>
        <v>0</v>
      </c>
      <c r="H32" s="42">
        <f t="shared" si="25"/>
        <v>0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65</v>
      </c>
      <c r="C33" s="183">
        <f>材料成本!E20</f>
        <v>1085.8500000000001</v>
      </c>
      <c r="D33" s="183">
        <f>材料成本!E21</f>
        <v>112.53</v>
      </c>
      <c r="E33" s="183">
        <f>材料成本!E22</f>
        <v>142.85</v>
      </c>
      <c r="F33" s="183">
        <f>材料成本!E23</f>
        <v>77.239999999999995</v>
      </c>
      <c r="G33" s="183">
        <f>材料成本!E24</f>
        <v>0</v>
      </c>
      <c r="H33" s="183">
        <f>材料成本!E25</f>
        <v>0</v>
      </c>
      <c r="I33" s="183">
        <f>材料成本!E26</f>
        <v>0</v>
      </c>
      <c r="J33" s="183">
        <f>材料成本!E27</f>
        <v>0</v>
      </c>
      <c r="K33" s="47"/>
      <c r="M33" s="55"/>
      <c r="N33" s="55"/>
      <c r="O33" s="55"/>
      <c r="P33" s="55"/>
      <c r="Q33" s="55"/>
      <c r="R33" s="55"/>
      <c r="AI33" s="40" t="s">
        <v>20</v>
      </c>
      <c r="AJ33" s="40" t="s">
        <v>65</v>
      </c>
    </row>
    <row r="34" spans="1:36" ht="17.25" customHeight="1">
      <c r="A34" s="50">
        <v>4</v>
      </c>
      <c r="B34" s="40" t="s">
        <v>67</v>
      </c>
      <c r="C34" s="52">
        <f>C32-C33</f>
        <v>329.34999999999991</v>
      </c>
      <c r="D34" s="52">
        <f t="shared" ref="D34:J34" si="26">D32-D33</f>
        <v>6.5600000000000023</v>
      </c>
      <c r="E34" s="52">
        <f t="shared" si="26"/>
        <v>13.52000000000001</v>
      </c>
      <c r="F34" s="52">
        <f t="shared" si="26"/>
        <v>72.98</v>
      </c>
      <c r="G34" s="52">
        <f t="shared" si="26"/>
        <v>0</v>
      </c>
      <c r="H34" s="52">
        <f t="shared" si="26"/>
        <v>0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66</v>
      </c>
      <c r="AJ34" s="40" t="s">
        <v>67</v>
      </c>
    </row>
    <row r="35" spans="1:36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69</v>
      </c>
      <c r="AJ35" s="43" t="s">
        <v>7</v>
      </c>
    </row>
    <row r="36" spans="1:36">
      <c r="A36" s="50">
        <v>1</v>
      </c>
      <c r="B36" s="40" t="s">
        <v>70</v>
      </c>
      <c r="C36" s="46">
        <f>标准成本!D4</f>
        <v>82.28057729905143</v>
      </c>
      <c r="D36" s="46">
        <f>标准成本!D18</f>
        <v>6.9239640690672948</v>
      </c>
      <c r="E36" s="46">
        <f>标准成本!D32</f>
        <v>9.0914456417839684</v>
      </c>
      <c r="F36" s="46">
        <f>标准成本!D45</f>
        <v>8.7338809510058688</v>
      </c>
      <c r="G36" s="46">
        <f>标准成本!D58</f>
        <v>0</v>
      </c>
      <c r="H36" s="46">
        <f>标准成本!D71</f>
        <v>0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66</v>
      </c>
      <c r="AJ36" s="40" t="s">
        <v>70</v>
      </c>
    </row>
    <row r="37" spans="1:36">
      <c r="A37" s="50">
        <v>2</v>
      </c>
      <c r="B37" s="40" t="s">
        <v>71</v>
      </c>
      <c r="C37" s="46">
        <f>标准成本!D6</f>
        <v>25.570338672430768</v>
      </c>
      <c r="D37" s="46">
        <f>标准成本!D20</f>
        <v>2.1517606221733891</v>
      </c>
      <c r="E37" s="46">
        <f>标准成本!D34</f>
        <v>2.8253489670774443</v>
      </c>
      <c r="F37" s="46">
        <f>标准成本!D47</f>
        <v>2.7142285721965447</v>
      </c>
      <c r="G37" s="46">
        <f>标准成本!D60</f>
        <v>0</v>
      </c>
      <c r="H37" s="46">
        <f>标准成本!D73</f>
        <v>0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23</v>
      </c>
      <c r="AJ37" s="40" t="s">
        <v>71</v>
      </c>
    </row>
    <row r="38" spans="1:36">
      <c r="A38" s="50">
        <v>3</v>
      </c>
      <c r="B38" s="40" t="s">
        <v>72</v>
      </c>
      <c r="C38" s="46">
        <f>标准成本!D10</f>
        <v>35.380000000000003</v>
      </c>
      <c r="D38" s="46">
        <f>标准成本!D24</f>
        <v>2.9772500000000002</v>
      </c>
      <c r="E38" s="46">
        <f>标准成本!D38</f>
        <v>3.9092500000000001</v>
      </c>
      <c r="F38" s="46">
        <f>标准成本!D51</f>
        <v>3.7555000000000001</v>
      </c>
      <c r="G38" s="46">
        <f>标准成本!D64</f>
        <v>0</v>
      </c>
      <c r="H38" s="46">
        <f>标准成本!D77</f>
        <v>0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29</v>
      </c>
      <c r="AJ38" s="40" t="s">
        <v>72</v>
      </c>
    </row>
    <row r="39" spans="1:36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73</v>
      </c>
      <c r="AJ39" s="43" t="s">
        <v>74</v>
      </c>
    </row>
    <row r="40" spans="1:36">
      <c r="A40" s="50">
        <v>1</v>
      </c>
      <c r="B40" s="40" t="s">
        <v>75</v>
      </c>
      <c r="C40" s="47">
        <f>C34-C36-C37-C38</f>
        <v>186.1190840285177</v>
      </c>
      <c r="D40" s="47">
        <f t="shared" ref="D40:J40" si="27">D34-D36-D37-D38</f>
        <v>-5.4929746912406818</v>
      </c>
      <c r="E40" s="47">
        <f t="shared" si="27"/>
        <v>-2.3060446088614026</v>
      </c>
      <c r="F40" s="47">
        <f t="shared" si="27"/>
        <v>57.776390476797587</v>
      </c>
      <c r="G40" s="47">
        <f t="shared" si="27"/>
        <v>0</v>
      </c>
      <c r="H40" s="47">
        <f t="shared" si="27"/>
        <v>0</v>
      </c>
      <c r="I40" s="47">
        <f t="shared" si="27"/>
        <v>0</v>
      </c>
      <c r="J40" s="47">
        <f t="shared" si="27"/>
        <v>0</v>
      </c>
      <c r="K40" s="47"/>
      <c r="AI40" s="40" t="s">
        <v>18</v>
      </c>
      <c r="AJ40" s="40" t="s">
        <v>75</v>
      </c>
    </row>
    <row r="41" spans="1:36">
      <c r="A41" s="50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20</v>
      </c>
      <c r="AJ41" s="40" t="s">
        <v>76</v>
      </c>
    </row>
    <row r="42" spans="1:36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77</v>
      </c>
      <c r="AJ42" s="43" t="s">
        <v>78</v>
      </c>
    </row>
    <row r="43" spans="1:36">
      <c r="A43" s="50">
        <v>1</v>
      </c>
      <c r="B43" s="48" t="s">
        <v>79</v>
      </c>
      <c r="C43" s="46">
        <f>标准成本!D5</f>
        <v>63.683999999999997</v>
      </c>
      <c r="D43" s="46">
        <f>标准成本!D19</f>
        <v>5.3590499999999999</v>
      </c>
      <c r="E43" s="46">
        <f>标准成本!D33</f>
        <v>7.0366499999999998</v>
      </c>
      <c r="F43" s="46">
        <f>标准成本!D46</f>
        <v>6.7599</v>
      </c>
      <c r="G43" s="46">
        <f>标准成本!D59</f>
        <v>0</v>
      </c>
      <c r="H43" s="46">
        <f>标准成本!D72</f>
        <v>0</v>
      </c>
      <c r="I43" s="46">
        <f>标准成本!D85</f>
        <v>0</v>
      </c>
      <c r="J43" s="46">
        <f>标准成本!D98</f>
        <v>0</v>
      </c>
      <c r="K43" s="47"/>
      <c r="AI43" s="40" t="s">
        <v>18</v>
      </c>
      <c r="AJ43" s="40" t="s">
        <v>79</v>
      </c>
    </row>
    <row r="44" spans="1:36">
      <c r="A44" s="50">
        <v>2</v>
      </c>
      <c r="B44" s="48" t="s">
        <v>80</v>
      </c>
      <c r="C44" s="46">
        <f>标准成本!D9</f>
        <v>11.180080000000002</v>
      </c>
      <c r="D44" s="46">
        <f>标准成本!D23</f>
        <v>0.94081100000000006</v>
      </c>
      <c r="E44" s="46">
        <f>标准成本!D37</f>
        <v>1.2353230000000002</v>
      </c>
      <c r="F44" s="46">
        <f>标准成本!D50</f>
        <v>1.1867380000000001</v>
      </c>
      <c r="G44" s="46">
        <f>标准成本!D63</f>
        <v>0</v>
      </c>
      <c r="H44" s="46">
        <f>标准成本!D76</f>
        <v>0</v>
      </c>
      <c r="I44" s="46">
        <f>标准成本!D89</f>
        <v>0</v>
      </c>
      <c r="J44" s="46">
        <f>标准成本!D102</f>
        <v>0</v>
      </c>
      <c r="K44" s="47"/>
      <c r="AI44" s="40" t="s">
        <v>20</v>
      </c>
      <c r="AJ44" s="40" t="s">
        <v>80</v>
      </c>
    </row>
    <row r="45" spans="1:36">
      <c r="A45" s="50">
        <v>3</v>
      </c>
      <c r="B45" s="48" t="s">
        <v>81</v>
      </c>
      <c r="C45" s="46">
        <f>标准成本!D8</f>
        <v>57.405195309160653</v>
      </c>
      <c r="D45" s="46">
        <f>标准成本!D22</f>
        <v>4.8306845035104171</v>
      </c>
      <c r="E45" s="46">
        <f>标准成本!D36</f>
        <v>6.3428846738930558</v>
      </c>
      <c r="F45" s="46">
        <f>标准成本!D49</f>
        <v>6.0934203217510694</v>
      </c>
      <c r="G45" s="46">
        <f>标准成本!D62</f>
        <v>0</v>
      </c>
      <c r="H45" s="46">
        <f>标准成本!D75</f>
        <v>0</v>
      </c>
      <c r="I45" s="46">
        <f>标准成本!D88</f>
        <v>0</v>
      </c>
      <c r="J45" s="46">
        <f>标准成本!D101</f>
        <v>0</v>
      </c>
      <c r="K45" s="47"/>
      <c r="AI45" s="40" t="s">
        <v>66</v>
      </c>
      <c r="AJ45" s="40" t="s">
        <v>81</v>
      </c>
    </row>
    <row r="46" spans="1:36" s="35" customFormat="1">
      <c r="A46" s="50">
        <v>4</v>
      </c>
      <c r="B46" s="48" t="s">
        <v>82</v>
      </c>
      <c r="C46" s="53">
        <f>C21/C6</f>
        <v>0.13750000000000001</v>
      </c>
      <c r="D46" s="53">
        <f t="shared" ref="D46:J46" si="28">D21/D6</f>
        <v>0.13750000000000001</v>
      </c>
      <c r="E46" s="53">
        <f t="shared" si="28"/>
        <v>0.13750000000000001</v>
      </c>
      <c r="F46" s="53">
        <f t="shared" si="28"/>
        <v>0.13750000000000001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26</v>
      </c>
      <c r="AJ46" s="48" t="s">
        <v>84</v>
      </c>
    </row>
    <row r="47" spans="1:36" s="35" customFormat="1">
      <c r="A47" s="50">
        <v>5</v>
      </c>
      <c r="B47" s="48" t="s">
        <v>84</v>
      </c>
      <c r="C47" s="46">
        <f>标准成本!D11</f>
        <v>30.14376</v>
      </c>
      <c r="D47" s="46">
        <f>标准成本!D25</f>
        <v>2.5366170000000001</v>
      </c>
      <c r="E47" s="46">
        <f>标准成本!D39</f>
        <v>3.3306810000000002</v>
      </c>
      <c r="F47" s="46">
        <f>标准成本!D52</f>
        <v>3.1996859999999998</v>
      </c>
      <c r="G47" s="46">
        <f>标准成本!D65</f>
        <v>0</v>
      </c>
      <c r="H47" s="46">
        <f>标准成本!D78</f>
        <v>0</v>
      </c>
      <c r="I47" s="46">
        <f>标准成本!D91</f>
        <v>0</v>
      </c>
      <c r="J47" s="46">
        <f>标准成本!D104</f>
        <v>0</v>
      </c>
      <c r="K47" s="53"/>
      <c r="AI47" s="48" t="s">
        <v>26</v>
      </c>
      <c r="AJ47" s="48" t="s">
        <v>84</v>
      </c>
    </row>
    <row r="48" spans="1:36">
      <c r="A48" s="40" t="s">
        <v>77</v>
      </c>
      <c r="B48" s="43" t="s">
        <v>95</v>
      </c>
      <c r="C48" s="47">
        <f>C40-C43-C44-C45-C47-C46</f>
        <v>23.56854871935705</v>
      </c>
      <c r="D48" s="47">
        <f t="shared" ref="D48:J48" si="29">D40-D43-D44-D45-D47-D46</f>
        <v>-19.297637194751101</v>
      </c>
      <c r="E48" s="47">
        <f t="shared" si="29"/>
        <v>-20.389083282754459</v>
      </c>
      <c r="F48" s="47">
        <f t="shared" si="29"/>
        <v>40.399146155046516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94</v>
      </c>
      <c r="AJ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7" t="s">
        <v>135</v>
      </c>
      <c r="B1" s="257"/>
      <c r="C1" s="261" t="s">
        <v>233</v>
      </c>
      <c r="D1" s="262"/>
      <c r="E1" s="262"/>
      <c r="F1" s="262"/>
      <c r="G1" s="262"/>
      <c r="H1" s="262"/>
      <c r="I1" s="262"/>
      <c r="J1" s="262"/>
      <c r="K1" s="263"/>
    </row>
    <row r="2" spans="1:40">
      <c r="A2" s="257" t="s">
        <v>136</v>
      </c>
      <c r="B2" s="257"/>
      <c r="C2" s="264" t="str">
        <f>'2023年'!C2:K2</f>
        <v>一汽解放青岛汽车有限公司</v>
      </c>
      <c r="D2" s="264"/>
      <c r="E2" s="264"/>
      <c r="F2" s="264"/>
      <c r="G2" s="264"/>
      <c r="H2" s="264"/>
      <c r="I2" s="264"/>
      <c r="J2" s="264"/>
      <c r="K2" s="264"/>
    </row>
    <row r="3" spans="1:40">
      <c r="A3" s="257" t="s">
        <v>137</v>
      </c>
      <c r="B3" s="257"/>
      <c r="C3" s="147" t="str">
        <f>'2023年'!C3</f>
        <v>驾驶员座总成</v>
      </c>
      <c r="D3" s="147" t="str">
        <f>'2023年'!D3</f>
        <v>座垫总成-前座</v>
      </c>
      <c r="E3" s="147" t="str">
        <f>'2023年'!E3</f>
        <v>主靠背总成-前座</v>
      </c>
      <c r="F3" s="147" t="str">
        <f>'2023年'!F3</f>
        <v>副靠背总成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8" t="s">
        <v>14</v>
      </c>
    </row>
    <row r="4" spans="1:40" ht="28.5">
      <c r="A4" s="257" t="s">
        <v>138</v>
      </c>
      <c r="B4" s="257"/>
      <c r="C4" s="147" t="str">
        <f>'2023年'!C4</f>
        <v>6800010BH26-C00</v>
      </c>
      <c r="D4" s="147" t="str">
        <f>'2023年'!D4</f>
        <v>6903010AH26-C00</v>
      </c>
      <c r="E4" s="147" t="str">
        <f>'2023年'!E4</f>
        <v>6905020CH26-C00</v>
      </c>
      <c r="F4" s="147" t="str">
        <f>'2023年'!F4</f>
        <v>6905100-H26-C00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9"/>
    </row>
    <row r="5" spans="1:40">
      <c r="A5" s="257" t="s">
        <v>139</v>
      </c>
      <c r="B5" s="257"/>
      <c r="C5" s="39"/>
      <c r="D5" s="39"/>
      <c r="E5" s="39"/>
      <c r="F5" s="39"/>
      <c r="G5" s="39"/>
      <c r="H5" s="39"/>
      <c r="I5" s="39"/>
      <c r="J5" s="39"/>
      <c r="K5" s="260"/>
      <c r="AN5" s="36" t="s">
        <v>15</v>
      </c>
    </row>
    <row r="6" spans="1:40" ht="17.25">
      <c r="A6" s="40" t="s">
        <v>13</v>
      </c>
      <c r="B6" s="41" t="s">
        <v>140</v>
      </c>
      <c r="C6" s="12">
        <f>销量!C10</f>
        <v>10000</v>
      </c>
      <c r="D6" s="12">
        <f>销量!D10</f>
        <v>10000</v>
      </c>
      <c r="E6" s="12">
        <f>销量!E10</f>
        <v>10000</v>
      </c>
      <c r="F6" s="12">
        <f>销量!F10</f>
        <v>10000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40000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14152000</v>
      </c>
      <c r="D7" s="42">
        <f>D6*销量!D8</f>
        <v>1190900</v>
      </c>
      <c r="E7" s="42">
        <f>E6*销量!E8</f>
        <v>1563700</v>
      </c>
      <c r="F7" s="42">
        <f>F6*销量!F8</f>
        <v>1502200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>SUM(C7:J7)</f>
        <v>18408800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C7*(1-销量!$O$7)</f>
        <v>353800.00000000029</v>
      </c>
      <c r="D8" s="42">
        <f>D7*(1-销量!$O$7)</f>
        <v>29772.500000000025</v>
      </c>
      <c r="E8" s="42">
        <f>E7*(1-销量!$O$7)</f>
        <v>39092.500000000036</v>
      </c>
      <c r="F8" s="42">
        <f>F7*(1-销量!$O$7)</f>
        <v>37555.000000000036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460220.00000000041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13798200</v>
      </c>
      <c r="D9" s="42">
        <f t="shared" ref="D9:J9" si="1">+D7-D8</f>
        <v>1161127.5</v>
      </c>
      <c r="E9" s="42">
        <f t="shared" si="1"/>
        <v>1524607.5</v>
      </c>
      <c r="F9" s="42">
        <f t="shared" si="1"/>
        <v>1464645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17948580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10587037.500000002</v>
      </c>
      <c r="D10" s="42">
        <f t="shared" ref="D10:J10" si="2">D6*D33</f>
        <v>1097167.5</v>
      </c>
      <c r="E10" s="42">
        <f t="shared" si="2"/>
        <v>1392787.5</v>
      </c>
      <c r="F10" s="42">
        <f t="shared" si="2"/>
        <v>753090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13830082.500000002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822805.77299051429</v>
      </c>
      <c r="D11" s="42">
        <f t="shared" ref="D11:J11" si="3">+D6*D36</f>
        <v>69239.640690672953</v>
      </c>
      <c r="E11" s="42">
        <f t="shared" si="3"/>
        <v>90914.456417839683</v>
      </c>
      <c r="F11" s="42">
        <f t="shared" si="3"/>
        <v>87338.809510058694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1070298.6796090857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255703.3867243077</v>
      </c>
      <c r="D12" s="42">
        <f t="shared" ref="D12:J12" si="4">+D6*D37</f>
        <v>21517.606221733891</v>
      </c>
      <c r="E12" s="42">
        <f t="shared" si="4"/>
        <v>28253.489670774445</v>
      </c>
      <c r="F12" s="42">
        <f t="shared" si="4"/>
        <v>27142.285721965447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332616.76833878143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353800</v>
      </c>
      <c r="D13" s="42">
        <f t="shared" ref="D13:J13" si="5">+D6*D38</f>
        <v>29772.5</v>
      </c>
      <c r="E13" s="42">
        <f t="shared" si="5"/>
        <v>39092.5</v>
      </c>
      <c r="F13" s="42">
        <f t="shared" si="5"/>
        <v>37555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460220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1432309.159714822</v>
      </c>
      <c r="D14" s="42">
        <f t="shared" ref="D14:J14" si="6">SUM(D11:D13)</f>
        <v>120529.74691240684</v>
      </c>
      <c r="E14" s="42">
        <f t="shared" si="6"/>
        <v>158260.44608861412</v>
      </c>
      <c r="F14" s="42">
        <f t="shared" si="6"/>
        <v>152036.09523202415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1863135.447947867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1778853.3402851762</v>
      </c>
      <c r="D15" s="42">
        <f t="shared" ref="D15:J15" si="7">+D9-D10-D14</f>
        <v>-56569.746912406845</v>
      </c>
      <c r="E15" s="42">
        <f t="shared" si="7"/>
        <v>-26440.446088614117</v>
      </c>
      <c r="F15" s="42">
        <f t="shared" si="7"/>
        <v>559518.90476797591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2255362.0520521309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0.12891923151463061</v>
      </c>
      <c r="D16" s="44">
        <f t="shared" ref="D16:J16" si="8">+D15/D9</f>
        <v>-4.8719668522541101E-2</v>
      </c>
      <c r="E16" s="44">
        <f t="shared" si="8"/>
        <v>-1.7342460986591052E-2</v>
      </c>
      <c r="F16" s="44">
        <f t="shared" si="8"/>
        <v>0.38201673768590744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0.12565685151984898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639690</v>
      </c>
      <c r="D17" s="42">
        <f t="shared" ref="D17:J17" si="10">D6*D43+D18</f>
        <v>56440.5</v>
      </c>
      <c r="E17" s="42">
        <f t="shared" si="10"/>
        <v>73216.5</v>
      </c>
      <c r="F17" s="42">
        <f t="shared" si="10"/>
        <v>70449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839796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2849.9999999999995</v>
      </c>
      <c r="D18" s="46">
        <f t="shared" ref="D18:J18" si="11">$K$18/$K$6*D6</f>
        <v>2849.9999999999995</v>
      </c>
      <c r="E18" s="46">
        <f t="shared" si="11"/>
        <v>2849.9999999999995</v>
      </c>
      <c r="F18" s="46">
        <f t="shared" si="11"/>
        <v>2849.9999999999995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11400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111800.80000000002</v>
      </c>
      <c r="D19" s="42">
        <f t="shared" ref="D19:J19" si="12">D6*D44</f>
        <v>9408.11</v>
      </c>
      <c r="E19" s="42">
        <f t="shared" si="12"/>
        <v>12353.230000000001</v>
      </c>
      <c r="F19" s="42">
        <f t="shared" si="12"/>
        <v>11867.380000000001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145429.52000000002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574051.9530916065</v>
      </c>
      <c r="D20" s="42">
        <f t="shared" ref="D20:J20" si="13">D6*D45</f>
        <v>48306.845035104168</v>
      </c>
      <c r="E20" s="42">
        <f t="shared" si="13"/>
        <v>63428.846738930559</v>
      </c>
      <c r="F20" s="42">
        <f t="shared" si="13"/>
        <v>60934.203217510694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746721.84808315197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1100</v>
      </c>
      <c r="D21" s="47">
        <f t="shared" ref="D21:J21" si="14">$K$21/$K$6*D6</f>
        <v>1100</v>
      </c>
      <c r="E21" s="47">
        <f t="shared" si="14"/>
        <v>1100</v>
      </c>
      <c r="F21" s="47">
        <f t="shared" si="14"/>
        <v>1100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项目投资!E27</f>
        <v>4400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301437.59999999998</v>
      </c>
      <c r="D22" s="42">
        <f t="shared" ref="D22:J22" si="15">D6*D47</f>
        <v>25366.170000000002</v>
      </c>
      <c r="E22" s="42">
        <f t="shared" si="15"/>
        <v>33306.810000000005</v>
      </c>
      <c r="F22" s="42">
        <f t="shared" si="15"/>
        <v>31996.859999999997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392107.43999999994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1628080.3530916064</v>
      </c>
      <c r="D23" s="47">
        <f t="shared" ref="D23:J23" si="16">+D22+D21+D20+D19+D17</f>
        <v>140621.62503510417</v>
      </c>
      <c r="E23" s="47">
        <f t="shared" si="16"/>
        <v>183405.38673893054</v>
      </c>
      <c r="F23" s="47">
        <f t="shared" si="16"/>
        <v>176347.44321751071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2128454.8080831519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150772.98719356977</v>
      </c>
      <c r="D24" s="47">
        <f t="shared" ref="D24:J24" si="18">+D15-D23</f>
        <v>-197191.37194751101</v>
      </c>
      <c r="E24" s="47">
        <f t="shared" si="18"/>
        <v>-209845.83282754465</v>
      </c>
      <c r="F24" s="47">
        <f t="shared" si="18"/>
        <v>383171.4615504652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126907.24396897899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229</v>
      </c>
      <c r="C25" s="47">
        <f>IF(C24&lt;0,0,C24*0.15)</f>
        <v>22615.948079035465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57475.719232569776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19036.086595346849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128157.0391145343</v>
      </c>
      <c r="D26" s="47">
        <f t="shared" ref="D26:J26" si="22">D24-D25</f>
        <v>-197191.37194751101</v>
      </c>
      <c r="E26" s="47">
        <f t="shared" si="22"/>
        <v>-209845.83282754465</v>
      </c>
      <c r="F26" s="47">
        <f t="shared" si="22"/>
        <v>325695.7423178954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107871.15737363214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9.0557546010835432E-3</v>
      </c>
      <c r="D27" s="49">
        <f t="shared" ref="D27:J27" si="24">D26/D7</f>
        <v>-0.16558180531321776</v>
      </c>
      <c r="E27" s="49">
        <f t="shared" si="24"/>
        <v>-0.13419826873923685</v>
      </c>
      <c r="F27" s="49">
        <f t="shared" si="24"/>
        <v>0.21681250320722634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5.8597604066333575E-3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1415.2</v>
      </c>
      <c r="D31" s="51">
        <f>'2023年'!D31</f>
        <v>119.09</v>
      </c>
      <c r="E31" s="51">
        <f>'2023年'!E31</f>
        <v>156.37</v>
      </c>
      <c r="F31" s="51">
        <f>'2023年'!F31</f>
        <v>150.22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1379.82</v>
      </c>
      <c r="D32" s="42">
        <f t="shared" ref="D32:J32" si="25">D9/D6</f>
        <v>116.11275000000001</v>
      </c>
      <c r="E32" s="42">
        <f t="shared" si="25"/>
        <v>152.46074999999999</v>
      </c>
      <c r="F32" s="42">
        <f t="shared" si="25"/>
        <v>146.46449999999999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154">
        <f>'2023年'!C33*(1-0.025)</f>
        <v>1058.7037500000001</v>
      </c>
      <c r="D33" s="154">
        <f>'2023年'!D33*(1-0.025)</f>
        <v>109.71675</v>
      </c>
      <c r="E33" s="154">
        <f>'2023年'!E33*(1-0.025)</f>
        <v>139.27875</v>
      </c>
      <c r="F33" s="154">
        <f>'2023年'!F33*(1-0.025)</f>
        <v>75.308999999999997</v>
      </c>
      <c r="G33" s="154">
        <f>'2023年'!G33*(1-0.025)</f>
        <v>0</v>
      </c>
      <c r="H33" s="154">
        <f>'2023年'!H33*(1-0.025)</f>
        <v>0</v>
      </c>
      <c r="I33" s="154">
        <f>'2023年'!I33*(1-0.025)</f>
        <v>0</v>
      </c>
      <c r="J33" s="154">
        <f>'2023年'!J33*(1-0.025)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321.11624999999981</v>
      </c>
      <c r="D34" s="52">
        <f t="shared" ref="D34:J34" si="26">D32-D33</f>
        <v>6.3960000000000008</v>
      </c>
      <c r="E34" s="52">
        <f t="shared" si="26"/>
        <v>13.181999999999988</v>
      </c>
      <c r="F34" s="52">
        <f t="shared" si="26"/>
        <v>71.155499999999989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82.28057729905143</v>
      </c>
      <c r="D36" s="46">
        <f>'2023年'!D36</f>
        <v>6.9239640690672948</v>
      </c>
      <c r="E36" s="46">
        <f>'2023年'!E36</f>
        <v>9.0914456417839684</v>
      </c>
      <c r="F36" s="46">
        <f>'2023年'!F36</f>
        <v>8.7338809510058688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25.570338672430768</v>
      </c>
      <c r="D37" s="46">
        <f>'2023年'!D37</f>
        <v>2.1517606221733891</v>
      </c>
      <c r="E37" s="46">
        <f>'2023年'!E37</f>
        <v>2.8253489670774443</v>
      </c>
      <c r="F37" s="46">
        <f>'2023年'!F37</f>
        <v>2.7142285721965447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35.380000000000003</v>
      </c>
      <c r="D38" s="46">
        <f>'2023年'!D38</f>
        <v>2.9772500000000002</v>
      </c>
      <c r="E38" s="46">
        <f>'2023年'!E38</f>
        <v>3.9092500000000001</v>
      </c>
      <c r="F38" s="46">
        <f>'2023年'!F38</f>
        <v>3.7555000000000001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177.8853340285176</v>
      </c>
      <c r="D40" s="47">
        <f t="shared" ref="D40:J40" si="27">D34-D36-D37-D38</f>
        <v>-5.6569746912406833</v>
      </c>
      <c r="E40" s="47">
        <f t="shared" si="27"/>
        <v>-2.6440446088614249</v>
      </c>
      <c r="F40" s="47">
        <f t="shared" si="27"/>
        <v>55.951890476797573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63.683999999999997</v>
      </c>
      <c r="D43" s="46">
        <f>'2023年'!D43</f>
        <v>5.3590499999999999</v>
      </c>
      <c r="E43" s="46">
        <f>'2023年'!E43</f>
        <v>7.0366499999999998</v>
      </c>
      <c r="F43" s="46">
        <f>'2023年'!F43</f>
        <v>6.7599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11.180080000000002</v>
      </c>
      <c r="D44" s="46">
        <f>'2023年'!D44</f>
        <v>0.94081100000000006</v>
      </c>
      <c r="E44" s="46">
        <f>'2023年'!E44</f>
        <v>1.2353230000000002</v>
      </c>
      <c r="F44" s="46">
        <f>'2023年'!F44</f>
        <v>1.1867380000000001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57.405195309160653</v>
      </c>
      <c r="D45" s="46">
        <f>'2023年'!D45</f>
        <v>4.8306845035104171</v>
      </c>
      <c r="E45" s="46">
        <f>'2023年'!E45</f>
        <v>6.3428846738930558</v>
      </c>
      <c r="F45" s="46">
        <f>'2023年'!F45</f>
        <v>6.0934203217510694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0.11</v>
      </c>
      <c r="D46" s="53">
        <f t="shared" ref="D46:J46" si="28">D21/D6</f>
        <v>0.11</v>
      </c>
      <c r="E46" s="53">
        <f t="shared" si="28"/>
        <v>0.11</v>
      </c>
      <c r="F46" s="53">
        <f t="shared" si="28"/>
        <v>0.11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30.14376</v>
      </c>
      <c r="D47" s="53">
        <f>'2023年'!D47</f>
        <v>2.5366170000000001</v>
      </c>
      <c r="E47" s="53">
        <f>'2023年'!E47</f>
        <v>3.3306810000000002</v>
      </c>
      <c r="F47" s="53">
        <f>'2023年'!F47</f>
        <v>3.1996859999999998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15.36229871935695</v>
      </c>
      <c r="D48" s="47">
        <f t="shared" ref="D48:J48" si="29">D40-D43-D44-D45-D47-D46</f>
        <v>-19.434137194751102</v>
      </c>
      <c r="E48" s="47">
        <f t="shared" si="29"/>
        <v>-20.699583282754482</v>
      </c>
      <c r="F48" s="47">
        <f t="shared" si="29"/>
        <v>38.602146155046505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0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57" t="s">
        <v>135</v>
      </c>
      <c r="B1" s="257"/>
      <c r="C1" s="261" t="s">
        <v>226</v>
      </c>
      <c r="D1" s="262"/>
      <c r="E1" s="262"/>
      <c r="F1" s="262"/>
      <c r="G1" s="262"/>
      <c r="H1" s="262"/>
      <c r="I1" s="262"/>
      <c r="J1" s="262"/>
      <c r="K1" s="263"/>
    </row>
    <row r="2" spans="1:35">
      <c r="A2" s="257" t="s">
        <v>136</v>
      </c>
      <c r="B2" s="257"/>
      <c r="C2" s="265" t="str">
        <f>'2023年'!C2:K2</f>
        <v>一汽解放青岛汽车有限公司</v>
      </c>
      <c r="D2" s="266"/>
      <c r="E2" s="266"/>
      <c r="F2" s="266"/>
      <c r="G2" s="266"/>
      <c r="H2" s="266"/>
      <c r="I2" s="266"/>
      <c r="J2" s="266"/>
      <c r="K2" s="267"/>
    </row>
    <row r="3" spans="1:35">
      <c r="A3" s="257" t="s">
        <v>137</v>
      </c>
      <c r="B3" s="257"/>
      <c r="C3" s="147" t="str">
        <f>'2023年'!C3</f>
        <v>驾驶员座总成</v>
      </c>
      <c r="D3" s="147" t="str">
        <f>'2023年'!D3</f>
        <v>座垫总成-前座</v>
      </c>
      <c r="E3" s="147" t="str">
        <f>'2023年'!E3</f>
        <v>主靠背总成-前座</v>
      </c>
      <c r="F3" s="147" t="str">
        <f>'2023年'!F3</f>
        <v>副靠背总成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8" t="s">
        <v>14</v>
      </c>
    </row>
    <row r="4" spans="1:35" ht="16.5" customHeight="1">
      <c r="A4" s="257" t="s">
        <v>138</v>
      </c>
      <c r="B4" s="257"/>
      <c r="C4" s="147" t="str">
        <f>'2023年'!C4</f>
        <v>6800010BH26-C00</v>
      </c>
      <c r="D4" s="147" t="str">
        <f>'2023年'!D4</f>
        <v>6903010AH26-C00</v>
      </c>
      <c r="E4" s="147" t="str">
        <f>'2023年'!E4</f>
        <v>6905020CH26-C00</v>
      </c>
      <c r="F4" s="147" t="str">
        <f>'2023年'!F4</f>
        <v>6905100-H26-C00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9"/>
    </row>
    <row r="5" spans="1:35">
      <c r="A5" s="257" t="s">
        <v>139</v>
      </c>
      <c r="B5" s="257"/>
      <c r="C5" s="39"/>
      <c r="D5" s="39"/>
      <c r="E5" s="39"/>
      <c r="F5" s="39"/>
      <c r="G5" s="39"/>
      <c r="H5" s="39"/>
      <c r="I5" s="39"/>
      <c r="J5" s="39"/>
      <c r="K5" s="260"/>
      <c r="AI5" s="36" t="s">
        <v>15</v>
      </c>
    </row>
    <row r="6" spans="1:35" ht="17.25">
      <c r="A6" s="40" t="s">
        <v>13</v>
      </c>
      <c r="B6" s="41" t="s">
        <v>140</v>
      </c>
      <c r="C6" s="12">
        <f>销量!C11</f>
        <v>12000</v>
      </c>
      <c r="D6" s="12">
        <f>销量!D11</f>
        <v>12000</v>
      </c>
      <c r="E6" s="12">
        <f>销量!E11</f>
        <v>12000</v>
      </c>
      <c r="F6" s="12">
        <f>销量!F11</f>
        <v>12000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>SUM(C6:J6)</f>
        <v>48000</v>
      </c>
      <c r="AG6" s="40" t="s">
        <v>13</v>
      </c>
      <c r="AH6" s="41" t="s">
        <v>3</v>
      </c>
      <c r="AI6" s="36" t="s">
        <v>16</v>
      </c>
    </row>
    <row r="7" spans="1:35">
      <c r="A7" s="146">
        <v>1</v>
      </c>
      <c r="B7" s="41" t="s">
        <v>17</v>
      </c>
      <c r="C7" s="42">
        <f>C6*销量!C8</f>
        <v>16982400</v>
      </c>
      <c r="D7" s="42">
        <f>D6*销量!D8</f>
        <v>1429080</v>
      </c>
      <c r="E7" s="42">
        <f>E6*销量!E8</f>
        <v>1876440</v>
      </c>
      <c r="F7" s="42">
        <f>F6*销量!F8</f>
        <v>1802640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17" si="0">SUM(C7:J7)</f>
        <v>22090560</v>
      </c>
      <c r="L7" s="37"/>
      <c r="AG7" s="40" t="s">
        <v>18</v>
      </c>
      <c r="AH7" s="41" t="s">
        <v>17</v>
      </c>
      <c r="AI7" s="36" t="s">
        <v>16</v>
      </c>
    </row>
    <row r="8" spans="1:35">
      <c r="A8" s="146">
        <v>2</v>
      </c>
      <c r="B8" s="146" t="s">
        <v>19</v>
      </c>
      <c r="C8" s="42">
        <f>C7*(1-销量!$O$8)</f>
        <v>838505.99999999907</v>
      </c>
      <c r="D8" s="42">
        <f>D7*(1-销量!$O$8)</f>
        <v>70560.824999999924</v>
      </c>
      <c r="E8" s="42">
        <f>E7*(1-销量!$O$8)</f>
        <v>92649.224999999904</v>
      </c>
      <c r="F8" s="42">
        <f>F7*(1-销量!$O$8)</f>
        <v>89005.349999999904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1090721.3999999987</v>
      </c>
      <c r="L8" s="57"/>
      <c r="AG8" s="40" t="s">
        <v>20</v>
      </c>
      <c r="AH8" s="146" t="s">
        <v>21</v>
      </c>
      <c r="AI8" s="36" t="s">
        <v>16</v>
      </c>
    </row>
    <row r="9" spans="1:35">
      <c r="A9" s="146">
        <v>3</v>
      </c>
      <c r="B9" s="41" t="s">
        <v>22</v>
      </c>
      <c r="C9" s="42">
        <f>+C7-C8</f>
        <v>16143894</v>
      </c>
      <c r="D9" s="42">
        <f t="shared" ref="D9:J9" si="1">+D7-D8</f>
        <v>1358519.175</v>
      </c>
      <c r="E9" s="42">
        <f t="shared" si="1"/>
        <v>1783790.7750000001</v>
      </c>
      <c r="F9" s="42">
        <f t="shared" si="1"/>
        <v>1713634.6500000001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20999838.599999998</v>
      </c>
      <c r="AG9" s="40" t="s">
        <v>23</v>
      </c>
      <c r="AH9" s="41" t="s">
        <v>22</v>
      </c>
      <c r="AI9" s="36" t="s">
        <v>24</v>
      </c>
    </row>
    <row r="10" spans="1:35">
      <c r="A10" s="146">
        <v>4</v>
      </c>
      <c r="B10" s="40" t="s">
        <v>25</v>
      </c>
      <c r="C10" s="42">
        <f t="shared" ref="C10:J10" si="2">C6*C33</f>
        <v>12386833.875</v>
      </c>
      <c r="D10" s="42">
        <f t="shared" si="2"/>
        <v>1283685.9750000001</v>
      </c>
      <c r="E10" s="42">
        <f t="shared" si="2"/>
        <v>1629561.375</v>
      </c>
      <c r="F10" s="42">
        <f t="shared" si="2"/>
        <v>881115.29999999993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16181196.525</v>
      </c>
      <c r="AG10" s="40" t="s">
        <v>26</v>
      </c>
      <c r="AH10" s="40" t="s">
        <v>25</v>
      </c>
      <c r="AI10" s="36" t="s">
        <v>27</v>
      </c>
    </row>
    <row r="11" spans="1:35">
      <c r="A11" s="146">
        <v>5</v>
      </c>
      <c r="B11" s="40" t="s">
        <v>28</v>
      </c>
      <c r="C11" s="42">
        <f>+C6*C36</f>
        <v>987366.9275886172</v>
      </c>
      <c r="D11" s="42">
        <f t="shared" ref="D11:J11" si="3">+D6*D36</f>
        <v>83087.568828807533</v>
      </c>
      <c r="E11" s="42">
        <f t="shared" si="3"/>
        <v>109097.34770140762</v>
      </c>
      <c r="F11" s="42">
        <f t="shared" si="3"/>
        <v>104806.57141207042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1284358.4155309026</v>
      </c>
      <c r="AG11" s="40" t="s">
        <v>29</v>
      </c>
      <c r="AH11" s="40" t="s">
        <v>28</v>
      </c>
    </row>
    <row r="12" spans="1:35">
      <c r="A12" s="146">
        <v>6</v>
      </c>
      <c r="B12" s="40" t="s">
        <v>30</v>
      </c>
      <c r="C12" s="42">
        <f>+C6*C37</f>
        <v>306844.06406916922</v>
      </c>
      <c r="D12" s="42">
        <f t="shared" ref="D12:J12" si="4">+D6*D37</f>
        <v>25821.12746608067</v>
      </c>
      <c r="E12" s="42">
        <f t="shared" si="4"/>
        <v>33904.187604929335</v>
      </c>
      <c r="F12" s="42">
        <f t="shared" si="4"/>
        <v>32570.742866358538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399140.12200653774</v>
      </c>
      <c r="AG12" s="40" t="s">
        <v>31</v>
      </c>
      <c r="AH12" s="40" t="s">
        <v>30</v>
      </c>
    </row>
    <row r="13" spans="1:35">
      <c r="A13" s="146">
        <v>7</v>
      </c>
      <c r="B13" s="40" t="s">
        <v>32</v>
      </c>
      <c r="C13" s="42">
        <f>+C6*C38</f>
        <v>424560.00000000006</v>
      </c>
      <c r="D13" s="42">
        <f t="shared" ref="D13:J13" si="5">+D6*D38</f>
        <v>35727</v>
      </c>
      <c r="E13" s="42">
        <f t="shared" si="5"/>
        <v>46911</v>
      </c>
      <c r="F13" s="42">
        <f t="shared" si="5"/>
        <v>45066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552264</v>
      </c>
      <c r="AG13" s="40" t="s">
        <v>33</v>
      </c>
      <c r="AH13" s="40" t="s">
        <v>32</v>
      </c>
      <c r="AI13" s="36" t="s">
        <v>16</v>
      </c>
    </row>
    <row r="14" spans="1:35">
      <c r="A14" s="146">
        <v>8</v>
      </c>
      <c r="B14" s="43" t="s">
        <v>34</v>
      </c>
      <c r="C14" s="42">
        <f>SUM(C11:C13)</f>
        <v>1718770.9916577865</v>
      </c>
      <c r="D14" s="42">
        <f t="shared" ref="D14:J14" si="6">SUM(D11:D13)</f>
        <v>144635.69629488821</v>
      </c>
      <c r="E14" s="42">
        <f t="shared" si="6"/>
        <v>189912.53530633694</v>
      </c>
      <c r="F14" s="42">
        <f t="shared" si="6"/>
        <v>182443.31427842897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2235762.5375374407</v>
      </c>
      <c r="AG14" s="40" t="s">
        <v>35</v>
      </c>
      <c r="AH14" s="43" t="s">
        <v>34</v>
      </c>
    </row>
    <row r="15" spans="1:35">
      <c r="A15" s="146">
        <v>9</v>
      </c>
      <c r="B15" s="43" t="s">
        <v>36</v>
      </c>
      <c r="C15" s="42">
        <f>+C9-C10-C14</f>
        <v>2038289.1333422135</v>
      </c>
      <c r="D15" s="42">
        <f t="shared" ref="D15:J15" si="7">+D9-D10-D14</f>
        <v>-69802.49629488826</v>
      </c>
      <c r="E15" s="42">
        <f t="shared" si="7"/>
        <v>-35683.135306336801</v>
      </c>
      <c r="F15" s="42">
        <f t="shared" si="7"/>
        <v>650076.03572157118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2582879.5374625595</v>
      </c>
      <c r="AG15" s="40" t="s">
        <v>37</v>
      </c>
      <c r="AH15" s="43" t="s">
        <v>36</v>
      </c>
    </row>
    <row r="16" spans="1:35">
      <c r="A16" s="146">
        <v>10</v>
      </c>
      <c r="B16" s="40" t="s">
        <v>38</v>
      </c>
      <c r="C16" s="44">
        <f>+C15/C9</f>
        <v>0.12625758898950981</v>
      </c>
      <c r="D16" s="44">
        <f t="shared" ref="D16:J16" si="8">+D15/D9</f>
        <v>-5.1381311047662068E-2</v>
      </c>
      <c r="E16" s="44">
        <f t="shared" si="8"/>
        <v>-2.0004103511711904E-2</v>
      </c>
      <c r="F16" s="44">
        <f t="shared" si="8"/>
        <v>0.37935509516078653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0.12299520899472817</v>
      </c>
      <c r="AG16" s="40" t="s">
        <v>39</v>
      </c>
      <c r="AH16" s="40" t="s">
        <v>38</v>
      </c>
    </row>
    <row r="17" spans="1:35">
      <c r="A17" s="146">
        <v>11</v>
      </c>
      <c r="B17" s="40" t="s">
        <v>40</v>
      </c>
      <c r="C17" s="42">
        <f>C6*C43+C18</f>
        <v>767058</v>
      </c>
      <c r="D17" s="42">
        <f t="shared" ref="D17:J17" si="10">D6*D43+D18</f>
        <v>67158.600000000006</v>
      </c>
      <c r="E17" s="42">
        <f t="shared" si="10"/>
        <v>87289.8</v>
      </c>
      <c r="F17" s="42">
        <f t="shared" si="10"/>
        <v>83968.8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1005475.2000000001</v>
      </c>
      <c r="L17" s="57"/>
      <c r="AG17" s="40" t="s">
        <v>41</v>
      </c>
      <c r="AH17" s="40" t="s">
        <v>40</v>
      </c>
    </row>
    <row r="18" spans="1:35" s="34" customFormat="1">
      <c r="A18" s="146">
        <v>12</v>
      </c>
      <c r="B18" s="45" t="s">
        <v>141</v>
      </c>
      <c r="C18" s="46">
        <f>$K$18/$K$6*C6</f>
        <v>2850</v>
      </c>
      <c r="D18" s="46">
        <f t="shared" ref="D18:J18" si="11">$K$18/$K$6*D6</f>
        <v>2850</v>
      </c>
      <c r="E18" s="46">
        <f t="shared" si="11"/>
        <v>2850</v>
      </c>
      <c r="F18" s="46">
        <f t="shared" si="11"/>
        <v>2850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11400</v>
      </c>
      <c r="L18" s="58" t="s">
        <v>142</v>
      </c>
      <c r="M18" s="58"/>
      <c r="N18" s="58"/>
    </row>
    <row r="19" spans="1:35">
      <c r="A19" s="146">
        <v>13</v>
      </c>
      <c r="B19" s="40" t="s">
        <v>42</v>
      </c>
      <c r="C19" s="42">
        <f>C6*C44</f>
        <v>134160.96000000002</v>
      </c>
      <c r="D19" s="42">
        <f t="shared" ref="D19:J19" si="12">D6*D44</f>
        <v>11289.732</v>
      </c>
      <c r="E19" s="42">
        <f t="shared" si="12"/>
        <v>14823.876000000002</v>
      </c>
      <c r="F19" s="42">
        <f t="shared" si="12"/>
        <v>14240.856000000002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ref="K19:K20" si="13">SUM(C19:J19)</f>
        <v>174515.424</v>
      </c>
      <c r="L19" s="34"/>
      <c r="AG19" s="40" t="s">
        <v>43</v>
      </c>
      <c r="AH19" s="40" t="s">
        <v>42</v>
      </c>
      <c r="AI19" s="36" t="s">
        <v>16</v>
      </c>
    </row>
    <row r="20" spans="1:35">
      <c r="A20" s="146">
        <v>14</v>
      </c>
      <c r="B20" s="40" t="s">
        <v>44</v>
      </c>
      <c r="C20" s="42">
        <f>C6*C45</f>
        <v>688862.34370992787</v>
      </c>
      <c r="D20" s="42">
        <f t="shared" ref="D20:J20" si="14">D6*D45</f>
        <v>57968.214042125008</v>
      </c>
      <c r="E20" s="42">
        <f t="shared" si="14"/>
        <v>76114.616086716676</v>
      </c>
      <c r="F20" s="42">
        <f t="shared" si="14"/>
        <v>73121.043861012833</v>
      </c>
      <c r="G20" s="42">
        <f t="shared" si="14"/>
        <v>0</v>
      </c>
      <c r="H20" s="42">
        <f t="shared" si="14"/>
        <v>0</v>
      </c>
      <c r="I20" s="42">
        <f t="shared" si="14"/>
        <v>0</v>
      </c>
      <c r="J20" s="42">
        <f t="shared" si="14"/>
        <v>0</v>
      </c>
      <c r="K20" s="42">
        <f t="shared" si="13"/>
        <v>896066.21769978234</v>
      </c>
      <c r="AG20" s="40" t="s">
        <v>45</v>
      </c>
      <c r="AH20" s="40" t="s">
        <v>44</v>
      </c>
    </row>
    <row r="21" spans="1:35">
      <c r="A21" s="146">
        <v>15</v>
      </c>
      <c r="B21" s="40" t="s">
        <v>46</v>
      </c>
      <c r="C21" s="47">
        <f>$K$21/$K$6*C6</f>
        <v>1100</v>
      </c>
      <c r="D21" s="47">
        <f t="shared" ref="D21:J21" si="15">$K$21/$K$6*D6</f>
        <v>1100</v>
      </c>
      <c r="E21" s="47">
        <f t="shared" si="15"/>
        <v>1100</v>
      </c>
      <c r="F21" s="47">
        <f t="shared" si="15"/>
        <v>1100</v>
      </c>
      <c r="G21" s="47">
        <f t="shared" si="15"/>
        <v>0</v>
      </c>
      <c r="H21" s="47">
        <f t="shared" si="15"/>
        <v>0</v>
      </c>
      <c r="I21" s="47">
        <f t="shared" si="15"/>
        <v>0</v>
      </c>
      <c r="J21" s="47">
        <f t="shared" si="15"/>
        <v>0</v>
      </c>
      <c r="K21" s="42">
        <f>项目投资!F27</f>
        <v>4400</v>
      </c>
      <c r="AG21" s="40"/>
      <c r="AH21" s="40"/>
    </row>
    <row r="22" spans="1:35">
      <c r="A22" s="146">
        <v>16</v>
      </c>
      <c r="B22" s="40" t="s">
        <v>47</v>
      </c>
      <c r="C22" s="42">
        <f>C6*C47</f>
        <v>361725.12</v>
      </c>
      <c r="D22" s="42">
        <f t="shared" ref="D22:J22" si="16">D6*D47</f>
        <v>30439.404000000002</v>
      </c>
      <c r="E22" s="42">
        <f t="shared" si="16"/>
        <v>39968.172000000006</v>
      </c>
      <c r="F22" s="42">
        <f t="shared" si="16"/>
        <v>38396.231999999996</v>
      </c>
      <c r="G22" s="42">
        <f t="shared" si="16"/>
        <v>0</v>
      </c>
      <c r="H22" s="42">
        <f t="shared" si="16"/>
        <v>0</v>
      </c>
      <c r="I22" s="42">
        <f t="shared" si="16"/>
        <v>0</v>
      </c>
      <c r="J22" s="42">
        <f t="shared" si="16"/>
        <v>0</v>
      </c>
      <c r="K22" s="42">
        <f t="shared" ref="K22" si="17">SUM(C22:J22)</f>
        <v>470528.92800000001</v>
      </c>
      <c r="AG22" s="40" t="s">
        <v>48</v>
      </c>
      <c r="AH22" s="40" t="s">
        <v>47</v>
      </c>
    </row>
    <row r="23" spans="1:35">
      <c r="A23" s="146">
        <v>17</v>
      </c>
      <c r="B23" s="43" t="s">
        <v>49</v>
      </c>
      <c r="C23" s="47">
        <f>+C22+C21+C20+C19+C17</f>
        <v>1952906.4237099278</v>
      </c>
      <c r="D23" s="47">
        <f t="shared" ref="D23:J23" si="18">+D22+D21+D20+D19+D17</f>
        <v>167955.95004212501</v>
      </c>
      <c r="E23" s="47">
        <f>+E22+E21+E20+E19+E17</f>
        <v>219296.4640867167</v>
      </c>
      <c r="F23" s="47">
        <f t="shared" si="18"/>
        <v>210826.93186101282</v>
      </c>
      <c r="G23" s="47">
        <f t="shared" si="18"/>
        <v>0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2550985.7696997826</v>
      </c>
      <c r="AG23" s="40" t="s">
        <v>50</v>
      </c>
      <c r="AH23" s="43" t="s">
        <v>49</v>
      </c>
    </row>
    <row r="24" spans="1:35">
      <c r="A24" s="146">
        <v>18</v>
      </c>
      <c r="B24" s="48" t="s">
        <v>51</v>
      </c>
      <c r="C24" s="47">
        <f>+C15-C23</f>
        <v>85382.709632285638</v>
      </c>
      <c r="D24" s="47">
        <f t="shared" ref="D24:J24" si="20">+D15-D23</f>
        <v>-237758.44633701327</v>
      </c>
      <c r="E24" s="47">
        <f t="shared" si="20"/>
        <v>-254979.5993930535</v>
      </c>
      <c r="F24" s="47">
        <f t="shared" si="20"/>
        <v>439249.10386055836</v>
      </c>
      <c r="G24" s="47">
        <f t="shared" si="20"/>
        <v>0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31893.76776277693</v>
      </c>
      <c r="M24" s="59"/>
      <c r="AG24" s="40" t="s">
        <v>52</v>
      </c>
      <c r="AH24" s="40" t="s">
        <v>51</v>
      </c>
    </row>
    <row r="25" spans="1:35">
      <c r="A25" s="146">
        <v>19</v>
      </c>
      <c r="B25" s="40" t="s">
        <v>228</v>
      </c>
      <c r="C25" s="47">
        <f>IF(C24&lt;0,0,C24*0.15)</f>
        <v>12807.406444842845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65887.365579083751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4784.0651644165391</v>
      </c>
      <c r="L25" s="55"/>
      <c r="M25" s="55"/>
      <c r="N25" s="55"/>
      <c r="AG25" s="40" t="s">
        <v>54</v>
      </c>
      <c r="AH25" s="40" t="s">
        <v>53</v>
      </c>
    </row>
    <row r="26" spans="1:35">
      <c r="A26" s="146">
        <v>20</v>
      </c>
      <c r="B26" s="40" t="s">
        <v>55</v>
      </c>
      <c r="C26" s="47">
        <f t="shared" ref="C26" si="23">C24-C25</f>
        <v>72575.303187442798</v>
      </c>
      <c r="D26" s="47">
        <f t="shared" ref="D26:J26" si="24">D24-D25</f>
        <v>-237758.44633701327</v>
      </c>
      <c r="E26" s="47">
        <f t="shared" si="24"/>
        <v>-254979.5993930535</v>
      </c>
      <c r="F26" s="47">
        <f t="shared" si="24"/>
        <v>373361.73828147462</v>
      </c>
      <c r="G26" s="47">
        <f t="shared" si="24"/>
        <v>0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K24-K25</f>
        <v>27109.702598360389</v>
      </c>
      <c r="L26" s="55"/>
      <c r="M26" s="55"/>
      <c r="N26" s="55"/>
      <c r="AG26" s="40" t="s">
        <v>56</v>
      </c>
      <c r="AH26" s="40" t="s">
        <v>55</v>
      </c>
    </row>
    <row r="27" spans="1:35">
      <c r="A27" s="146">
        <v>21</v>
      </c>
      <c r="B27" s="40" t="s">
        <v>59</v>
      </c>
      <c r="C27" s="49">
        <f t="shared" ref="C27:K27" si="25">C26/C7</f>
        <v>4.2735598730122247E-3</v>
      </c>
      <c r="D27" s="49">
        <f t="shared" ref="D27:J27" si="26">D26/D7</f>
        <v>-0.16637168411636385</v>
      </c>
      <c r="E27" s="49">
        <f t="shared" si="26"/>
        <v>-0.1358847601804766</v>
      </c>
      <c r="F27" s="49">
        <f t="shared" si="26"/>
        <v>0.20711941279538601</v>
      </c>
      <c r="G27" s="49" t="e">
        <f t="shared" si="26"/>
        <v>#DIV/0!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1.2272075763747224E-3</v>
      </c>
      <c r="L27" s="55"/>
      <c r="M27" s="55"/>
      <c r="N27" s="55"/>
      <c r="AG27" s="40" t="s">
        <v>58</v>
      </c>
      <c r="AH27" s="40" t="s">
        <v>59</v>
      </c>
    </row>
    <row r="28" spans="1:35">
      <c r="L28" s="55"/>
      <c r="M28" s="55"/>
      <c r="N28" s="55"/>
    </row>
    <row r="29" spans="1:35">
      <c r="A29" s="36" t="s">
        <v>60</v>
      </c>
      <c r="K29" s="37" t="s">
        <v>143</v>
      </c>
      <c r="L29" s="55"/>
      <c r="M29" s="55"/>
      <c r="N29" s="55"/>
      <c r="AG29" s="36" t="s">
        <v>60</v>
      </c>
    </row>
    <row r="30" spans="1:35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63</v>
      </c>
      <c r="AH30" s="43" t="s">
        <v>62</v>
      </c>
    </row>
    <row r="31" spans="1:35">
      <c r="A31" s="146">
        <v>1</v>
      </c>
      <c r="B31" s="45" t="s">
        <v>64</v>
      </c>
      <c r="C31" s="51">
        <f>'2023年'!C31</f>
        <v>1415.2</v>
      </c>
      <c r="D31" s="51">
        <f>'2023年'!D31</f>
        <v>119.09</v>
      </c>
      <c r="E31" s="51">
        <f>'2023年'!E31</f>
        <v>156.37</v>
      </c>
      <c r="F31" s="51">
        <f>'2023年'!F31</f>
        <v>150.22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AG31" s="40" t="s">
        <v>18</v>
      </c>
      <c r="AH31" s="40" t="s">
        <v>64</v>
      </c>
    </row>
    <row r="32" spans="1:35">
      <c r="A32" s="146">
        <v>2</v>
      </c>
      <c r="B32" s="40" t="s">
        <v>144</v>
      </c>
      <c r="C32" s="42">
        <f>C9/C6</f>
        <v>1345.3244999999999</v>
      </c>
      <c r="D32" s="42">
        <f t="shared" ref="D32:J32" si="27">D9/D6</f>
        <v>113.20993125</v>
      </c>
      <c r="E32" s="42">
        <f t="shared" si="27"/>
        <v>148.64923125000001</v>
      </c>
      <c r="F32" s="42">
        <f t="shared" si="27"/>
        <v>142.80288750000003</v>
      </c>
      <c r="G32" s="42" t="e">
        <f t="shared" si="27"/>
        <v>#DIV/0!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65</v>
      </c>
      <c r="C33" s="42">
        <f>'2024年'!C33*(1-0.025)</f>
        <v>1032.23615625</v>
      </c>
      <c r="D33" s="42">
        <f>'2024年'!D33*(1-0.025)</f>
        <v>106.97383125</v>
      </c>
      <c r="E33" s="42">
        <f>'2024年'!E33*(1-0.025)</f>
        <v>135.79678125000001</v>
      </c>
      <c r="F33" s="42">
        <f>'2024年'!F33*(1-0.025)</f>
        <v>73.42627499999999</v>
      </c>
      <c r="G33" s="42">
        <f>'2024年'!G33*(1-0.025)</f>
        <v>0</v>
      </c>
      <c r="H33" s="42">
        <f>'2024年'!H33*(1-0.025)</f>
        <v>0</v>
      </c>
      <c r="I33" s="42">
        <f>'2024年'!I33*(1-0.025)</f>
        <v>0</v>
      </c>
      <c r="J33" s="42">
        <f>'2024年'!J33*(1-0.025)</f>
        <v>0</v>
      </c>
      <c r="K33" s="47"/>
      <c r="M33" s="55"/>
      <c r="N33" s="55"/>
      <c r="O33" s="55"/>
      <c r="P33" s="55"/>
      <c r="Q33" s="55"/>
      <c r="R33" s="55"/>
      <c r="AG33" s="40" t="s">
        <v>20</v>
      </c>
      <c r="AH33" s="40" t="s">
        <v>65</v>
      </c>
    </row>
    <row r="34" spans="1:34" ht="17.25" customHeight="1">
      <c r="A34" s="146">
        <v>4</v>
      </c>
      <c r="B34" s="40" t="s">
        <v>67</v>
      </c>
      <c r="C34" s="52">
        <f>C32-C33</f>
        <v>313.08834374999992</v>
      </c>
      <c r="D34" s="52">
        <f t="shared" ref="D34:J34" si="28">D32-D33</f>
        <v>6.2360999999999933</v>
      </c>
      <c r="E34" s="52">
        <f t="shared" si="28"/>
        <v>12.852450000000005</v>
      </c>
      <c r="F34" s="52">
        <f t="shared" si="28"/>
        <v>69.376612500000036</v>
      </c>
      <c r="G34" s="52" t="e">
        <f t="shared" si="28"/>
        <v>#DIV/0!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66</v>
      </c>
      <c r="AH34" s="40" t="s">
        <v>67</v>
      </c>
    </row>
    <row r="35" spans="1:34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69</v>
      </c>
      <c r="AH35" s="43" t="s">
        <v>7</v>
      </c>
    </row>
    <row r="36" spans="1:34">
      <c r="A36" s="146">
        <v>1</v>
      </c>
      <c r="B36" s="40" t="s">
        <v>70</v>
      </c>
      <c r="C36" s="46">
        <f>'2023年'!C36</f>
        <v>82.28057729905143</v>
      </c>
      <c r="D36" s="46">
        <f>'2023年'!D36</f>
        <v>6.9239640690672948</v>
      </c>
      <c r="E36" s="46">
        <f>'2023年'!E36</f>
        <v>9.0914456417839684</v>
      </c>
      <c r="F36" s="46">
        <f>'2023年'!F36</f>
        <v>8.7338809510058688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66</v>
      </c>
      <c r="AH36" s="40" t="s">
        <v>70</v>
      </c>
    </row>
    <row r="37" spans="1:34">
      <c r="A37" s="146">
        <v>2</v>
      </c>
      <c r="B37" s="40" t="s">
        <v>71</v>
      </c>
      <c r="C37" s="46">
        <f>'2023年'!C37</f>
        <v>25.570338672430768</v>
      </c>
      <c r="D37" s="46">
        <f>'2023年'!D37</f>
        <v>2.1517606221733891</v>
      </c>
      <c r="E37" s="46">
        <f>'2023年'!E37</f>
        <v>2.8253489670774443</v>
      </c>
      <c r="F37" s="46">
        <f>'2023年'!F37</f>
        <v>2.7142285721965447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23</v>
      </c>
      <c r="AH37" s="40" t="s">
        <v>71</v>
      </c>
    </row>
    <row r="38" spans="1:34">
      <c r="A38" s="146">
        <v>3</v>
      </c>
      <c r="B38" s="40" t="s">
        <v>72</v>
      </c>
      <c r="C38" s="46">
        <f>'2023年'!C38</f>
        <v>35.380000000000003</v>
      </c>
      <c r="D38" s="46">
        <f>'2023年'!D38</f>
        <v>2.9772500000000002</v>
      </c>
      <c r="E38" s="46">
        <f>'2023年'!E38</f>
        <v>3.9092500000000001</v>
      </c>
      <c r="F38" s="46">
        <f>'2023年'!F38</f>
        <v>3.7555000000000001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29</v>
      </c>
      <c r="AH38" s="40" t="s">
        <v>72</v>
      </c>
    </row>
    <row r="39" spans="1:34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73</v>
      </c>
      <c r="AH39" s="43" t="s">
        <v>74</v>
      </c>
    </row>
    <row r="40" spans="1:34">
      <c r="A40" s="146">
        <v>1</v>
      </c>
      <c r="B40" s="40" t="s">
        <v>75</v>
      </c>
      <c r="C40" s="47">
        <f>C34-C36-C37-C38</f>
        <v>169.85742777851772</v>
      </c>
      <c r="D40" s="47">
        <f t="shared" ref="D40:J40" si="29">D34-D36-D37-D38</f>
        <v>-5.8168746912406908</v>
      </c>
      <c r="E40" s="47">
        <f t="shared" si="29"/>
        <v>-2.9735946088614083</v>
      </c>
      <c r="F40" s="47">
        <f t="shared" si="29"/>
        <v>54.173002976797619</v>
      </c>
      <c r="G40" s="47" t="e">
        <f t="shared" si="29"/>
        <v>#DIV/0!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18</v>
      </c>
      <c r="AH40" s="40" t="s">
        <v>75</v>
      </c>
    </row>
    <row r="41" spans="1:34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20</v>
      </c>
      <c r="AH41" s="40" t="s">
        <v>76</v>
      </c>
    </row>
    <row r="42" spans="1:34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77</v>
      </c>
      <c r="AH42" s="43" t="s">
        <v>78</v>
      </c>
    </row>
    <row r="43" spans="1:34">
      <c r="A43" s="146">
        <v>1</v>
      </c>
      <c r="B43" s="48" t="s">
        <v>79</v>
      </c>
      <c r="C43" s="46">
        <f>'2023年'!C43</f>
        <v>63.683999999999997</v>
      </c>
      <c r="D43" s="46">
        <f>'2023年'!D43</f>
        <v>5.3590499999999999</v>
      </c>
      <c r="E43" s="46">
        <f>'2023年'!E43</f>
        <v>7.0366499999999998</v>
      </c>
      <c r="F43" s="46">
        <f>'2023年'!F43</f>
        <v>6.7599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AG43" s="40" t="s">
        <v>18</v>
      </c>
      <c r="AH43" s="40" t="s">
        <v>79</v>
      </c>
    </row>
    <row r="44" spans="1:34">
      <c r="A44" s="146">
        <v>2</v>
      </c>
      <c r="B44" s="48" t="s">
        <v>80</v>
      </c>
      <c r="C44" s="46">
        <f>'2023年'!C44</f>
        <v>11.180080000000002</v>
      </c>
      <c r="D44" s="46">
        <f>'2023年'!D44</f>
        <v>0.94081100000000006</v>
      </c>
      <c r="E44" s="46">
        <f>'2023年'!E44</f>
        <v>1.2353230000000002</v>
      </c>
      <c r="F44" s="46">
        <f>'2023年'!F44</f>
        <v>1.1867380000000001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AG44" s="40" t="s">
        <v>20</v>
      </c>
      <c r="AH44" s="40" t="s">
        <v>80</v>
      </c>
    </row>
    <row r="45" spans="1:34">
      <c r="A45" s="146">
        <v>3</v>
      </c>
      <c r="B45" s="48" t="s">
        <v>81</v>
      </c>
      <c r="C45" s="46">
        <f>'2023年'!C45</f>
        <v>57.405195309160653</v>
      </c>
      <c r="D45" s="46">
        <f>'2023年'!D45</f>
        <v>4.8306845035104171</v>
      </c>
      <c r="E45" s="46">
        <f>'2023年'!E45</f>
        <v>6.3428846738930558</v>
      </c>
      <c r="F45" s="46">
        <f>'2023年'!F45</f>
        <v>6.0934203217510694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AG45" s="40" t="s">
        <v>66</v>
      </c>
      <c r="AH45" s="40" t="s">
        <v>81</v>
      </c>
    </row>
    <row r="46" spans="1:34" s="35" customFormat="1">
      <c r="A46" s="146">
        <v>4</v>
      </c>
      <c r="B46" s="48" t="s">
        <v>82</v>
      </c>
      <c r="C46" s="53">
        <f>C21/C6</f>
        <v>9.166666666666666E-2</v>
      </c>
      <c r="D46" s="53">
        <f t="shared" ref="D46:J46" si="30">D21/D6</f>
        <v>9.166666666666666E-2</v>
      </c>
      <c r="E46" s="53">
        <f t="shared" si="30"/>
        <v>9.166666666666666E-2</v>
      </c>
      <c r="F46" s="53">
        <f t="shared" si="30"/>
        <v>9.166666666666666E-2</v>
      </c>
      <c r="G46" s="53" t="e">
        <f t="shared" si="30"/>
        <v>#DIV/0!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26</v>
      </c>
      <c r="AH46" s="48" t="s">
        <v>84</v>
      </c>
    </row>
    <row r="47" spans="1:34" s="35" customFormat="1">
      <c r="A47" s="146">
        <v>5</v>
      </c>
      <c r="B47" s="48" t="s">
        <v>84</v>
      </c>
      <c r="C47" s="53">
        <f>'2023年'!C47</f>
        <v>30.14376</v>
      </c>
      <c r="D47" s="53">
        <f>'2023年'!D47</f>
        <v>2.5366170000000001</v>
      </c>
      <c r="E47" s="53">
        <f>'2023年'!E47</f>
        <v>3.3306810000000002</v>
      </c>
      <c r="F47" s="53">
        <f>'2023年'!F47</f>
        <v>3.1996859999999998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AG47" s="48" t="s">
        <v>26</v>
      </c>
      <c r="AH47" s="48" t="s">
        <v>84</v>
      </c>
    </row>
    <row r="48" spans="1:34">
      <c r="A48" s="40" t="s">
        <v>77</v>
      </c>
      <c r="B48" s="43" t="s">
        <v>95</v>
      </c>
      <c r="C48" s="47">
        <f>C40-C43-C44-C45-C47-C46</f>
        <v>7.3527258026903954</v>
      </c>
      <c r="D48" s="47">
        <f t="shared" ref="D48:J48" si="31">D40-D43-D44-D45-D47-D46</f>
        <v>-19.575703861417775</v>
      </c>
      <c r="E48" s="47">
        <f t="shared" si="31"/>
        <v>-21.010799949421131</v>
      </c>
      <c r="F48" s="47">
        <f t="shared" si="31"/>
        <v>36.841591988379882</v>
      </c>
      <c r="G48" s="47" t="e">
        <f t="shared" si="31"/>
        <v>#DIV/0!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94</v>
      </c>
      <c r="AH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7" t="s">
        <v>135</v>
      </c>
      <c r="B1" s="257"/>
      <c r="C1" s="261" t="s">
        <v>227</v>
      </c>
      <c r="D1" s="262"/>
      <c r="E1" s="262"/>
      <c r="F1" s="262"/>
      <c r="G1" s="262"/>
      <c r="H1" s="262"/>
      <c r="I1" s="262"/>
      <c r="J1" s="262"/>
      <c r="K1" s="263"/>
    </row>
    <row r="2" spans="1:40">
      <c r="A2" s="257" t="s">
        <v>136</v>
      </c>
      <c r="B2" s="257"/>
      <c r="C2" s="264" t="str">
        <f>'2023年'!C2:K2</f>
        <v>一汽解放青岛汽车有限公司</v>
      </c>
      <c r="D2" s="264"/>
      <c r="E2" s="264"/>
      <c r="F2" s="264"/>
      <c r="G2" s="264"/>
      <c r="H2" s="264"/>
      <c r="I2" s="264"/>
      <c r="J2" s="264"/>
      <c r="K2" s="264"/>
    </row>
    <row r="3" spans="1:40">
      <c r="A3" s="257" t="s">
        <v>137</v>
      </c>
      <c r="B3" s="257"/>
      <c r="C3" s="147" t="str">
        <f>'2023年'!C3</f>
        <v>驾驶员座总成</v>
      </c>
      <c r="D3" s="147" t="str">
        <f>'2023年'!D3</f>
        <v>座垫总成-前座</v>
      </c>
      <c r="E3" s="147" t="str">
        <f>'2023年'!E3</f>
        <v>主靠背总成-前座</v>
      </c>
      <c r="F3" s="147" t="str">
        <f>'2023年'!F3</f>
        <v>副靠背总成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8" t="s">
        <v>14</v>
      </c>
    </row>
    <row r="4" spans="1:40" ht="28.5">
      <c r="A4" s="257" t="s">
        <v>138</v>
      </c>
      <c r="B4" s="257"/>
      <c r="C4" s="147" t="str">
        <f>'2023年'!C4</f>
        <v>6800010BH26-C00</v>
      </c>
      <c r="D4" s="147" t="str">
        <f>'2023年'!D4</f>
        <v>6903010AH26-C00</v>
      </c>
      <c r="E4" s="147" t="str">
        <f>'2023年'!E4</f>
        <v>6905020CH26-C00</v>
      </c>
      <c r="F4" s="147" t="str">
        <f>'2023年'!F4</f>
        <v>6905100-H26-C00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9"/>
    </row>
    <row r="5" spans="1:40">
      <c r="A5" s="257" t="s">
        <v>139</v>
      </c>
      <c r="B5" s="257"/>
      <c r="C5" s="39"/>
      <c r="D5" s="39"/>
      <c r="E5" s="39"/>
      <c r="F5" s="39"/>
      <c r="G5" s="39"/>
      <c r="H5" s="39"/>
      <c r="I5" s="39"/>
      <c r="J5" s="39"/>
      <c r="K5" s="260"/>
      <c r="AN5" s="36" t="s">
        <v>15</v>
      </c>
    </row>
    <row r="6" spans="1:40" ht="17.25">
      <c r="A6" s="40" t="s">
        <v>13</v>
      </c>
      <c r="B6" s="41" t="s">
        <v>140</v>
      </c>
      <c r="C6" s="12">
        <f>销量!C12</f>
        <v>12000</v>
      </c>
      <c r="D6" s="12">
        <f>销量!D12</f>
        <v>12000</v>
      </c>
      <c r="E6" s="12">
        <f>销量!E12</f>
        <v>12000</v>
      </c>
      <c r="F6" s="12">
        <f>销量!F12</f>
        <v>12000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48000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16982400</v>
      </c>
      <c r="D7" s="42">
        <f>D6*销量!D8</f>
        <v>1429080</v>
      </c>
      <c r="E7" s="42">
        <f>E6*销量!E8</f>
        <v>1876440</v>
      </c>
      <c r="F7" s="42">
        <f>F6*销量!F8</f>
        <v>1802640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22" si="0">SUM(C7:J7)</f>
        <v>22090560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C7*(1-销量!$O$9)</f>
        <v>1242103.3500000013</v>
      </c>
      <c r="D8" s="42">
        <f>D7*(1-销量!$O$9)</f>
        <v>104523.80437500009</v>
      </c>
      <c r="E8" s="42">
        <f>E7*(1-销量!$O$9)</f>
        <v>137243.99437500013</v>
      </c>
      <c r="F8" s="42">
        <f>F7*(1-销量!$O$9)</f>
        <v>131846.21625000011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1615717.3650000016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15740296.649999999</v>
      </c>
      <c r="D9" s="42">
        <f t="shared" ref="D9:J9" si="1">+D7-D8</f>
        <v>1324556.1956249999</v>
      </c>
      <c r="E9" s="42">
        <f t="shared" si="1"/>
        <v>1739196.0056249998</v>
      </c>
      <c r="F9" s="42">
        <f t="shared" si="1"/>
        <v>1670793.7837499999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20474842.634999998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12077163.028124999</v>
      </c>
      <c r="D10" s="42">
        <f t="shared" ref="D10:J10" si="2">D6*D33</f>
        <v>1251593.8256250001</v>
      </c>
      <c r="E10" s="42">
        <f t="shared" si="2"/>
        <v>1588822.3406250002</v>
      </c>
      <c r="F10" s="42">
        <f t="shared" si="2"/>
        <v>859087.41749999986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15776666.611875001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987366.9275886172</v>
      </c>
      <c r="D11" s="42">
        <f t="shared" ref="D11:J11" si="3">+D6*D36</f>
        <v>83087.568828807533</v>
      </c>
      <c r="E11" s="42">
        <f t="shared" si="3"/>
        <v>109097.34770140762</v>
      </c>
      <c r="F11" s="42">
        <f t="shared" si="3"/>
        <v>104806.57141207042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1284358.4155309026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306844.06406916922</v>
      </c>
      <c r="D12" s="42">
        <f t="shared" ref="D12:J12" si="4">+D6*D37</f>
        <v>25821.12746608067</v>
      </c>
      <c r="E12" s="42">
        <f t="shared" si="4"/>
        <v>33904.187604929335</v>
      </c>
      <c r="F12" s="42">
        <f t="shared" si="4"/>
        <v>32570.742866358538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399140.12200653774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424560.00000000006</v>
      </c>
      <c r="D13" s="42">
        <f t="shared" ref="D13:J13" si="5">+D6*D38</f>
        <v>35727</v>
      </c>
      <c r="E13" s="42">
        <f t="shared" si="5"/>
        <v>46911</v>
      </c>
      <c r="F13" s="42">
        <f t="shared" si="5"/>
        <v>45066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552264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1718770.9916577865</v>
      </c>
      <c r="D14" s="42">
        <f t="shared" ref="D14:J14" si="6">SUM(D11:D13)</f>
        <v>144635.69629488821</v>
      </c>
      <c r="E14" s="42">
        <f t="shared" si="6"/>
        <v>189912.53530633694</v>
      </c>
      <c r="F14" s="42">
        <f t="shared" si="6"/>
        <v>182443.31427842897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2235762.5375374407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1944362.6302172127</v>
      </c>
      <c r="D15" s="42">
        <f t="shared" ref="D15:J15" si="7">+D9-D10-D14</f>
        <v>-71673.326294888335</v>
      </c>
      <c r="E15" s="42">
        <f t="shared" si="7"/>
        <v>-39538.870306337369</v>
      </c>
      <c r="F15" s="42">
        <f t="shared" si="7"/>
        <v>629263.05197157105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2462413.4855875582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0.12352769922015497</v>
      </c>
      <c r="D16" s="44">
        <f t="shared" ref="D16:J16" si="8">+D15/D9</f>
        <v>-5.4111200817016931E-2</v>
      </c>
      <c r="E16" s="44">
        <f t="shared" si="8"/>
        <v>-2.2733993281067035E-2</v>
      </c>
      <c r="F16" s="44">
        <f t="shared" si="8"/>
        <v>0.37662520539143168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0.1202653192253733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767058</v>
      </c>
      <c r="D17" s="42">
        <f t="shared" ref="D17:J17" si="10">D6*D43+D18</f>
        <v>67158.600000000006</v>
      </c>
      <c r="E17" s="42">
        <f t="shared" si="10"/>
        <v>87289.8</v>
      </c>
      <c r="F17" s="42">
        <f t="shared" si="10"/>
        <v>83968.8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1005475.2000000001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2850</v>
      </c>
      <c r="D18" s="46">
        <f t="shared" ref="D18:J18" si="11">$K$18/$K$6*D6</f>
        <v>2850</v>
      </c>
      <c r="E18" s="46">
        <f t="shared" si="11"/>
        <v>2850</v>
      </c>
      <c r="F18" s="46">
        <f t="shared" si="11"/>
        <v>2850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11400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134160.96000000002</v>
      </c>
      <c r="D19" s="42">
        <f t="shared" ref="D19:J19" si="12">D6*D44</f>
        <v>11289.732</v>
      </c>
      <c r="E19" s="42">
        <f t="shared" si="12"/>
        <v>14823.876000000002</v>
      </c>
      <c r="F19" s="42">
        <f t="shared" si="12"/>
        <v>14240.856000000002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si="0"/>
        <v>174515.424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688862.34370992787</v>
      </c>
      <c r="D20" s="42">
        <f t="shared" ref="D20:J20" si="13">D6*D45</f>
        <v>57968.214042125008</v>
      </c>
      <c r="E20" s="42">
        <f t="shared" si="13"/>
        <v>76114.616086716676</v>
      </c>
      <c r="F20" s="42">
        <f t="shared" si="13"/>
        <v>73121.043861012833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 t="shared" si="0"/>
        <v>896066.21769978234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1100</v>
      </c>
      <c r="D21" s="47">
        <f t="shared" ref="D21:J21" si="14">$K$21/$K$6*D6</f>
        <v>1100</v>
      </c>
      <c r="E21" s="47">
        <f t="shared" si="14"/>
        <v>1100</v>
      </c>
      <c r="F21" s="47">
        <f t="shared" si="14"/>
        <v>1100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项目投资!G27</f>
        <v>4400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361725.12</v>
      </c>
      <c r="D22" s="42">
        <f t="shared" ref="D22:J22" si="15">D6*D47</f>
        <v>30439.404000000002</v>
      </c>
      <c r="E22" s="42">
        <f t="shared" si="15"/>
        <v>39968.172000000006</v>
      </c>
      <c r="F22" s="42">
        <f t="shared" si="15"/>
        <v>38396.231999999996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 t="shared" si="0"/>
        <v>470528.92800000001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1952906.4237099278</v>
      </c>
      <c r="D23" s="47">
        <f t="shared" ref="D23:J23" si="16">+D22+D21+D20+D19+D17</f>
        <v>167955.95004212501</v>
      </c>
      <c r="E23" s="47">
        <f t="shared" si="16"/>
        <v>219296.4640867167</v>
      </c>
      <c r="F23" s="47">
        <f t="shared" si="16"/>
        <v>210826.93186101282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2550985.7696997826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-8543.7934927151073</v>
      </c>
      <c r="D24" s="47">
        <f t="shared" ref="D24:J24" si="18">+D15-D23</f>
        <v>-239629.27633701335</v>
      </c>
      <c r="E24" s="47">
        <f t="shared" si="18"/>
        <v>-258835.33439305407</v>
      </c>
      <c r="F24" s="47">
        <f t="shared" si="18"/>
        <v>418436.12011055823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-88572.284112224355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228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62765.418016583732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-8543.7934927151073</v>
      </c>
      <c r="D26" s="47">
        <f t="shared" ref="D26:J26" si="22">D24-D25</f>
        <v>-239629.27633701335</v>
      </c>
      <c r="E26" s="47">
        <f t="shared" si="22"/>
        <v>-258835.33439305407</v>
      </c>
      <c r="F26" s="47">
        <f t="shared" si="22"/>
        <v>355670.70209397451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-88572.284112224355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-5.0309694111050894E-4</v>
      </c>
      <c r="D27" s="49">
        <f t="shared" ref="D27:J27" si="24">D26/D7</f>
        <v>-0.1676807990714399</v>
      </c>
      <c r="E27" s="49">
        <f t="shared" si="24"/>
        <v>-0.13793957408339946</v>
      </c>
      <c r="F27" s="49">
        <f t="shared" si="24"/>
        <v>0.19730545316534334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-4.0095083199441009E-3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1415.2</v>
      </c>
      <c r="D31" s="51">
        <f>'2023年'!D31</f>
        <v>119.09</v>
      </c>
      <c r="E31" s="51">
        <f>'2023年'!E31</f>
        <v>156.37</v>
      </c>
      <c r="F31" s="51">
        <f>'2023年'!F31</f>
        <v>150.22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1311.6913874999998</v>
      </c>
      <c r="D32" s="42">
        <f t="shared" ref="D32:J32" si="25">D9/D6</f>
        <v>110.37968296874999</v>
      </c>
      <c r="E32" s="42">
        <f t="shared" si="25"/>
        <v>144.93300046874998</v>
      </c>
      <c r="F32" s="42">
        <f t="shared" si="25"/>
        <v>139.23281531250001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'2025年'!C33*(1-0.025)</f>
        <v>1006.43025234375</v>
      </c>
      <c r="D33" s="42">
        <f>'2025年'!D33*(1-0.025)</f>
        <v>104.29948546875001</v>
      </c>
      <c r="E33" s="42">
        <f>'2025年'!E33*(1-0.025)</f>
        <v>132.40186171875001</v>
      </c>
      <c r="F33" s="42">
        <f>'2025年'!F33*(1-0.025)</f>
        <v>71.590618124999992</v>
      </c>
      <c r="G33" s="42">
        <f>'2025年'!G33*(1-0.025)</f>
        <v>0</v>
      </c>
      <c r="H33" s="42">
        <f>'2025年'!H33*(1-0.025)</f>
        <v>0</v>
      </c>
      <c r="I33" s="42">
        <f>'2025年'!I33*(1-0.025)</f>
        <v>0</v>
      </c>
      <c r="J33" s="42">
        <f>'2025年'!J33*(1-0.025)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305.26113515624979</v>
      </c>
      <c r="D34" s="52">
        <f t="shared" ref="D34:J34" si="26">D32-D33</f>
        <v>6.0801974999999828</v>
      </c>
      <c r="E34" s="52">
        <f t="shared" si="26"/>
        <v>12.531138749999968</v>
      </c>
      <c r="F34" s="52">
        <f t="shared" si="26"/>
        <v>67.642197187500017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82.28057729905143</v>
      </c>
      <c r="D36" s="46">
        <f>'2023年'!D36</f>
        <v>6.9239640690672948</v>
      </c>
      <c r="E36" s="46">
        <f>'2023年'!E36</f>
        <v>9.0914456417839684</v>
      </c>
      <c r="F36" s="46">
        <f>'2023年'!F36</f>
        <v>8.7338809510058688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25.570338672430768</v>
      </c>
      <c r="D37" s="46">
        <f>'2023年'!D37</f>
        <v>2.1517606221733891</v>
      </c>
      <c r="E37" s="46">
        <f>'2023年'!E37</f>
        <v>2.8253489670774443</v>
      </c>
      <c r="F37" s="46">
        <f>'2023年'!F37</f>
        <v>2.7142285721965447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35.380000000000003</v>
      </c>
      <c r="D38" s="46">
        <f>'2023年'!D38</f>
        <v>2.9772500000000002</v>
      </c>
      <c r="E38" s="46">
        <f>'2023年'!E38</f>
        <v>3.9092500000000001</v>
      </c>
      <c r="F38" s="46">
        <f>'2023年'!F38</f>
        <v>3.7555000000000001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162.03021918476759</v>
      </c>
      <c r="D40" s="47">
        <f t="shared" ref="D40:J40" si="27">D34-D36-D37-D38</f>
        <v>-5.9727771912407013</v>
      </c>
      <c r="E40" s="47">
        <f t="shared" si="27"/>
        <v>-3.2949058588614446</v>
      </c>
      <c r="F40" s="47">
        <f t="shared" si="27"/>
        <v>52.4385876642976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63.683999999999997</v>
      </c>
      <c r="D43" s="46">
        <f>'2023年'!D43</f>
        <v>5.3590499999999999</v>
      </c>
      <c r="E43" s="46">
        <f>'2023年'!E43</f>
        <v>7.0366499999999998</v>
      </c>
      <c r="F43" s="46">
        <f>'2023年'!F43</f>
        <v>6.7599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11.180080000000002</v>
      </c>
      <c r="D44" s="46">
        <f>'2023年'!D44</f>
        <v>0.94081100000000006</v>
      </c>
      <c r="E44" s="46">
        <f>'2023年'!E44</f>
        <v>1.2353230000000002</v>
      </c>
      <c r="F44" s="46">
        <f>'2023年'!F44</f>
        <v>1.1867380000000001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57.405195309160653</v>
      </c>
      <c r="D45" s="46">
        <f>'2023年'!D45</f>
        <v>4.8306845035104171</v>
      </c>
      <c r="E45" s="46">
        <f>'2023年'!E45</f>
        <v>6.3428846738930558</v>
      </c>
      <c r="F45" s="46">
        <f>'2023年'!F45</f>
        <v>6.0934203217510694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9.166666666666666E-2</v>
      </c>
      <c r="D46" s="53">
        <f t="shared" ref="D46:J46" si="28">D21/D6</f>
        <v>9.166666666666666E-2</v>
      </c>
      <c r="E46" s="53">
        <f t="shared" si="28"/>
        <v>9.166666666666666E-2</v>
      </c>
      <c r="F46" s="53">
        <f t="shared" si="28"/>
        <v>9.166666666666666E-2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30.14376</v>
      </c>
      <c r="D47" s="53">
        <f>'2023年'!D47</f>
        <v>2.5366170000000001</v>
      </c>
      <c r="E47" s="53">
        <f>'2023年'!E47</f>
        <v>3.3306810000000002</v>
      </c>
      <c r="F47" s="53">
        <f>'2023年'!F47</f>
        <v>3.1996859999999998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-0.47448279105973323</v>
      </c>
      <c r="D48" s="47">
        <f t="shared" ref="D48:J48" si="29">D40-D43-D44-D45-D47-D46</f>
        <v>-19.731606361417786</v>
      </c>
      <c r="E48" s="47">
        <f t="shared" si="29"/>
        <v>-21.332111199421167</v>
      </c>
      <c r="F48" s="47">
        <f t="shared" si="29"/>
        <v>35.107176675879863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7" t="s">
        <v>135</v>
      </c>
      <c r="B1" s="257"/>
      <c r="C1" s="261" t="s">
        <v>232</v>
      </c>
      <c r="D1" s="262"/>
      <c r="E1" s="262"/>
      <c r="F1" s="262"/>
      <c r="G1" s="262"/>
      <c r="H1" s="262"/>
      <c r="I1" s="262"/>
      <c r="J1" s="262"/>
      <c r="K1" s="263"/>
    </row>
    <row r="2" spans="1:40">
      <c r="A2" s="257" t="s">
        <v>136</v>
      </c>
      <c r="B2" s="257"/>
      <c r="C2" s="264" t="str">
        <f>'2023年'!C2:K2</f>
        <v>一汽解放青岛汽车有限公司</v>
      </c>
      <c r="D2" s="264"/>
      <c r="E2" s="264"/>
      <c r="F2" s="264"/>
      <c r="G2" s="264"/>
      <c r="H2" s="264"/>
      <c r="I2" s="264"/>
      <c r="J2" s="264"/>
      <c r="K2" s="264"/>
    </row>
    <row r="3" spans="1:40">
      <c r="A3" s="257" t="s">
        <v>137</v>
      </c>
      <c r="B3" s="257"/>
      <c r="C3" s="147" t="str">
        <f>'2023年'!C3</f>
        <v>驾驶员座总成</v>
      </c>
      <c r="D3" s="147" t="str">
        <f>'2023年'!D3</f>
        <v>座垫总成-前座</v>
      </c>
      <c r="E3" s="147" t="str">
        <f>'2023年'!E3</f>
        <v>主靠背总成-前座</v>
      </c>
      <c r="F3" s="147" t="str">
        <f>'2023年'!F3</f>
        <v>副靠背总成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58" t="s">
        <v>14</v>
      </c>
    </row>
    <row r="4" spans="1:40" ht="28.5">
      <c r="A4" s="257" t="s">
        <v>138</v>
      </c>
      <c r="B4" s="257"/>
      <c r="C4" s="147" t="str">
        <f>'2023年'!C4</f>
        <v>6800010BH26-C00</v>
      </c>
      <c r="D4" s="147" t="str">
        <f>'2023年'!D4</f>
        <v>6903010AH26-C00</v>
      </c>
      <c r="E4" s="147" t="str">
        <f>'2023年'!E4</f>
        <v>6905020CH26-C00</v>
      </c>
      <c r="F4" s="147" t="str">
        <f>'2023年'!F4</f>
        <v>6905100-H26-C00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59"/>
    </row>
    <row r="5" spans="1:40">
      <c r="A5" s="257" t="s">
        <v>139</v>
      </c>
      <c r="B5" s="257"/>
      <c r="C5" s="39"/>
      <c r="D5" s="39"/>
      <c r="E5" s="39"/>
      <c r="F5" s="39"/>
      <c r="G5" s="39"/>
      <c r="H5" s="39"/>
      <c r="I5" s="39"/>
      <c r="J5" s="39"/>
      <c r="K5" s="260"/>
      <c r="AN5" s="36" t="s">
        <v>15</v>
      </c>
    </row>
    <row r="6" spans="1:40" ht="17.25">
      <c r="A6" s="40" t="s">
        <v>13</v>
      </c>
      <c r="B6" s="41" t="s">
        <v>140</v>
      </c>
      <c r="C6" s="12">
        <f>销量!C13</f>
        <v>15000</v>
      </c>
      <c r="D6" s="12">
        <f>销量!D13</f>
        <v>15000</v>
      </c>
      <c r="E6" s="12">
        <f>销量!E13</f>
        <v>15000</v>
      </c>
      <c r="F6" s="12">
        <f>销量!F13</f>
        <v>15000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 t="shared" ref="K6:K15" si="0">SUM(C6:J6)</f>
        <v>60000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21228000</v>
      </c>
      <c r="D7" s="42">
        <f>D6*销量!D8</f>
        <v>1786350</v>
      </c>
      <c r="E7" s="42">
        <f>E6*销量!E8</f>
        <v>2345550</v>
      </c>
      <c r="F7" s="42">
        <f>F6*销量!F8</f>
        <v>2253300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27613200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C7*(1-销量!$O$10)</f>
        <v>2044513.4578125002</v>
      </c>
      <c r="D8" s="42">
        <f>D7*(1-销量!$O$10)</f>
        <v>172047.13658203126</v>
      </c>
      <c r="E8" s="42">
        <f>E7*(1-销量!$O$10)</f>
        <v>225904.86814453127</v>
      </c>
      <c r="F8" s="42">
        <f>F7*(1-销量!$O$10)</f>
        <v>217020.07605468752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2659485.5385937504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19183486.542187501</v>
      </c>
      <c r="D9" s="42">
        <f t="shared" ref="D9:J9" si="1">+D7-D8</f>
        <v>1614302.8634179686</v>
      </c>
      <c r="E9" s="42">
        <f t="shared" si="1"/>
        <v>2119645.1318554687</v>
      </c>
      <c r="F9" s="42">
        <f t="shared" si="1"/>
        <v>2036279.9239453124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24953714.46140625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14719042.440527342</v>
      </c>
      <c r="D10" s="42">
        <f t="shared" ref="D10:J10" si="2">D6*D33</f>
        <v>1525379.9749804689</v>
      </c>
      <c r="E10" s="42">
        <f t="shared" si="2"/>
        <v>1936377.2276367187</v>
      </c>
      <c r="F10" s="42">
        <f t="shared" si="2"/>
        <v>1047012.7900781248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19227812.433222655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1234208.6594857716</v>
      </c>
      <c r="D11" s="42">
        <f t="shared" ref="D11:J11" si="3">+D6*D36</f>
        <v>103859.46103600942</v>
      </c>
      <c r="E11" s="42">
        <f t="shared" si="3"/>
        <v>136371.68462675952</v>
      </c>
      <c r="F11" s="42">
        <f t="shared" si="3"/>
        <v>131008.21426508803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1605448.0194136286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383555.0800864615</v>
      </c>
      <c r="D12" s="42">
        <f t="shared" ref="D12:J12" si="4">+D6*D37</f>
        <v>32276.409332600837</v>
      </c>
      <c r="E12" s="42">
        <f t="shared" si="4"/>
        <v>42380.234506161665</v>
      </c>
      <c r="F12" s="42">
        <f t="shared" si="4"/>
        <v>40713.428582948167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498925.15250817215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530700</v>
      </c>
      <c r="D13" s="42">
        <f t="shared" ref="D13:J13" si="5">+D6*D38</f>
        <v>44658.75</v>
      </c>
      <c r="E13" s="42">
        <f t="shared" si="5"/>
        <v>58638.75</v>
      </c>
      <c r="F13" s="42">
        <f t="shared" si="5"/>
        <v>56332.5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690330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2148463.7395722331</v>
      </c>
      <c r="D14" s="42">
        <f t="shared" ref="D14:J14" si="6">SUM(D11:D13)</f>
        <v>180794.62036861025</v>
      </c>
      <c r="E14" s="42">
        <f t="shared" si="6"/>
        <v>237390.6691329212</v>
      </c>
      <c r="F14" s="42">
        <f t="shared" si="6"/>
        <v>228054.14284803619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2794703.1719218008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2315980.3620879254</v>
      </c>
      <c r="D15" s="42">
        <f t="shared" ref="D15:J15" si="7">+D9-D10-D14</f>
        <v>-91871.731931110495</v>
      </c>
      <c r="E15" s="42">
        <f t="shared" si="7"/>
        <v>-54122.76491417113</v>
      </c>
      <c r="F15" s="42">
        <f t="shared" si="7"/>
        <v>761212.99101915141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2931198.8562617954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0.12072781227722712</v>
      </c>
      <c r="D16" s="44">
        <f t="shared" ref="D16:J16" si="8">+D15/D9</f>
        <v>-5.6911087759944988E-2</v>
      </c>
      <c r="E16" s="44">
        <f t="shared" si="8"/>
        <v>-2.5533880223994766E-2</v>
      </c>
      <c r="F16" s="44">
        <f t="shared" si="8"/>
        <v>0.37382531844850375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0.11746543228244545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958110</v>
      </c>
      <c r="D17" s="42">
        <f t="shared" ref="D17:J17" si="10">D6*D43+D18</f>
        <v>83235.75</v>
      </c>
      <c r="E17" s="42">
        <f t="shared" si="10"/>
        <v>108399.75</v>
      </c>
      <c r="F17" s="42">
        <f t="shared" si="10"/>
        <v>104248.5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1253994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2850</v>
      </c>
      <c r="D18" s="46">
        <f t="shared" ref="D18:J18" si="11">$K$18/$K$6*D6</f>
        <v>2850</v>
      </c>
      <c r="E18" s="46">
        <f t="shared" si="11"/>
        <v>2850</v>
      </c>
      <c r="F18" s="46">
        <f t="shared" si="11"/>
        <v>2850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11400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167701.20000000004</v>
      </c>
      <c r="D19" s="42">
        <f t="shared" ref="D19:J19" si="12">D6*D44</f>
        <v>14112.165000000001</v>
      </c>
      <c r="E19" s="42">
        <f t="shared" si="12"/>
        <v>18529.845000000001</v>
      </c>
      <c r="F19" s="42">
        <f t="shared" si="12"/>
        <v>17801.07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218144.28000000006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861077.92963740975</v>
      </c>
      <c r="D20" s="42">
        <f t="shared" ref="D20:J20" si="13">D6*D45</f>
        <v>72460.267552656253</v>
      </c>
      <c r="E20" s="42">
        <f t="shared" si="13"/>
        <v>95143.270108395838</v>
      </c>
      <c r="F20" s="42">
        <f t="shared" si="13"/>
        <v>91401.304826266045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1120082.772124728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1100</v>
      </c>
      <c r="D21" s="47">
        <f t="shared" ref="D21:J21" si="14">$K$21/$K$6*D6</f>
        <v>1100</v>
      </c>
      <c r="E21" s="47">
        <f t="shared" si="14"/>
        <v>1100</v>
      </c>
      <c r="F21" s="47">
        <f t="shared" si="14"/>
        <v>1100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项目投资!H27</f>
        <v>4400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452156.4</v>
      </c>
      <c r="D22" s="42">
        <f t="shared" ref="D22:J22" si="15">D6*D47</f>
        <v>38049.255000000005</v>
      </c>
      <c r="E22" s="42">
        <f t="shared" si="15"/>
        <v>49960.215000000004</v>
      </c>
      <c r="F22" s="42">
        <f t="shared" si="15"/>
        <v>47995.289999999994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588161.16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2440145.5296374094</v>
      </c>
      <c r="D23" s="47">
        <f t="shared" ref="D23:J23" si="16">+D22+D21+D20+D19+D17</f>
        <v>208957.43755265625</v>
      </c>
      <c r="E23" s="47">
        <f t="shared" si="16"/>
        <v>273133.08010839584</v>
      </c>
      <c r="F23" s="47">
        <f t="shared" si="16"/>
        <v>262546.16482626606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3184782.2121247277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-124165.16754948394</v>
      </c>
      <c r="D24" s="47">
        <f t="shared" ref="D24:J24" si="18">+D15-D23</f>
        <v>-300829.16948376677</v>
      </c>
      <c r="E24" s="47">
        <f t="shared" si="18"/>
        <v>-327255.84502256697</v>
      </c>
      <c r="F24" s="47">
        <f t="shared" si="18"/>
        <v>498666.82619288535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-253583.35586293228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230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74800.023928932802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-124165.16754948394</v>
      </c>
      <c r="D26" s="47">
        <f t="shared" ref="D26:J26" si="22">D24-D25</f>
        <v>-300829.16948376677</v>
      </c>
      <c r="E26" s="47">
        <f t="shared" si="22"/>
        <v>-327255.84502256697</v>
      </c>
      <c r="F26" s="47">
        <f t="shared" si="22"/>
        <v>423866.80226395256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-253583.35586293228</v>
      </c>
      <c r="L26" s="162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-5.8491222700906322E-3</v>
      </c>
      <c r="D27" s="49">
        <f t="shared" ref="D27:J27" si="24">D26/D7</f>
        <v>-0.168404382950579</v>
      </c>
      <c r="E27" s="49">
        <f t="shared" si="24"/>
        <v>-0.13952200764109354</v>
      </c>
      <c r="F27" s="49">
        <f t="shared" si="24"/>
        <v>0.18810935173476792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-9.1834106826782936E-3</v>
      </c>
      <c r="L27" s="160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1415.2</v>
      </c>
      <c r="D31" s="51">
        <f>'2023年'!D31</f>
        <v>119.09</v>
      </c>
      <c r="E31" s="51">
        <f>'2023年'!E31</f>
        <v>156.37</v>
      </c>
      <c r="F31" s="51">
        <f>'2023年'!F31</f>
        <v>150.22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1278.8991028125001</v>
      </c>
      <c r="D32" s="42">
        <f t="shared" ref="D32:J32" si="25">D9/D6</f>
        <v>107.62019089453125</v>
      </c>
      <c r="E32" s="42">
        <f t="shared" si="25"/>
        <v>141.30967545703126</v>
      </c>
      <c r="F32" s="42">
        <f t="shared" si="25"/>
        <v>135.7519949296875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'2026年'!C33*(1-0.025)</f>
        <v>981.26949603515618</v>
      </c>
      <c r="D33" s="42">
        <f>'2026年'!D33*(1-0.025)</f>
        <v>101.69199833203126</v>
      </c>
      <c r="E33" s="42">
        <f>'2026年'!E33*(1-0.025)</f>
        <v>129.09181517578125</v>
      </c>
      <c r="F33" s="42">
        <f>'2026年'!F33*(1-0.025)</f>
        <v>69.800852671874992</v>
      </c>
      <c r="G33" s="42">
        <f>'2026年'!G33*(1-0.025)</f>
        <v>0</v>
      </c>
      <c r="H33" s="42">
        <f>'2026年'!H33*(1-0.025)</f>
        <v>0</v>
      </c>
      <c r="I33" s="42">
        <f>'2026年'!I33*(1-0.025)</f>
        <v>0</v>
      </c>
      <c r="J33" s="42">
        <f>'2026年'!J33*(1-0.025)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297.62960677734395</v>
      </c>
      <c r="D34" s="52">
        <f t="shared" ref="D34:J34" si="26">D32-D33</f>
        <v>5.9281925624999872</v>
      </c>
      <c r="E34" s="52">
        <f t="shared" si="26"/>
        <v>12.217860281250012</v>
      </c>
      <c r="F34" s="52">
        <f t="shared" si="26"/>
        <v>65.951142257812506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82.28057729905143</v>
      </c>
      <c r="D36" s="46">
        <f>'2023年'!D36</f>
        <v>6.9239640690672948</v>
      </c>
      <c r="E36" s="46">
        <f>'2023年'!E36</f>
        <v>9.0914456417839684</v>
      </c>
      <c r="F36" s="46">
        <f>'2023年'!F36</f>
        <v>8.7338809510058688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25.570338672430768</v>
      </c>
      <c r="D37" s="46">
        <f>'2023年'!D37</f>
        <v>2.1517606221733891</v>
      </c>
      <c r="E37" s="46">
        <f>'2023年'!E37</f>
        <v>2.8253489670774443</v>
      </c>
      <c r="F37" s="46">
        <f>'2023年'!F37</f>
        <v>2.7142285721965447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35.380000000000003</v>
      </c>
      <c r="D38" s="46">
        <f>'2023年'!D38</f>
        <v>2.9772500000000002</v>
      </c>
      <c r="E38" s="46">
        <f>'2023年'!E38</f>
        <v>3.9092500000000001</v>
      </c>
      <c r="F38" s="46">
        <f>'2023年'!F38</f>
        <v>3.7555000000000001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154.39869080586175</v>
      </c>
      <c r="D40" s="47">
        <f t="shared" ref="D40:J40" si="27">D34-D36-D37-D38</f>
        <v>-6.1247821287406969</v>
      </c>
      <c r="E40" s="47">
        <f t="shared" si="27"/>
        <v>-3.6081843276114012</v>
      </c>
      <c r="F40" s="47">
        <f t="shared" si="27"/>
        <v>50.74753273461009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63.683999999999997</v>
      </c>
      <c r="D43" s="46">
        <f>'2023年'!D43</f>
        <v>5.3590499999999999</v>
      </c>
      <c r="E43" s="46">
        <f>'2023年'!E43</f>
        <v>7.0366499999999998</v>
      </c>
      <c r="F43" s="46">
        <f>'2023年'!F43</f>
        <v>6.7599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11.180080000000002</v>
      </c>
      <c r="D44" s="46">
        <f>'2023年'!D44</f>
        <v>0.94081100000000006</v>
      </c>
      <c r="E44" s="46">
        <f>'2023年'!E44</f>
        <v>1.2353230000000002</v>
      </c>
      <c r="F44" s="46">
        <f>'2023年'!F44</f>
        <v>1.1867380000000001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57.405195309160653</v>
      </c>
      <c r="D45" s="46">
        <f>'2023年'!D45</f>
        <v>4.8306845035104171</v>
      </c>
      <c r="E45" s="46">
        <f>'2023年'!E45</f>
        <v>6.3428846738930558</v>
      </c>
      <c r="F45" s="46">
        <f>'2023年'!F45</f>
        <v>6.0934203217510694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7.3333333333333334E-2</v>
      </c>
      <c r="D46" s="53">
        <f t="shared" ref="D46:J46" si="28">D21/D6</f>
        <v>7.3333333333333334E-2</v>
      </c>
      <c r="E46" s="53">
        <f t="shared" si="28"/>
        <v>7.3333333333333334E-2</v>
      </c>
      <c r="F46" s="53">
        <f t="shared" si="28"/>
        <v>7.3333333333333334E-2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30.14376</v>
      </c>
      <c r="D47" s="53">
        <f>'2023年'!D47</f>
        <v>2.5366170000000001</v>
      </c>
      <c r="E47" s="53">
        <f>'2023年'!E47</f>
        <v>3.3306810000000002</v>
      </c>
      <c r="F47" s="53">
        <f>'2023年'!F47</f>
        <v>3.1996859999999998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-8.0876778366322419</v>
      </c>
      <c r="D48" s="47">
        <f t="shared" ref="D48:J48" si="29">D40-D43-D44-D45-D47-D46</f>
        <v>-19.86527796558445</v>
      </c>
      <c r="E48" s="47">
        <f t="shared" si="29"/>
        <v>-21.627056334837793</v>
      </c>
      <c r="F48" s="47">
        <f t="shared" si="29"/>
        <v>33.434455079525691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9" activePane="bottomRight" state="frozen"/>
      <selection pane="topRight"/>
      <selection pane="bottomLeft"/>
      <selection pane="bottomRight" activeCell="I33" sqref="I33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15.5" customWidth="1"/>
    <col min="9" max="9" width="16.25" customWidth="1"/>
    <col min="10" max="10" width="14.125" customWidth="1"/>
  </cols>
  <sheetData>
    <row r="1" spans="1:10" ht="20.25">
      <c r="A1" s="269" t="s">
        <v>145</v>
      </c>
      <c r="B1" s="269"/>
      <c r="C1" s="269"/>
      <c r="E1" s="270" t="s">
        <v>235</v>
      </c>
      <c r="F1" s="271"/>
      <c r="G1" s="271"/>
      <c r="H1" s="272"/>
      <c r="J1" s="169"/>
    </row>
    <row r="2" spans="1:10" ht="23.45" customHeight="1">
      <c r="A2" s="15" t="s">
        <v>1</v>
      </c>
      <c r="B2" s="16" t="s">
        <v>146</v>
      </c>
      <c r="C2" s="17" t="s">
        <v>147</v>
      </c>
      <c r="E2" s="1" t="s">
        <v>148</v>
      </c>
      <c r="F2" s="1" t="s">
        <v>1</v>
      </c>
      <c r="G2" s="18" t="s">
        <v>149</v>
      </c>
      <c r="H2" s="1" t="s">
        <v>147</v>
      </c>
      <c r="J2" s="167"/>
    </row>
    <row r="3" spans="1:10" ht="15.75" customHeight="1">
      <c r="A3" s="19" t="s">
        <v>150</v>
      </c>
      <c r="B3" s="20"/>
      <c r="C3" s="21"/>
      <c r="E3" s="277" t="s">
        <v>151</v>
      </c>
      <c r="F3" s="2" t="s">
        <v>152</v>
      </c>
      <c r="G3" s="22"/>
      <c r="H3" s="2"/>
      <c r="J3" s="268"/>
    </row>
    <row r="4" spans="1:10" ht="15.75" customHeight="1">
      <c r="A4" s="19" t="s">
        <v>153</v>
      </c>
      <c r="B4" s="20"/>
      <c r="C4" s="23"/>
      <c r="E4" s="278"/>
      <c r="F4" s="2" t="s">
        <v>154</v>
      </c>
      <c r="G4" s="22"/>
      <c r="H4" s="2"/>
      <c r="J4" s="268"/>
    </row>
    <row r="5" spans="1:10" ht="15.75" customHeight="1">
      <c r="A5" s="19" t="s">
        <v>155</v>
      </c>
      <c r="B5" s="24">
        <f>SUM(G3:G4)</f>
        <v>0</v>
      </c>
      <c r="C5" s="21"/>
      <c r="E5" s="279" t="s">
        <v>156</v>
      </c>
      <c r="F5" s="25" t="s">
        <v>157</v>
      </c>
      <c r="G5" s="155"/>
      <c r="H5" s="165"/>
      <c r="J5" s="168"/>
    </row>
    <row r="6" spans="1:10" ht="15.75" customHeight="1">
      <c r="A6" s="19" t="s">
        <v>158</v>
      </c>
      <c r="B6" s="20"/>
      <c r="C6" s="21"/>
      <c r="E6" s="280"/>
      <c r="F6" s="25" t="s">
        <v>159</v>
      </c>
      <c r="G6" s="155"/>
      <c r="H6" s="166"/>
      <c r="J6" s="168"/>
    </row>
    <row r="7" spans="1:10" ht="15.75" customHeight="1">
      <c r="A7" s="26" t="s">
        <v>160</v>
      </c>
      <c r="B7" s="24">
        <f>SUM(B3:B6)</f>
        <v>0</v>
      </c>
      <c r="C7" s="21"/>
      <c r="E7" s="280"/>
      <c r="F7" s="25" t="s">
        <v>161</v>
      </c>
      <c r="G7" s="155">
        <v>6</v>
      </c>
      <c r="H7" s="166"/>
      <c r="J7" s="168"/>
    </row>
    <row r="8" spans="1:10" ht="15.75" customHeight="1">
      <c r="A8" s="27" t="s">
        <v>162</v>
      </c>
      <c r="B8" s="24">
        <f>SUM(G5:G12)</f>
        <v>6</v>
      </c>
      <c r="C8" s="28"/>
      <c r="E8" s="280"/>
      <c r="F8" s="25" t="s">
        <v>163</v>
      </c>
      <c r="G8" s="155"/>
      <c r="H8" s="166"/>
      <c r="J8" s="168"/>
    </row>
    <row r="9" spans="1:10" ht="15.75" customHeight="1">
      <c r="A9" s="19" t="s">
        <v>164</v>
      </c>
      <c r="B9" s="24">
        <f>SUM(G13:G21)</f>
        <v>2.2000000000000002</v>
      </c>
      <c r="C9" s="21"/>
      <c r="E9" s="280"/>
      <c r="F9" s="2" t="s">
        <v>165</v>
      </c>
      <c r="G9" s="155"/>
      <c r="H9" s="166"/>
      <c r="J9" s="168"/>
    </row>
    <row r="10" spans="1:10" ht="15.75" customHeight="1">
      <c r="A10" s="23" t="s">
        <v>14</v>
      </c>
      <c r="B10" s="24">
        <f>B7+B8+B9</f>
        <v>8.1999999999999993</v>
      </c>
      <c r="C10" s="21"/>
      <c r="E10" s="280"/>
      <c r="F10" s="2" t="s">
        <v>166</v>
      </c>
      <c r="G10" s="155"/>
      <c r="H10" s="166"/>
      <c r="J10" s="168"/>
    </row>
    <row r="11" spans="1:10" ht="15.75" customHeight="1">
      <c r="E11" s="280"/>
      <c r="F11" s="2" t="s">
        <v>167</v>
      </c>
      <c r="G11" s="155"/>
      <c r="H11" s="166"/>
      <c r="J11" s="168"/>
    </row>
    <row r="12" spans="1:10" ht="15.75" customHeight="1">
      <c r="E12" s="281"/>
      <c r="F12" s="2" t="s">
        <v>168</v>
      </c>
      <c r="G12" s="155"/>
      <c r="H12" s="166"/>
      <c r="J12" s="168"/>
    </row>
    <row r="13" spans="1:10" ht="15.75" customHeight="1">
      <c r="E13" s="277" t="s">
        <v>46</v>
      </c>
      <c r="F13" s="2" t="s">
        <v>169</v>
      </c>
      <c r="G13" s="155">
        <v>2</v>
      </c>
      <c r="H13" s="166"/>
      <c r="J13" s="216"/>
    </row>
    <row r="14" spans="1:10" ht="15.75" customHeight="1">
      <c r="E14" s="278"/>
      <c r="F14" s="2" t="s">
        <v>170</v>
      </c>
      <c r="G14" s="155">
        <v>0</v>
      </c>
      <c r="H14" s="166"/>
      <c r="J14" s="216"/>
    </row>
    <row r="15" spans="1:10" ht="15.75" customHeight="1">
      <c r="E15" s="278"/>
      <c r="F15" s="2" t="s">
        <v>171</v>
      </c>
      <c r="G15" s="155">
        <v>0</v>
      </c>
      <c r="H15" s="166"/>
      <c r="J15" s="216"/>
    </row>
    <row r="16" spans="1:10" ht="15.75" customHeight="1">
      <c r="E16" s="278"/>
      <c r="F16" s="2" t="s">
        <v>172</v>
      </c>
      <c r="G16" s="155">
        <v>0</v>
      </c>
      <c r="H16" s="166"/>
      <c r="J16" s="216"/>
    </row>
    <row r="17" spans="1:10" ht="15.75" customHeight="1">
      <c r="E17" s="278"/>
      <c r="F17" s="2" t="s">
        <v>173</v>
      </c>
      <c r="G17" s="155">
        <v>0</v>
      </c>
      <c r="H17" s="166"/>
      <c r="J17" s="216"/>
    </row>
    <row r="18" spans="1:10" ht="15.75" customHeight="1">
      <c r="E18" s="278"/>
      <c r="F18" s="2" t="s">
        <v>174</v>
      </c>
      <c r="G18" s="155">
        <v>0.2</v>
      </c>
      <c r="H18" s="166"/>
      <c r="J18" s="216"/>
    </row>
    <row r="19" spans="1:10" ht="15.75" customHeight="1">
      <c r="E19" s="278"/>
      <c r="F19" s="2" t="s">
        <v>175</v>
      </c>
      <c r="G19" s="155"/>
      <c r="H19" s="172"/>
      <c r="J19" s="216"/>
    </row>
    <row r="20" spans="1:10" ht="15.75" customHeight="1">
      <c r="E20" s="278"/>
      <c r="F20" s="2" t="s">
        <v>176</v>
      </c>
      <c r="G20" s="155"/>
      <c r="H20" s="166"/>
      <c r="J20" s="216"/>
    </row>
    <row r="21" spans="1:10" ht="15.75" customHeight="1">
      <c r="E21" s="282"/>
      <c r="F21" s="2" t="s">
        <v>123</v>
      </c>
      <c r="G21" s="155"/>
      <c r="H21" s="166"/>
      <c r="J21" s="216"/>
    </row>
    <row r="22" spans="1:10" ht="15.75" customHeight="1">
      <c r="E22" s="1" t="s">
        <v>14</v>
      </c>
      <c r="F22" s="2"/>
      <c r="G22" s="18">
        <f>SUM(G3:G21)</f>
        <v>8.1999999999999993</v>
      </c>
      <c r="H22" s="2"/>
      <c r="J22" s="217"/>
    </row>
    <row r="23" spans="1:10" ht="30.75" customHeight="1">
      <c r="E23" s="273" t="s">
        <v>177</v>
      </c>
      <c r="F23" s="273"/>
      <c r="G23" s="273"/>
      <c r="H23" s="273"/>
    </row>
    <row r="25" spans="1:10" ht="17.25">
      <c r="A25" s="10" t="s">
        <v>1</v>
      </c>
      <c r="B25" s="10" t="s">
        <v>146</v>
      </c>
      <c r="C25" s="10" t="s">
        <v>178</v>
      </c>
      <c r="D25" s="156" t="s">
        <v>276</v>
      </c>
      <c r="E25" s="177" t="s">
        <v>180</v>
      </c>
      <c r="F25" s="177" t="s">
        <v>181</v>
      </c>
      <c r="G25" s="177" t="s">
        <v>225</v>
      </c>
      <c r="H25" s="177" t="s">
        <v>236</v>
      </c>
      <c r="I25" s="11" t="s">
        <v>14</v>
      </c>
      <c r="J25" s="32" t="s">
        <v>182</v>
      </c>
    </row>
    <row r="26" spans="1:10" ht="16.5">
      <c r="A26" s="29" t="s">
        <v>141</v>
      </c>
      <c r="B26" s="30">
        <f>(B5+B8)*10000</f>
        <v>60000</v>
      </c>
      <c r="C26" s="31">
        <v>0.05</v>
      </c>
      <c r="D26" s="7">
        <f>B26*(1-C26)/5</f>
        <v>11400</v>
      </c>
      <c r="E26" s="7">
        <f t="shared" ref="E26:F27" si="0">D26</f>
        <v>11400</v>
      </c>
      <c r="F26" s="7">
        <f t="shared" si="0"/>
        <v>11400</v>
      </c>
      <c r="G26" s="7">
        <f t="shared" ref="G26:H27" si="1">F26</f>
        <v>11400</v>
      </c>
      <c r="H26" s="7">
        <f t="shared" si="1"/>
        <v>11400</v>
      </c>
      <c r="I26" s="7">
        <f>SUM(D26:H26)</f>
        <v>57000</v>
      </c>
      <c r="J26" s="7">
        <f>B26*0.05</f>
        <v>3000</v>
      </c>
    </row>
    <row r="27" spans="1:10" ht="16.5">
      <c r="A27" s="29" t="s">
        <v>183</v>
      </c>
      <c r="B27" s="30">
        <f>B9*10000</f>
        <v>22000</v>
      </c>
      <c r="C27" s="7"/>
      <c r="D27" s="7">
        <f>B27/5</f>
        <v>4400</v>
      </c>
      <c r="E27" s="7">
        <f>D27</f>
        <v>4400</v>
      </c>
      <c r="F27" s="7">
        <f t="shared" si="0"/>
        <v>4400</v>
      </c>
      <c r="G27" s="7">
        <f t="shared" si="1"/>
        <v>4400</v>
      </c>
      <c r="H27" s="7">
        <f t="shared" ref="H27" si="2">G27</f>
        <v>4400</v>
      </c>
      <c r="I27" s="7">
        <f>SUM(D27:H27)</f>
        <v>22000</v>
      </c>
      <c r="J27" s="7"/>
    </row>
    <row r="28" spans="1:10" ht="16.5">
      <c r="A28" s="274" t="s">
        <v>103</v>
      </c>
      <c r="B28" s="275"/>
      <c r="C28" s="276"/>
      <c r="D28" s="7">
        <f>SUM(D26:D27)</f>
        <v>15800</v>
      </c>
      <c r="E28" s="7">
        <f t="shared" ref="E28:H28" si="3">SUM(E26:E27)</f>
        <v>15800</v>
      </c>
      <c r="F28" s="7">
        <f t="shared" si="3"/>
        <v>15800</v>
      </c>
      <c r="G28" s="7">
        <f t="shared" si="3"/>
        <v>15800</v>
      </c>
      <c r="H28" s="7">
        <f t="shared" si="3"/>
        <v>15800</v>
      </c>
      <c r="I28" s="33"/>
      <c r="J28" s="33"/>
    </row>
    <row r="40" spans="9:9">
      <c r="I40" s="170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2023-07-10T03:15:32Z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