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自制与外委分析" sheetId="1" r:id="rId1"/>
    <sheet name="SLT0011290上半年采购量" sheetId="2" r:id="rId2"/>
    <sheet name="SLT0010630上半年采购量" sheetId="3" r:id="rId3"/>
    <sheet name="630" sheetId="4" r:id="rId4"/>
    <sheet name="11290" sheetId="5" r:id="rId5"/>
    <sheet name="11290自制成本" sheetId="6" r:id="rId6"/>
    <sheet name="630自制成本" sheetId="7" r:id="rId7"/>
  </sheets>
  <calcPr calcId="144525"/>
</workbook>
</file>

<file path=xl/sharedStrings.xml><?xml version="1.0" encoding="utf-8"?>
<sst xmlns="http://schemas.openxmlformats.org/spreadsheetml/2006/main" count="514" uniqueCount="216">
  <si>
    <t>序号</t>
  </si>
  <si>
    <t>项目</t>
  </si>
  <si>
    <t>物料号</t>
  </si>
  <si>
    <t>名称</t>
  </si>
  <si>
    <t>1-5月采购量</t>
  </si>
  <si>
    <t>平均每月</t>
  </si>
  <si>
    <t>单价</t>
  </si>
  <si>
    <t>投入</t>
  </si>
  <si>
    <t>自制成本</t>
  </si>
  <si>
    <t>自制与委外差值</t>
  </si>
  <si>
    <t>收益时间（月）</t>
  </si>
  <si>
    <t>一汽减震</t>
  </si>
  <si>
    <t>SLT0010630</t>
  </si>
  <si>
    <t>座框钢丝支撑焊接总成</t>
  </si>
  <si>
    <t>外购</t>
  </si>
  <si>
    <t>欧马可</t>
  </si>
  <si>
    <t>SLT0011290</t>
  </si>
  <si>
    <t>座框骨架焊接总成</t>
  </si>
  <si>
    <t>求和项:收货数量</t>
  </si>
  <si>
    <t>列标签</t>
  </si>
  <si>
    <t>行标签</t>
  </si>
  <si>
    <t>海兴中盛弹簧有限公司</t>
  </si>
  <si>
    <t>总计</t>
  </si>
  <si>
    <t>2023/2/18 星期六</t>
  </si>
  <si>
    <t>2023/2/2 星期四</t>
  </si>
  <si>
    <t>2023/2/21 星期二</t>
  </si>
  <si>
    <t>2023/2/22 星期三</t>
  </si>
  <si>
    <t>2023/2/23 星期四</t>
  </si>
  <si>
    <t>2023/2/25 星期六</t>
  </si>
  <si>
    <t>2023/2/27 星期一</t>
  </si>
  <si>
    <t>2023/2/4 星期六</t>
  </si>
  <si>
    <t>2023/2/5 星期日</t>
  </si>
  <si>
    <t>2023/3/1 星期三</t>
  </si>
  <si>
    <t>2023/3/10 星期五</t>
  </si>
  <si>
    <t>2023/3/11 星期六</t>
  </si>
  <si>
    <t>2023/3/12 星期日</t>
  </si>
  <si>
    <t>2023/3/13 星期一</t>
  </si>
  <si>
    <t>2023/3/14 星期二</t>
  </si>
  <si>
    <t>2023/3/15 星期三</t>
  </si>
  <si>
    <t>2023/3/16 星期四</t>
  </si>
  <si>
    <t>2023/3/19 星期日</t>
  </si>
  <si>
    <t>2023/3/2 星期四</t>
  </si>
  <si>
    <t>2023/3/20 星期一</t>
  </si>
  <si>
    <t>2023/3/5 星期日</t>
  </si>
  <si>
    <t>2023/3/6 星期一</t>
  </si>
  <si>
    <t>2023/3/7 星期二</t>
  </si>
  <si>
    <t>2023/3/8 星期三</t>
  </si>
  <si>
    <t>2023/3/9 星期四</t>
  </si>
  <si>
    <t>2023/4/18 星期二</t>
  </si>
  <si>
    <t>2023/4/20 星期四</t>
  </si>
  <si>
    <t>2023/4/21 星期五</t>
  </si>
  <si>
    <t>2023/4/24 星期一</t>
  </si>
  <si>
    <t>2023/4/25 星期二</t>
  </si>
  <si>
    <t>2023/5/18 星期四</t>
  </si>
  <si>
    <t>2023/5/19 星期五</t>
  </si>
  <si>
    <t>2023/5/20 星期六</t>
  </si>
  <si>
    <t>2023/5/22 星期一</t>
  </si>
  <si>
    <t>2023/5/5 星期五</t>
  </si>
  <si>
    <t>2023/5/6 星期六</t>
  </si>
  <si>
    <t>2023/5/9 星期二</t>
  </si>
  <si>
    <t>2023/6/5 星期一</t>
  </si>
  <si>
    <t>收货日期</t>
  </si>
  <si>
    <t>2023/1/13 星期五</t>
  </si>
  <si>
    <t>2023/1/31 星期二</t>
  </si>
  <si>
    <t>2023/1/5 星期四</t>
  </si>
  <si>
    <t>2023/1/8 星期日</t>
  </si>
  <si>
    <t>2023/2/13 星期一</t>
  </si>
  <si>
    <t>2023/2/14 星期二</t>
  </si>
  <si>
    <t>2023/2/19 星期日</t>
  </si>
  <si>
    <t>2023/2/20 星期一</t>
  </si>
  <si>
    <t>2023/2/24 星期五</t>
  </si>
  <si>
    <t>2023/2/6 星期一</t>
  </si>
  <si>
    <t>2023/2/8 星期三</t>
  </si>
  <si>
    <t>2023/2/9 星期四</t>
  </si>
  <si>
    <t>2023/3/18 星期六</t>
  </si>
  <si>
    <t>2023/3/21 星期二</t>
  </si>
  <si>
    <t>2023/3/22 星期三</t>
  </si>
  <si>
    <t>2023/3/23 星期四</t>
  </si>
  <si>
    <t>2023/3/24 星期五</t>
  </si>
  <si>
    <t>2023/3/25 星期六</t>
  </si>
  <si>
    <t>2023/3/26 星期日</t>
  </si>
  <si>
    <t>2023/3/27 星期一</t>
  </si>
  <si>
    <t>2023/3/28 星期二</t>
  </si>
  <si>
    <t>2023/3/29 星期三</t>
  </si>
  <si>
    <t>2023/3/3 星期五</t>
  </si>
  <si>
    <t>2023/3/30 星期四</t>
  </si>
  <si>
    <t>2023/3/4 星期六</t>
  </si>
  <si>
    <t>2023/4/1 星期六</t>
  </si>
  <si>
    <t>2023/4/10 星期一</t>
  </si>
  <si>
    <t>2023/4/11 星期二</t>
  </si>
  <si>
    <t>2023/4/13 星期四</t>
  </si>
  <si>
    <t>2023/4/14 星期五</t>
  </si>
  <si>
    <t>2023/4/19 星期三</t>
  </si>
  <si>
    <t>2023/4/2 星期日</t>
  </si>
  <si>
    <t>2023/4/4 星期二</t>
  </si>
  <si>
    <t>2023/4/6 星期四</t>
  </si>
  <si>
    <t>2023/4/8 星期六</t>
  </si>
  <si>
    <t>2023/5/10 星期三</t>
  </si>
  <si>
    <t>2023/5/17 星期三</t>
  </si>
  <si>
    <t>2023/6/1 星期四</t>
  </si>
  <si>
    <t>钢丝重量</t>
  </si>
  <si>
    <t>钢丝价格</t>
  </si>
  <si>
    <t>河北自制费用</t>
  </si>
  <si>
    <t>合计</t>
  </si>
  <si>
    <t>欧马可升级减震款驾驶员座总成EBOM清单</t>
  </si>
  <si>
    <t>QAD</t>
  </si>
  <si>
    <t>零件号</t>
  </si>
  <si>
    <t>中文名称</t>
  </si>
  <si>
    <t>零件描述</t>
  </si>
  <si>
    <t>重要度</t>
  </si>
  <si>
    <t>单位</t>
  </si>
  <si>
    <t>图示</t>
  </si>
  <si>
    <t>数据版本</t>
  </si>
  <si>
    <t>零件类别</t>
  </si>
  <si>
    <t>材料</t>
  </si>
  <si>
    <t>材料单价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</si>
  <si>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</si>
  <si>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</si>
  <si>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</si>
  <si>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</si>
  <si>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</si>
  <si>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</si>
  <si>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
（Kg）</t>
  </si>
  <si>
    <t>材料利用率</t>
  </si>
  <si>
    <t>焊接长度
（cm）</t>
  </si>
  <si>
    <r>
      <rPr>
        <sz val="12"/>
        <rFont val="微软雅黑"/>
        <charset val="134"/>
      </rPr>
      <t>涂装面积
（m</t>
    </r>
    <r>
      <rPr>
        <vertAlign val="superscript"/>
        <sz val="12"/>
        <rFont val="微软雅黑"/>
        <charset val="134"/>
      </rPr>
      <t>2</t>
    </r>
    <r>
      <rPr>
        <sz val="12"/>
        <rFont val="微软雅黑"/>
        <charset val="134"/>
      </rPr>
      <t>）</t>
    </r>
  </si>
  <si>
    <t>价格</t>
  </si>
  <si>
    <t>备注</t>
  </si>
  <si>
    <t>用量</t>
  </si>
  <si>
    <t>材料成本</t>
  </si>
  <si>
    <t>价格合计</t>
  </si>
  <si>
    <t>长</t>
  </si>
  <si>
    <t>宽</t>
  </si>
  <si>
    <t>高</t>
  </si>
  <si>
    <t>座垫骨架焊接总成</t>
  </si>
  <si>
    <t>新开</t>
  </si>
  <si>
    <t>A</t>
  </si>
  <si>
    <t>个</t>
  </si>
  <si>
    <t>分总成</t>
  </si>
  <si>
    <t>ASSY</t>
  </si>
  <si>
    <t>— —</t>
  </si>
  <si>
    <t>28</t>
  </si>
  <si>
    <t>0.016</t>
  </si>
  <si>
    <t>SLT0010694</t>
  </si>
  <si>
    <t>座垫泡沫前段支撑钢丝</t>
  </si>
  <si>
    <t>借用轻卡减震</t>
  </si>
  <si>
    <t>钢丝</t>
  </si>
  <si>
    <t>Q235 φ5</t>
  </si>
  <si>
    <t>GB/T 342
GB/T 700</t>
  </si>
  <si>
    <t>折弯</t>
  </si>
  <si>
    <t xml:space="preserve">SLT0010655 </t>
  </si>
  <si>
    <t>座框护面固定钢丝C</t>
  </si>
  <si>
    <t>SLT0011291</t>
  </si>
  <si>
    <t>座框支撑钢丝A</t>
  </si>
  <si>
    <t>Q235 φ8</t>
  </si>
  <si>
    <t>SLT0011292</t>
  </si>
  <si>
    <t>座框支撑钢丝B</t>
  </si>
  <si>
    <t>SLT0011293</t>
  </si>
  <si>
    <t>座框支撑钢丝C</t>
  </si>
  <si>
    <t>Q235 φ6</t>
  </si>
  <si>
    <t>SLT0011294</t>
  </si>
  <si>
    <t>座框支撑钢丝D</t>
  </si>
  <si>
    <t>SLT0011295</t>
  </si>
  <si>
    <t>座框支撑钢丝E</t>
  </si>
  <si>
    <t>SLT0011296</t>
  </si>
  <si>
    <t>座框支撑钢丝F</t>
  </si>
  <si>
    <t>SLT0011297</t>
  </si>
  <si>
    <t>座框支撑钢丝G</t>
  </si>
  <si>
    <t>SLT0011298</t>
  </si>
  <si>
    <t>座框支撑钢丝H</t>
  </si>
  <si>
    <t>SLT0011299</t>
  </si>
  <si>
    <t>座框钢丝后端固定钣金总成</t>
  </si>
  <si>
    <t>2</t>
  </si>
  <si>
    <t>BFA0000316</t>
  </si>
  <si>
    <t>焊接方螺母</t>
  </si>
  <si>
    <t>标准件</t>
  </si>
  <si>
    <t xml:space="preserve"> M6</t>
  </si>
  <si>
    <t>9*13*13</t>
  </si>
  <si>
    <t>SLT0011300</t>
  </si>
  <si>
    <t>座框钢丝后端固定钣金</t>
  </si>
  <si>
    <t>钣金件</t>
  </si>
  <si>
    <t>Q235 3.0</t>
  </si>
  <si>
    <t>Q/BQB 301
Q/BQB 310</t>
  </si>
  <si>
    <t>冲压</t>
  </si>
  <si>
    <t>SLT0010631</t>
  </si>
  <si>
    <t>座框钢丝前端固定钣金</t>
  </si>
  <si>
    <t>SPFH590 3.0</t>
  </si>
  <si>
    <t>合计：</t>
  </si>
  <si>
    <t>一汽轻卡减震驾驶员座总成EBOM清单</t>
  </si>
  <si>
    <t>净重尺寸</t>
  </si>
  <si>
    <t>工艺重量(kg)</t>
  </si>
  <si>
    <t>焊接长度(cm)</t>
  </si>
  <si>
    <t>涂装面积(㎡)</t>
  </si>
  <si>
    <t>原材料价格</t>
  </si>
  <si>
    <t>电泳</t>
  </si>
  <si>
    <t>67*44*3</t>
  </si>
  <si>
    <t>SLT0010683</t>
  </si>
  <si>
    <t>60*42*3</t>
  </si>
  <si>
    <t>SLT0010648</t>
  </si>
  <si>
    <t>线材</t>
  </si>
  <si>
    <t>SLT0010649</t>
  </si>
  <si>
    <t>SLT0010650</t>
  </si>
  <si>
    <t>SLT0010651</t>
  </si>
  <si>
    <t>SLT0010652</t>
  </si>
  <si>
    <t>坐垫泡沫前段支撑钢丝</t>
  </si>
  <si>
    <t>SLT0010653</t>
  </si>
  <si>
    <t>座框护面固定钢丝A</t>
  </si>
  <si>
    <t>SLT0010654</t>
  </si>
  <si>
    <t>座框护面固定钢丝B</t>
  </si>
  <si>
    <t>SLT0010655</t>
  </si>
  <si>
    <t>SLT0010656</t>
  </si>
  <si>
    <t>座框护面固定钢丝D</t>
  </si>
  <si>
    <t>SLT0010657</t>
  </si>
  <si>
    <t>座框护面固定钢丝E</t>
  </si>
  <si>
    <t>SLT0010658</t>
  </si>
  <si>
    <t>座框护面固定钢丝F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</si>
</sst>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176" formatCode="0.00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0_);[Red]\(0.000\)"/>
    <numFmt numFmtId="178" formatCode="0.000_ "/>
    <numFmt numFmtId="43" formatCode="_ * #,##0.00_ ;_ * \-#,##0.00_ ;_ * &quot;-&quot;??_ ;_ @_ "/>
    <numFmt numFmtId="179" formatCode="0.0000_);[Red]\(0.0000\)"/>
    <numFmt numFmtId="180" formatCode="0.00_);[Red]\(0.00\)"/>
    <numFmt numFmtId="181" formatCode="0.0_);[Red]\(0.0\)"/>
    <numFmt numFmtId="182" formatCode="0_);[Red]\(0\)"/>
  </numFmts>
  <fonts count="35">
    <font>
      <sz val="11"/>
      <color theme="1"/>
      <name val="等线"/>
      <charset val="134"/>
      <scheme val="minor"/>
    </font>
    <font>
      <sz val="11"/>
      <name val="微软雅黑"/>
      <charset val="134"/>
    </font>
    <font>
      <sz val="10"/>
      <name val="微软雅黑"/>
      <charset val="134"/>
    </font>
    <font>
      <sz val="11"/>
      <color rgb="FFFF0000"/>
      <name val="微软雅黑"/>
      <charset val="134"/>
    </font>
    <font>
      <b/>
      <sz val="14"/>
      <name val="微软雅黑"/>
      <charset val="134"/>
    </font>
    <font>
      <b/>
      <sz val="20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9"/>
      <name val="Arial"/>
      <charset val="134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0"/>
      <name val="Arial"/>
      <charset val="134"/>
    </font>
    <font>
      <vertAlign val="superscript"/>
      <sz val="12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23" borderId="14" applyNumberFormat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27" fillId="29" borderId="16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1" fillId="0" borderId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9" applyFont="1" applyFill="1" applyBorder="1" applyAlignment="1" applyProtection="1">
      <alignment horizontal="center" vertical="center" wrapText="1"/>
      <protection locked="0"/>
    </xf>
    <xf numFmtId="0" fontId="1" fillId="0" borderId="0" xfId="50" applyNumberFormat="1" applyFont="1" applyFill="1" applyAlignment="1" applyProtection="1">
      <alignment horizontal="center" vertical="center" wrapText="1"/>
      <protection locked="0"/>
    </xf>
    <xf numFmtId="0" fontId="1" fillId="0" borderId="0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179" fontId="1" fillId="0" borderId="0" xfId="50" applyNumberFormat="1" applyFont="1" applyFill="1" applyBorder="1" applyAlignment="1" applyProtection="1">
      <alignment horizontal="center" vertical="center"/>
      <protection locked="0"/>
    </xf>
    <xf numFmtId="176" fontId="1" fillId="0" borderId="0" xfId="50" applyNumberFormat="1" applyFont="1" applyFill="1" applyBorder="1" applyAlignment="1" applyProtection="1">
      <alignment horizontal="center" vertical="center" wrapText="1"/>
      <protection locked="0"/>
    </xf>
    <xf numFmtId="10" fontId="1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 applyProtection="1">
      <alignment horizontal="left" vertical="center"/>
      <protection locked="0"/>
    </xf>
    <xf numFmtId="0" fontId="4" fillId="0" borderId="1" xfId="50" applyFont="1" applyFill="1" applyBorder="1" applyAlignment="1" applyProtection="1">
      <alignment horizontal="left" vertical="center" wrapText="1"/>
      <protection locked="0"/>
    </xf>
    <xf numFmtId="0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left" vertical="center"/>
      <protection locked="0"/>
    </xf>
    <xf numFmtId="0" fontId="6" fillId="0" borderId="1" xfId="50" applyFont="1" applyFill="1" applyBorder="1" applyAlignment="1" applyProtection="1">
      <alignment horizontal="left" vertical="center" wrapText="1"/>
      <protection locked="0"/>
    </xf>
    <xf numFmtId="0" fontId="4" fillId="0" borderId="1" xfId="50" applyFont="1" applyFill="1" applyBorder="1" applyAlignment="1" applyProtection="1">
      <alignment horizontal="left" vertical="top" wrapText="1"/>
      <protection locked="0"/>
    </xf>
    <xf numFmtId="0" fontId="6" fillId="0" borderId="1" xfId="50" applyFont="1" applyFill="1" applyBorder="1" applyAlignment="1" applyProtection="1">
      <alignment horizontal="left" vertical="top" wrapText="1"/>
      <protection locked="0"/>
    </xf>
    <xf numFmtId="0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NumberFormat="1" applyFont="1" applyFill="1" applyBorder="1" applyAlignment="1" applyProtection="1">
      <alignment horizontal="center" vertical="center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180" fontId="8" fillId="0" borderId="2" xfId="52" applyNumberFormat="1" applyFont="1" applyFill="1" applyBorder="1" applyAlignment="1">
      <alignment horizontal="center" vertical="center" wrapText="1"/>
    </xf>
    <xf numFmtId="180" fontId="8" fillId="0" borderId="4" xfId="52" applyNumberFormat="1" applyFont="1" applyFill="1" applyBorder="1" applyAlignment="1">
      <alignment horizontal="center" vertical="center" wrapText="1"/>
    </xf>
    <xf numFmtId="176" fontId="8" fillId="0" borderId="5" xfId="52" applyNumberFormat="1" applyFont="1" applyFill="1" applyBorder="1" applyAlignment="1">
      <alignment horizontal="center" vertical="center" wrapText="1"/>
    </xf>
    <xf numFmtId="180" fontId="8" fillId="0" borderId="3" xfId="52" applyNumberFormat="1" applyFont="1" applyFill="1" applyBorder="1" applyAlignment="1">
      <alignment horizontal="center" vertical="center" wrapText="1"/>
    </xf>
    <xf numFmtId="180" fontId="8" fillId="0" borderId="6" xfId="52" applyNumberFormat="1" applyFont="1" applyFill="1" applyBorder="1" applyAlignment="1">
      <alignment horizontal="center" vertical="center" wrapText="1"/>
    </xf>
    <xf numFmtId="176" fontId="8" fillId="0" borderId="7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0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0" fontId="8" fillId="0" borderId="2" xfId="52" applyNumberFormat="1" applyFont="1" applyFill="1" applyBorder="1" applyAlignment="1">
      <alignment horizontal="center" vertical="center" wrapText="1"/>
    </xf>
    <xf numFmtId="181" fontId="8" fillId="0" borderId="2" xfId="52" applyNumberFormat="1" applyFont="1" applyFill="1" applyBorder="1" applyAlignment="1">
      <alignment horizontal="center" vertical="center" wrapText="1"/>
    </xf>
    <xf numFmtId="179" fontId="8" fillId="0" borderId="2" xfId="52" applyNumberFormat="1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" applyFont="1" applyFill="1" applyBorder="1" applyAlignment="1" applyProtection="1">
      <alignment horizontal="center" vertical="center" wrapText="1" shrinkToFit="1"/>
      <protection locked="0"/>
    </xf>
    <xf numFmtId="176" fontId="8" fillId="0" borderId="3" xfId="52" applyNumberFormat="1" applyFont="1" applyFill="1" applyBorder="1" applyAlignment="1">
      <alignment horizontal="center" vertical="center" wrapText="1"/>
    </xf>
    <xf numFmtId="10" fontId="8" fillId="0" borderId="3" xfId="52" applyNumberFormat="1" applyFont="1" applyFill="1" applyBorder="1" applyAlignment="1">
      <alignment horizontal="center" vertical="center" wrapText="1"/>
    </xf>
    <xf numFmtId="181" fontId="8" fillId="0" borderId="3" xfId="52" applyNumberFormat="1" applyFont="1" applyFill="1" applyBorder="1" applyAlignment="1">
      <alignment horizontal="center" vertical="center" wrapText="1"/>
    </xf>
    <xf numFmtId="179" fontId="8" fillId="0" borderId="3" xfId="52" applyNumberFormat="1" applyFont="1" applyFill="1" applyBorder="1" applyAlignment="1">
      <alignment horizontal="center" vertical="center" wrapText="1"/>
    </xf>
    <xf numFmtId="0" fontId="8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center" vertical="center" wrapText="1" shrinkToFit="1"/>
      <protection locked="0"/>
    </xf>
    <xf numFmtId="1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0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50" applyNumberFormat="1" applyFont="1" applyFill="1" applyBorder="1" applyAlignment="1" applyProtection="1">
      <alignment horizontal="center" vertical="center"/>
      <protection locked="0"/>
    </xf>
    <xf numFmtId="0" fontId="11" fillId="0" borderId="1" xfId="50" applyFont="1" applyFill="1" applyBorder="1" applyAlignment="1" applyProtection="1">
      <alignment horizontal="left" vertical="center" wrapText="1"/>
      <protection locked="0"/>
    </xf>
    <xf numFmtId="49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left" vertical="center" wrapText="1"/>
    </xf>
    <xf numFmtId="0" fontId="10" fillId="0" borderId="1" xfId="9" applyFont="1" applyFill="1" applyBorder="1" applyAlignment="1" applyProtection="1">
      <alignment vertical="center" wrapText="1" shrinkToFit="1"/>
      <protection locked="0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9" applyFont="1" applyFill="1" applyBorder="1" applyAlignment="1" applyProtection="1">
      <alignment vertical="center" wrapText="1"/>
      <protection locked="0"/>
    </xf>
    <xf numFmtId="49" fontId="10" fillId="0" borderId="1" xfId="51" applyNumberFormat="1" applyFont="1" applyFill="1" applyBorder="1" applyAlignment="1">
      <alignment horizontal="center" vertical="center" wrapText="1"/>
    </xf>
    <xf numFmtId="0" fontId="11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5" fillId="0" borderId="1" xfId="50" applyNumberFormat="1" applyFont="1" applyFill="1" applyBorder="1" applyAlignment="1" applyProtection="1">
      <alignment horizontal="left" vertical="center"/>
      <protection locked="0"/>
    </xf>
    <xf numFmtId="49" fontId="10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50" applyNumberFormat="1" applyFont="1" applyFill="1" applyBorder="1" applyAlignment="1" applyProtection="1">
      <alignment horizontal="center" vertical="center" wrapText="1"/>
      <protection locked="0"/>
    </xf>
    <xf numFmtId="178" fontId="10" fillId="2" borderId="1" xfId="50" applyNumberFormat="1" applyFont="1" applyFill="1" applyBorder="1" applyAlignment="1" applyProtection="1">
      <alignment horizontal="center" vertical="center" wrapText="1"/>
      <protection locked="0"/>
    </xf>
    <xf numFmtId="178" fontId="10" fillId="2" borderId="1" xfId="50" applyNumberFormat="1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78" fontId="1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5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5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10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10" fontId="10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5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50" applyFont="1" applyFill="1" applyBorder="1" applyAlignment="1" applyProtection="1">
      <alignment horizontal="center" vertical="center" wrapText="1"/>
      <protection locked="0"/>
    </xf>
    <xf numFmtId="0" fontId="10" fillId="0" borderId="9" xfId="9" applyFont="1" applyFill="1" applyBorder="1" applyAlignment="1" applyProtection="1">
      <alignment horizontal="center" vertical="center" wrapText="1" shrinkToFit="1"/>
      <protection locked="0"/>
    </xf>
    <xf numFmtId="0" fontId="10" fillId="0" borderId="9" xfId="50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>
      <alignment horizontal="center" vertical="center" wrapText="1"/>
    </xf>
    <xf numFmtId="177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9" applyFont="1" applyFill="1" applyBorder="1" applyAlignment="1" applyProtection="1">
      <alignment horizontal="center" vertical="center" wrapText="1" shrinkToFit="1"/>
      <protection locked="0"/>
    </xf>
    <xf numFmtId="0" fontId="3" fillId="0" borderId="9" xfId="9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  <cellStyle name="BOM_Level_1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emf"/><Relationship Id="rId8" Type="http://schemas.openxmlformats.org/officeDocument/2006/relationships/image" Target="../media/image11.emf"/><Relationship Id="rId7" Type="http://schemas.openxmlformats.org/officeDocument/2006/relationships/image" Target="../media/image10.emf"/><Relationship Id="rId6" Type="http://schemas.openxmlformats.org/officeDocument/2006/relationships/image" Target="../media/image9.emf"/><Relationship Id="rId5" Type="http://schemas.openxmlformats.org/officeDocument/2006/relationships/image" Target="../media/image8.emf"/><Relationship Id="rId4" Type="http://schemas.openxmlformats.org/officeDocument/2006/relationships/image" Target="../media/image7.wmf"/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5" Type="http://schemas.openxmlformats.org/officeDocument/2006/relationships/image" Target="../media/image18.emf"/><Relationship Id="rId14" Type="http://schemas.openxmlformats.org/officeDocument/2006/relationships/image" Target="../media/image17.emf"/><Relationship Id="rId13" Type="http://schemas.openxmlformats.org/officeDocument/2006/relationships/image" Target="../media/image16.emf"/><Relationship Id="rId12" Type="http://schemas.openxmlformats.org/officeDocument/2006/relationships/image" Target="../media/image15.emf"/><Relationship Id="rId11" Type="http://schemas.openxmlformats.org/officeDocument/2006/relationships/image" Target="../media/image14.emf"/><Relationship Id="rId10" Type="http://schemas.openxmlformats.org/officeDocument/2006/relationships/image" Target="../media/image13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26.wmf"/><Relationship Id="rId8" Type="http://schemas.openxmlformats.org/officeDocument/2006/relationships/image" Target="../media/image25.wmf"/><Relationship Id="rId7" Type="http://schemas.openxmlformats.org/officeDocument/2006/relationships/image" Target="../media/image24.wmf"/><Relationship Id="rId6" Type="http://schemas.openxmlformats.org/officeDocument/2006/relationships/image" Target="../media/image23.wmf"/><Relationship Id="rId5" Type="http://schemas.openxmlformats.org/officeDocument/2006/relationships/image" Target="../media/image22.wmf"/><Relationship Id="rId4" Type="http://schemas.openxmlformats.org/officeDocument/2006/relationships/image" Target="../media/image7.wmf"/><Relationship Id="rId3" Type="http://schemas.openxmlformats.org/officeDocument/2006/relationships/image" Target="../media/image21.wmf"/><Relationship Id="rId2" Type="http://schemas.openxmlformats.org/officeDocument/2006/relationships/image" Target="../media/image20.wmf"/><Relationship Id="rId15" Type="http://schemas.openxmlformats.org/officeDocument/2006/relationships/image" Target="../media/image32.wmf"/><Relationship Id="rId14" Type="http://schemas.openxmlformats.org/officeDocument/2006/relationships/image" Target="../media/image31.wmf"/><Relationship Id="rId13" Type="http://schemas.openxmlformats.org/officeDocument/2006/relationships/image" Target="../media/image30.wmf"/><Relationship Id="rId12" Type="http://schemas.openxmlformats.org/officeDocument/2006/relationships/image" Target="../media/image29.wmf"/><Relationship Id="rId11" Type="http://schemas.openxmlformats.org/officeDocument/2006/relationships/image" Target="../media/image28.wmf"/><Relationship Id="rId10" Type="http://schemas.openxmlformats.org/officeDocument/2006/relationships/image" Target="../media/image27.wmf"/><Relationship Id="rId1" Type="http://schemas.openxmlformats.org/officeDocument/2006/relationships/image" Target="../media/image19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55880</xdr:rowOff>
    </xdr:from>
    <xdr:to>
      <xdr:col>11</xdr:col>
      <xdr:colOff>614680</xdr:colOff>
      <xdr:row>67</xdr:row>
      <xdr:rowOff>93345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55880"/>
          <a:ext cx="8148955" cy="12229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142875</xdr:colOff>
      <xdr:row>12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2900" cy="2314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171450</xdr:colOff>
      <xdr:row>14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363075" cy="2619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96520</xdr:colOff>
      <xdr:row>3</xdr:row>
      <xdr:rowOff>108585</xdr:rowOff>
    </xdr:from>
    <xdr:to>
      <xdr:col>7</xdr:col>
      <xdr:colOff>427676</xdr:colOff>
      <xdr:row>3</xdr:row>
      <xdr:rowOff>388171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6295" y="1170940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12700</xdr:colOff>
      <xdr:row>4</xdr:row>
      <xdr:rowOff>167640</xdr:rowOff>
    </xdr:from>
    <xdr:to>
      <xdr:col>7</xdr:col>
      <xdr:colOff>482600</xdr:colOff>
      <xdr:row>4</xdr:row>
      <xdr:rowOff>349250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2475" y="1737360"/>
          <a:ext cx="4699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38100</xdr:colOff>
      <xdr:row>5</xdr:row>
      <xdr:rowOff>184150</xdr:rowOff>
    </xdr:from>
    <xdr:to>
      <xdr:col>7</xdr:col>
      <xdr:colOff>467995</xdr:colOff>
      <xdr:row>5</xdr:row>
      <xdr:rowOff>325120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57875" y="2261235"/>
          <a:ext cx="42989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151765</xdr:colOff>
      <xdr:row>17</xdr:row>
      <xdr:rowOff>74295</xdr:rowOff>
    </xdr:from>
    <xdr:to>
      <xdr:col>7</xdr:col>
      <xdr:colOff>386080</xdr:colOff>
      <xdr:row>17</xdr:row>
      <xdr:rowOff>415290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71540" y="8239760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140697</xdr:colOff>
      <xdr:row>15</xdr:row>
      <xdr:rowOff>105932</xdr:rowOff>
    </xdr:from>
    <xdr:to>
      <xdr:col>7</xdr:col>
      <xdr:colOff>436994</xdr:colOff>
      <xdr:row>15</xdr:row>
      <xdr:rowOff>391682</xdr:rowOff>
    </xdr:to>
    <xdr:pic>
      <xdr:nvPicPr>
        <xdr:cNvPr id="6" name="Picture 32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5960110" y="7256145"/>
          <a:ext cx="296545" cy="2857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54428</xdr:colOff>
      <xdr:row>14</xdr:row>
      <xdr:rowOff>68037</xdr:rowOff>
    </xdr:from>
    <xdr:to>
      <xdr:col>7</xdr:col>
      <xdr:colOff>491926</xdr:colOff>
      <xdr:row>14</xdr:row>
      <xdr:rowOff>449035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3750" y="6711315"/>
          <a:ext cx="43751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95251</xdr:colOff>
      <xdr:row>16</xdr:row>
      <xdr:rowOff>27214</xdr:rowOff>
    </xdr:from>
    <xdr:to>
      <xdr:col>7</xdr:col>
      <xdr:colOff>489858</xdr:colOff>
      <xdr:row>16</xdr:row>
      <xdr:rowOff>488695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5025" y="7684770"/>
          <a:ext cx="394335" cy="461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44823</xdr:colOff>
      <xdr:row>6</xdr:row>
      <xdr:rowOff>52729</xdr:rowOff>
    </xdr:from>
    <xdr:to>
      <xdr:col>7</xdr:col>
      <xdr:colOff>462070</xdr:colOff>
      <xdr:row>6</xdr:row>
      <xdr:rowOff>481852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4225" y="2637155"/>
          <a:ext cx="41719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78441</xdr:colOff>
      <xdr:row>7</xdr:row>
      <xdr:rowOff>37908</xdr:rowOff>
    </xdr:from>
    <xdr:to>
      <xdr:col>7</xdr:col>
      <xdr:colOff>491410</xdr:colOff>
      <xdr:row>7</xdr:row>
      <xdr:rowOff>462632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7880" y="3129280"/>
          <a:ext cx="41275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123265</xdr:colOff>
      <xdr:row>8</xdr:row>
      <xdr:rowOff>164700</xdr:rowOff>
    </xdr:from>
    <xdr:to>
      <xdr:col>7</xdr:col>
      <xdr:colOff>493058</xdr:colOff>
      <xdr:row>8</xdr:row>
      <xdr:rowOff>336176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2965" y="3763645"/>
          <a:ext cx="3695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112059</xdr:colOff>
      <xdr:row>9</xdr:row>
      <xdr:rowOff>94332</xdr:rowOff>
    </xdr:from>
    <xdr:to>
      <xdr:col>7</xdr:col>
      <xdr:colOff>448236</xdr:colOff>
      <xdr:row>9</xdr:row>
      <xdr:rowOff>463922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1535" y="4200525"/>
          <a:ext cx="33591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89648</xdr:colOff>
      <xdr:row>10</xdr:row>
      <xdr:rowOff>30344</xdr:rowOff>
    </xdr:from>
    <xdr:to>
      <xdr:col>7</xdr:col>
      <xdr:colOff>423624</xdr:colOff>
      <xdr:row>10</xdr:row>
      <xdr:rowOff>403411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9310" y="4643755"/>
          <a:ext cx="33401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56030</xdr:colOff>
      <xdr:row>11</xdr:row>
      <xdr:rowOff>26016</xdr:rowOff>
    </xdr:from>
    <xdr:to>
      <xdr:col>7</xdr:col>
      <xdr:colOff>542665</xdr:colOff>
      <xdr:row>11</xdr:row>
      <xdr:rowOff>336177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655" y="5146675"/>
          <a:ext cx="48641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44824</xdr:colOff>
      <xdr:row>12</xdr:row>
      <xdr:rowOff>56029</xdr:rowOff>
    </xdr:from>
    <xdr:to>
      <xdr:col>7</xdr:col>
      <xdr:colOff>527550</xdr:colOff>
      <xdr:row>12</xdr:row>
      <xdr:rowOff>425823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4225" y="5684520"/>
          <a:ext cx="4826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78443</xdr:colOff>
      <xdr:row>13</xdr:row>
      <xdr:rowOff>203595</xdr:rowOff>
    </xdr:from>
    <xdr:to>
      <xdr:col>7</xdr:col>
      <xdr:colOff>451689</xdr:colOff>
      <xdr:row>13</xdr:row>
      <xdr:rowOff>380999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7880" y="6339205"/>
          <a:ext cx="37338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111125</xdr:colOff>
      <xdr:row>13</xdr:row>
      <xdr:rowOff>64770</xdr:rowOff>
    </xdr:from>
    <xdr:to>
      <xdr:col>5</xdr:col>
      <xdr:colOff>454025</xdr:colOff>
      <xdr:row>13</xdr:row>
      <xdr:rowOff>433705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5560" y="5483225"/>
          <a:ext cx="34290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110490</xdr:colOff>
      <xdr:row>14</xdr:row>
      <xdr:rowOff>65405</xdr:rowOff>
    </xdr:from>
    <xdr:to>
      <xdr:col>5</xdr:col>
      <xdr:colOff>455930</xdr:colOff>
      <xdr:row>14</xdr:row>
      <xdr:rowOff>420370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44925" y="5991225"/>
          <a:ext cx="34544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81280</xdr:colOff>
      <xdr:row>15</xdr:row>
      <xdr:rowOff>75565</xdr:rowOff>
    </xdr:from>
    <xdr:to>
      <xdr:col>5</xdr:col>
      <xdr:colOff>413385</xdr:colOff>
      <xdr:row>15</xdr:row>
      <xdr:rowOff>414655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15715" y="6508750"/>
          <a:ext cx="3321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151765</xdr:colOff>
      <xdr:row>9</xdr:row>
      <xdr:rowOff>74295</xdr:rowOff>
    </xdr:from>
    <xdr:to>
      <xdr:col>5</xdr:col>
      <xdr:colOff>386080</xdr:colOff>
      <xdr:row>9</xdr:row>
      <xdr:rowOff>415290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86200" y="3463290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94615</xdr:colOff>
      <xdr:row>10</xdr:row>
      <xdr:rowOff>55880</xdr:rowOff>
    </xdr:from>
    <xdr:to>
      <xdr:col>5</xdr:col>
      <xdr:colOff>410845</xdr:colOff>
      <xdr:row>10</xdr:row>
      <xdr:rowOff>424815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29050" y="3952240"/>
          <a:ext cx="31623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143510</xdr:colOff>
      <xdr:row>11</xdr:row>
      <xdr:rowOff>54610</xdr:rowOff>
    </xdr:from>
    <xdr:to>
      <xdr:col>5</xdr:col>
      <xdr:colOff>363220</xdr:colOff>
      <xdr:row>11</xdr:row>
      <xdr:rowOff>410845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877945" y="4458335"/>
          <a:ext cx="21971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83820</xdr:colOff>
      <xdr:row>12</xdr:row>
      <xdr:rowOff>65405</xdr:rowOff>
    </xdr:from>
    <xdr:to>
      <xdr:col>5</xdr:col>
      <xdr:colOff>361315</xdr:colOff>
      <xdr:row>12</xdr:row>
      <xdr:rowOff>471805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18255" y="4976495"/>
          <a:ext cx="2774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72390</xdr:colOff>
      <xdr:row>16</xdr:row>
      <xdr:rowOff>92710</xdr:rowOff>
    </xdr:from>
    <xdr:to>
      <xdr:col>5</xdr:col>
      <xdr:colOff>412750</xdr:colOff>
      <xdr:row>16</xdr:row>
      <xdr:rowOff>389890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806825" y="7033260"/>
          <a:ext cx="34036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83820</xdr:colOff>
      <xdr:row>17</xdr:row>
      <xdr:rowOff>102870</xdr:rowOff>
    </xdr:from>
    <xdr:to>
      <xdr:col>5</xdr:col>
      <xdr:colOff>447040</xdr:colOff>
      <xdr:row>17</xdr:row>
      <xdr:rowOff>396240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818255" y="7550785"/>
          <a:ext cx="36322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74295</xdr:colOff>
      <xdr:row>18</xdr:row>
      <xdr:rowOff>75565</xdr:rowOff>
    </xdr:from>
    <xdr:to>
      <xdr:col>5</xdr:col>
      <xdr:colOff>424815</xdr:colOff>
      <xdr:row>18</xdr:row>
      <xdr:rowOff>420370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808730" y="8030845"/>
          <a:ext cx="35052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64770</xdr:colOff>
      <xdr:row>19</xdr:row>
      <xdr:rowOff>85725</xdr:rowOff>
    </xdr:from>
    <xdr:to>
      <xdr:col>5</xdr:col>
      <xdr:colOff>421005</xdr:colOff>
      <xdr:row>19</xdr:row>
      <xdr:rowOff>397510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799205" y="8548370"/>
          <a:ext cx="35623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83820</xdr:colOff>
      <xdr:row>20</xdr:row>
      <xdr:rowOff>122555</xdr:rowOff>
    </xdr:from>
    <xdr:to>
      <xdr:col>5</xdr:col>
      <xdr:colOff>419735</xdr:colOff>
      <xdr:row>20</xdr:row>
      <xdr:rowOff>358140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818255" y="9092565"/>
          <a:ext cx="33591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153035</xdr:colOff>
      <xdr:row>21</xdr:row>
      <xdr:rowOff>74930</xdr:rowOff>
    </xdr:from>
    <xdr:to>
      <xdr:col>5</xdr:col>
      <xdr:colOff>398780</xdr:colOff>
      <xdr:row>21</xdr:row>
      <xdr:rowOff>396240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887470" y="9552305"/>
          <a:ext cx="24574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143510</xdr:colOff>
      <xdr:row>22</xdr:row>
      <xdr:rowOff>46355</xdr:rowOff>
    </xdr:from>
    <xdr:to>
      <xdr:col>5</xdr:col>
      <xdr:colOff>428625</xdr:colOff>
      <xdr:row>22</xdr:row>
      <xdr:rowOff>377825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877945" y="10031095"/>
          <a:ext cx="28511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103505</xdr:colOff>
      <xdr:row>8</xdr:row>
      <xdr:rowOff>54610</xdr:rowOff>
    </xdr:from>
    <xdr:to>
      <xdr:col>5</xdr:col>
      <xdr:colOff>419100</xdr:colOff>
      <xdr:row>8</xdr:row>
      <xdr:rowOff>436245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837940" y="2936240"/>
          <a:ext cx="315595" cy="381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tabSelected="1" zoomScale="115" zoomScaleNormal="115" topLeftCell="I14" workbookViewId="0">
      <selection activeCell="N25" sqref="N25"/>
    </sheetView>
  </sheetViews>
  <sheetFormatPr defaultColWidth="9" defaultRowHeight="14.25"/>
  <cols>
    <col min="13" max="13" width="4.375" customWidth="1"/>
    <col min="14" max="14" width="9.99166666666667" customWidth="1"/>
    <col min="15" max="15" width="11.75" customWidth="1"/>
    <col min="16" max="16" width="19" customWidth="1"/>
    <col min="17" max="17" width="11.75" customWidth="1"/>
    <col min="18" max="18" width="8.875" customWidth="1"/>
    <col min="19" max="19" width="4.875" customWidth="1"/>
    <col min="21" max="21" width="12.625"/>
    <col min="22" max="22" width="14.125" customWidth="1"/>
    <col min="23" max="23" width="13.3583333333333" customWidth="1"/>
  </cols>
  <sheetData>
    <row r="1" spans="1:1">
      <c r="A1" t="s">
        <v>0</v>
      </c>
    </row>
    <row r="29" ht="19.5" customHeight="1" spans="14:24">
      <c r="N29" s="114" t="s">
        <v>1</v>
      </c>
      <c r="O29" s="114" t="s">
        <v>2</v>
      </c>
      <c r="P29" s="114" t="s">
        <v>3</v>
      </c>
      <c r="Q29" s="115" t="s">
        <v>4</v>
      </c>
      <c r="R29" s="114" t="s">
        <v>5</v>
      </c>
      <c r="S29" s="114" t="s">
        <v>6</v>
      </c>
      <c r="T29" s="114" t="s">
        <v>7</v>
      </c>
      <c r="U29" s="114" t="s">
        <v>8</v>
      </c>
      <c r="V29" s="114" t="s">
        <v>9</v>
      </c>
      <c r="W29" s="114" t="s">
        <v>10</v>
      </c>
      <c r="X29" s="114"/>
    </row>
    <row r="30" spans="14:24">
      <c r="N30" s="114" t="s">
        <v>11</v>
      </c>
      <c r="O30" s="114" t="s">
        <v>12</v>
      </c>
      <c r="P30" s="114" t="s">
        <v>13</v>
      </c>
      <c r="Q30" s="114">
        <v>6307</v>
      </c>
      <c r="R30" s="114">
        <f>Q30/5</f>
        <v>1261.4</v>
      </c>
      <c r="S30" s="114">
        <v>22.5</v>
      </c>
      <c r="T30" s="114">
        <f>5650+9040+15820</f>
        <v>30510</v>
      </c>
      <c r="U30" s="114">
        <f>'630'!H17</f>
        <v>18.0391585731277</v>
      </c>
      <c r="V30" s="114">
        <f>S30-U30</f>
        <v>4.46084142687233</v>
      </c>
      <c r="W30" s="114">
        <f>T30/V30/R30</f>
        <v>5.42216333171491</v>
      </c>
      <c r="X30" s="114" t="s">
        <v>14</v>
      </c>
    </row>
    <row r="31" spans="14:24">
      <c r="N31" s="114" t="s">
        <v>15</v>
      </c>
      <c r="O31" s="114" t="s">
        <v>16</v>
      </c>
      <c r="P31" s="114" t="s">
        <v>17</v>
      </c>
      <c r="Q31" s="114">
        <v>3677</v>
      </c>
      <c r="R31" s="114">
        <f>Q31/5</f>
        <v>735.4</v>
      </c>
      <c r="S31" s="114">
        <v>21</v>
      </c>
      <c r="T31" s="114">
        <f>5650+9040+15820</f>
        <v>30510</v>
      </c>
      <c r="U31" s="114">
        <f>'11290'!J19</f>
        <v>15.3838739146903</v>
      </c>
      <c r="V31" s="114">
        <f>S31-U31</f>
        <v>5.61612608530973</v>
      </c>
      <c r="W31" s="114">
        <f>T31/V31/R31</f>
        <v>7.3872319017922</v>
      </c>
      <c r="X31" s="114" t="s">
        <v>14</v>
      </c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opLeftCell="A13" workbookViewId="0">
      <selection activeCell="C33" sqref="C33:C39"/>
    </sheetView>
  </sheetViews>
  <sheetFormatPr defaultColWidth="9" defaultRowHeight="14.25" outlineLevelCol="2"/>
  <cols>
    <col min="1" max="1" width="18.25" customWidth="1"/>
  </cols>
  <sheetData>
    <row r="1" spans="1:2">
      <c r="A1" t="s">
        <v>18</v>
      </c>
      <c r="B1" t="s">
        <v>19</v>
      </c>
    </row>
    <row r="2" spans="1:3">
      <c r="A2" t="s">
        <v>20</v>
      </c>
      <c r="B2" t="s">
        <v>21</v>
      </c>
      <c r="C2" t="s">
        <v>22</v>
      </c>
    </row>
    <row r="3" spans="1:3">
      <c r="A3" t="s">
        <v>23</v>
      </c>
      <c r="B3">
        <v>100</v>
      </c>
      <c r="C3">
        <v>100</v>
      </c>
    </row>
    <row r="4" spans="1:3">
      <c r="A4" t="s">
        <v>24</v>
      </c>
      <c r="B4">
        <v>200</v>
      </c>
      <c r="C4">
        <v>200</v>
      </c>
    </row>
    <row r="5" spans="1:3">
      <c r="A5" t="s">
        <v>25</v>
      </c>
      <c r="B5">
        <v>60</v>
      </c>
      <c r="C5">
        <v>60</v>
      </c>
    </row>
    <row r="6" spans="1:3">
      <c r="A6" t="s">
        <v>26</v>
      </c>
      <c r="B6">
        <v>40</v>
      </c>
      <c r="C6">
        <v>40</v>
      </c>
    </row>
    <row r="7" spans="1:3">
      <c r="A7" t="s">
        <v>27</v>
      </c>
      <c r="B7">
        <v>70</v>
      </c>
      <c r="C7">
        <v>70</v>
      </c>
    </row>
    <row r="8" spans="1:3">
      <c r="A8" t="s">
        <v>28</v>
      </c>
      <c r="B8">
        <v>70</v>
      </c>
      <c r="C8">
        <v>70</v>
      </c>
    </row>
    <row r="9" spans="1:3">
      <c r="A9" t="s">
        <v>29</v>
      </c>
      <c r="B9">
        <v>90</v>
      </c>
      <c r="C9">
        <v>90</v>
      </c>
    </row>
    <row r="10" spans="1:3">
      <c r="A10" t="s">
        <v>30</v>
      </c>
      <c r="B10">
        <v>70</v>
      </c>
      <c r="C10">
        <v>70</v>
      </c>
    </row>
    <row r="11" spans="1:3">
      <c r="A11" t="s">
        <v>31</v>
      </c>
      <c r="B11">
        <v>65</v>
      </c>
      <c r="C11">
        <v>65</v>
      </c>
    </row>
    <row r="12" spans="1:3">
      <c r="A12" t="s">
        <v>32</v>
      </c>
      <c r="B12">
        <v>90</v>
      </c>
      <c r="C12">
        <v>90</v>
      </c>
    </row>
    <row r="13" spans="1:3">
      <c r="A13" t="s">
        <v>33</v>
      </c>
      <c r="B13">
        <v>120</v>
      </c>
      <c r="C13">
        <v>120</v>
      </c>
    </row>
    <row r="14" spans="1:3">
      <c r="A14" t="s">
        <v>34</v>
      </c>
      <c r="B14">
        <v>120</v>
      </c>
      <c r="C14">
        <v>120</v>
      </c>
    </row>
    <row r="15" spans="1:3">
      <c r="A15" t="s">
        <v>35</v>
      </c>
      <c r="B15">
        <v>120</v>
      </c>
      <c r="C15">
        <v>120</v>
      </c>
    </row>
    <row r="16" spans="1:3">
      <c r="A16" t="s">
        <v>36</v>
      </c>
      <c r="B16">
        <v>120</v>
      </c>
      <c r="C16">
        <v>120</v>
      </c>
    </row>
    <row r="17" spans="1:3">
      <c r="A17" t="s">
        <v>37</v>
      </c>
      <c r="B17">
        <v>119</v>
      </c>
      <c r="C17">
        <v>119</v>
      </c>
    </row>
    <row r="18" spans="1:3">
      <c r="A18" t="s">
        <v>38</v>
      </c>
      <c r="B18">
        <v>120</v>
      </c>
      <c r="C18">
        <v>120</v>
      </c>
    </row>
    <row r="19" spans="1:3">
      <c r="A19" t="s">
        <v>39</v>
      </c>
      <c r="B19">
        <v>140</v>
      </c>
      <c r="C19">
        <v>140</v>
      </c>
    </row>
    <row r="20" spans="1:3">
      <c r="A20" t="s">
        <v>40</v>
      </c>
      <c r="B20">
        <v>120</v>
      </c>
      <c r="C20">
        <v>120</v>
      </c>
    </row>
    <row r="21" spans="1:3">
      <c r="A21" t="s">
        <v>41</v>
      </c>
      <c r="B21">
        <v>110</v>
      </c>
      <c r="C21">
        <v>110</v>
      </c>
    </row>
    <row r="22" spans="1:3">
      <c r="A22" t="s">
        <v>42</v>
      </c>
      <c r="B22">
        <v>70</v>
      </c>
      <c r="C22">
        <v>70</v>
      </c>
    </row>
    <row r="23" spans="1:3">
      <c r="A23" t="s">
        <v>43</v>
      </c>
      <c r="B23">
        <v>100</v>
      </c>
      <c r="C23">
        <v>100</v>
      </c>
    </row>
    <row r="24" spans="1:3">
      <c r="A24" t="s">
        <v>44</v>
      </c>
      <c r="B24">
        <v>70</v>
      </c>
      <c r="C24">
        <v>70</v>
      </c>
    </row>
    <row r="25" spans="1:3">
      <c r="A25" t="s">
        <v>45</v>
      </c>
      <c r="B25">
        <v>63</v>
      </c>
      <c r="C25">
        <v>63</v>
      </c>
    </row>
    <row r="26" spans="1:3">
      <c r="A26" t="s">
        <v>46</v>
      </c>
      <c r="B26">
        <v>120</v>
      </c>
      <c r="C26">
        <v>120</v>
      </c>
    </row>
    <row r="27" spans="1:3">
      <c r="A27" t="s">
        <v>47</v>
      </c>
      <c r="B27">
        <v>120</v>
      </c>
      <c r="C27">
        <v>120</v>
      </c>
    </row>
    <row r="28" spans="1:3">
      <c r="A28" t="s">
        <v>48</v>
      </c>
      <c r="B28">
        <v>30</v>
      </c>
      <c r="C28">
        <v>30</v>
      </c>
    </row>
    <row r="29" spans="1:3">
      <c r="A29" t="s">
        <v>49</v>
      </c>
      <c r="B29">
        <v>200</v>
      </c>
      <c r="C29">
        <v>200</v>
      </c>
    </row>
    <row r="30" spans="1:3">
      <c r="A30" t="s">
        <v>50</v>
      </c>
      <c r="B30">
        <v>-240</v>
      </c>
      <c r="C30">
        <v>-240</v>
      </c>
    </row>
    <row r="31" spans="1:3">
      <c r="A31" t="s">
        <v>51</v>
      </c>
      <c r="B31">
        <v>-80</v>
      </c>
      <c r="C31">
        <v>-80</v>
      </c>
    </row>
    <row r="32" spans="1:3">
      <c r="A32" t="s">
        <v>52</v>
      </c>
      <c r="B32">
        <v>98</v>
      </c>
      <c r="C32">
        <v>98</v>
      </c>
    </row>
    <row r="33" spans="1:3">
      <c r="A33" t="s">
        <v>53</v>
      </c>
      <c r="B33">
        <v>200</v>
      </c>
      <c r="C33">
        <v>200</v>
      </c>
    </row>
    <row r="34" spans="1:3">
      <c r="A34" t="s">
        <v>54</v>
      </c>
      <c r="B34">
        <v>80</v>
      </c>
      <c r="C34">
        <v>80</v>
      </c>
    </row>
    <row r="35" spans="1:3">
      <c r="A35" t="s">
        <v>55</v>
      </c>
      <c r="B35">
        <v>110</v>
      </c>
      <c r="C35">
        <v>110</v>
      </c>
    </row>
    <row r="36" spans="1:3">
      <c r="A36" t="s">
        <v>56</v>
      </c>
      <c r="B36">
        <v>200</v>
      </c>
      <c r="C36">
        <v>200</v>
      </c>
    </row>
    <row r="37" spans="1:3">
      <c r="A37" t="s">
        <v>57</v>
      </c>
      <c r="B37">
        <v>51</v>
      </c>
      <c r="C37">
        <v>51</v>
      </c>
    </row>
    <row r="38" spans="1:3">
      <c r="A38" t="s">
        <v>58</v>
      </c>
      <c r="B38">
        <v>150</v>
      </c>
      <c r="C38">
        <v>150</v>
      </c>
    </row>
    <row r="39" spans="1:3">
      <c r="A39" t="s">
        <v>59</v>
      </c>
      <c r="B39">
        <v>180</v>
      </c>
      <c r="C39">
        <v>180</v>
      </c>
    </row>
    <row r="40" spans="1:3">
      <c r="A40" t="s">
        <v>60</v>
      </c>
      <c r="B40">
        <v>211</v>
      </c>
      <c r="C40">
        <v>211</v>
      </c>
    </row>
    <row r="41" spans="1:3">
      <c r="A41" t="s">
        <v>22</v>
      </c>
      <c r="B41">
        <v>3677</v>
      </c>
      <c r="C41">
        <v>3677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opLeftCell="A55" workbookViewId="0">
      <selection activeCell="C55" sqref="C55:C61"/>
    </sheetView>
  </sheetViews>
  <sheetFormatPr defaultColWidth="9" defaultRowHeight="14.25" outlineLevelCol="2"/>
  <sheetData>
    <row r="1" spans="1:2">
      <c r="A1" t="s">
        <v>18</v>
      </c>
      <c r="B1" t="s">
        <v>3</v>
      </c>
    </row>
    <row r="2" spans="1:3">
      <c r="A2" t="s">
        <v>61</v>
      </c>
      <c r="B2" t="s">
        <v>21</v>
      </c>
      <c r="C2" t="s">
        <v>22</v>
      </c>
    </row>
    <row r="3" spans="1:3">
      <c r="A3" t="s">
        <v>62</v>
      </c>
      <c r="B3">
        <v>49</v>
      </c>
      <c r="C3">
        <v>49</v>
      </c>
    </row>
    <row r="4" spans="1:3">
      <c r="A4" t="s">
        <v>63</v>
      </c>
      <c r="B4">
        <v>140</v>
      </c>
      <c r="C4">
        <v>140</v>
      </c>
    </row>
    <row r="5" spans="1:3">
      <c r="A5" t="s">
        <v>64</v>
      </c>
      <c r="B5">
        <v>213</v>
      </c>
      <c r="C5">
        <v>213</v>
      </c>
    </row>
    <row r="6" spans="1:3">
      <c r="A6" t="s">
        <v>65</v>
      </c>
      <c r="B6">
        <v>147</v>
      </c>
      <c r="C6">
        <v>147</v>
      </c>
    </row>
    <row r="7" spans="1:3">
      <c r="A7" t="s">
        <v>66</v>
      </c>
      <c r="B7">
        <v>160</v>
      </c>
      <c r="C7">
        <v>160</v>
      </c>
    </row>
    <row r="8" spans="1:3">
      <c r="A8" t="s">
        <v>67</v>
      </c>
      <c r="B8">
        <v>100</v>
      </c>
      <c r="C8">
        <v>100</v>
      </c>
    </row>
    <row r="9" spans="1:3">
      <c r="A9" t="s">
        <v>68</v>
      </c>
      <c r="B9">
        <v>155</v>
      </c>
      <c r="C9">
        <v>155</v>
      </c>
    </row>
    <row r="10" spans="1:3">
      <c r="A10" t="s">
        <v>69</v>
      </c>
      <c r="B10">
        <v>110</v>
      </c>
      <c r="C10">
        <v>110</v>
      </c>
    </row>
    <row r="11" spans="1:3">
      <c r="A11" t="s">
        <v>25</v>
      </c>
      <c r="B11">
        <v>80</v>
      </c>
      <c r="C11">
        <v>80</v>
      </c>
    </row>
    <row r="12" spans="1:3">
      <c r="A12" t="s">
        <v>26</v>
      </c>
      <c r="B12">
        <v>45</v>
      </c>
      <c r="C12">
        <v>45</v>
      </c>
    </row>
    <row r="13" spans="1:3">
      <c r="A13" t="s">
        <v>27</v>
      </c>
      <c r="B13">
        <v>120</v>
      </c>
      <c r="C13">
        <v>120</v>
      </c>
    </row>
    <row r="14" spans="1:3">
      <c r="A14" t="s">
        <v>70</v>
      </c>
      <c r="B14">
        <v>120</v>
      </c>
      <c r="C14">
        <v>120</v>
      </c>
    </row>
    <row r="15" spans="1:3">
      <c r="A15" t="s">
        <v>28</v>
      </c>
      <c r="B15">
        <v>56</v>
      </c>
      <c r="C15">
        <v>56</v>
      </c>
    </row>
    <row r="16" spans="1:3">
      <c r="A16" t="s">
        <v>29</v>
      </c>
      <c r="B16">
        <v>118</v>
      </c>
      <c r="C16">
        <v>118</v>
      </c>
    </row>
    <row r="17" spans="1:3">
      <c r="A17" t="s">
        <v>30</v>
      </c>
      <c r="B17">
        <v>100</v>
      </c>
      <c r="C17">
        <v>100</v>
      </c>
    </row>
    <row r="18" spans="1:3">
      <c r="A18" t="s">
        <v>71</v>
      </c>
      <c r="B18">
        <v>60</v>
      </c>
      <c r="C18">
        <v>60</v>
      </c>
    </row>
    <row r="19" spans="1:3">
      <c r="A19" t="s">
        <v>72</v>
      </c>
      <c r="B19">
        <v>57</v>
      </c>
      <c r="C19">
        <v>57</v>
      </c>
    </row>
    <row r="20" spans="1:3">
      <c r="A20" t="s">
        <v>73</v>
      </c>
      <c r="B20">
        <v>100</v>
      </c>
      <c r="C20">
        <v>100</v>
      </c>
    </row>
    <row r="21" spans="1:3">
      <c r="A21" t="s">
        <v>33</v>
      </c>
      <c r="B21">
        <v>96</v>
      </c>
      <c r="C21">
        <v>96</v>
      </c>
    </row>
    <row r="22" spans="1:3">
      <c r="A22" t="s">
        <v>35</v>
      </c>
      <c r="B22">
        <v>100</v>
      </c>
      <c r="C22">
        <v>100</v>
      </c>
    </row>
    <row r="23" spans="1:3">
      <c r="A23" t="s">
        <v>36</v>
      </c>
      <c r="B23">
        <v>100</v>
      </c>
      <c r="C23">
        <v>100</v>
      </c>
    </row>
    <row r="24" spans="1:3">
      <c r="A24" t="s">
        <v>38</v>
      </c>
      <c r="B24">
        <v>30</v>
      </c>
      <c r="C24">
        <v>30</v>
      </c>
    </row>
    <row r="25" spans="1:3">
      <c r="A25" t="s">
        <v>39</v>
      </c>
      <c r="B25">
        <v>120</v>
      </c>
      <c r="C25">
        <v>120</v>
      </c>
    </row>
    <row r="26" spans="1:3">
      <c r="A26" t="s">
        <v>74</v>
      </c>
      <c r="B26">
        <v>180</v>
      </c>
      <c r="C26">
        <v>180</v>
      </c>
    </row>
    <row r="27" spans="1:3">
      <c r="A27" t="s">
        <v>75</v>
      </c>
      <c r="B27">
        <v>130</v>
      </c>
      <c r="C27">
        <v>130</v>
      </c>
    </row>
    <row r="28" spans="1:3">
      <c r="A28" t="s">
        <v>76</v>
      </c>
      <c r="B28">
        <v>132</v>
      </c>
      <c r="C28">
        <v>132</v>
      </c>
    </row>
    <row r="29" spans="1:3">
      <c r="A29" t="s">
        <v>77</v>
      </c>
      <c r="B29">
        <v>165</v>
      </c>
      <c r="C29">
        <v>165</v>
      </c>
    </row>
    <row r="30" spans="1:3">
      <c r="A30" t="s">
        <v>78</v>
      </c>
      <c r="B30">
        <v>70</v>
      </c>
      <c r="C30">
        <v>70</v>
      </c>
    </row>
    <row r="31" spans="1:3">
      <c r="A31" t="s">
        <v>79</v>
      </c>
      <c r="B31">
        <v>29</v>
      </c>
      <c r="C31">
        <v>29</v>
      </c>
    </row>
    <row r="32" spans="1:3">
      <c r="A32" t="s">
        <v>80</v>
      </c>
      <c r="B32">
        <v>160</v>
      </c>
      <c r="C32">
        <v>160</v>
      </c>
    </row>
    <row r="33" spans="1:3">
      <c r="A33" t="s">
        <v>81</v>
      </c>
      <c r="B33">
        <v>105</v>
      </c>
      <c r="C33">
        <v>105</v>
      </c>
    </row>
    <row r="34" spans="1:3">
      <c r="A34" t="s">
        <v>82</v>
      </c>
      <c r="B34">
        <v>150</v>
      </c>
      <c r="C34">
        <v>150</v>
      </c>
    </row>
    <row r="35" spans="1:3">
      <c r="A35" t="s">
        <v>83</v>
      </c>
      <c r="B35">
        <v>65</v>
      </c>
      <c r="C35">
        <v>65</v>
      </c>
    </row>
    <row r="36" spans="1:3">
      <c r="A36" t="s">
        <v>84</v>
      </c>
      <c r="B36">
        <v>100</v>
      </c>
      <c r="C36">
        <v>100</v>
      </c>
    </row>
    <row r="37" spans="1:3">
      <c r="A37" t="s">
        <v>85</v>
      </c>
      <c r="B37">
        <v>120</v>
      </c>
      <c r="C37">
        <v>120</v>
      </c>
    </row>
    <row r="38" spans="1:3">
      <c r="A38" t="s">
        <v>86</v>
      </c>
      <c r="B38">
        <v>140</v>
      </c>
      <c r="C38">
        <v>140</v>
      </c>
    </row>
    <row r="39" spans="1:3">
      <c r="A39" t="s">
        <v>43</v>
      </c>
      <c r="B39">
        <v>100</v>
      </c>
      <c r="C39">
        <v>100</v>
      </c>
    </row>
    <row r="40" spans="1:3">
      <c r="A40" t="s">
        <v>45</v>
      </c>
      <c r="B40">
        <v>40</v>
      </c>
      <c r="C40">
        <v>40</v>
      </c>
    </row>
    <row r="41" spans="1:3">
      <c r="A41" t="s">
        <v>46</v>
      </c>
      <c r="B41">
        <v>90</v>
      </c>
      <c r="C41">
        <v>90</v>
      </c>
    </row>
    <row r="42" spans="1:3">
      <c r="A42" t="s">
        <v>47</v>
      </c>
      <c r="B42">
        <v>90</v>
      </c>
      <c r="C42">
        <v>90</v>
      </c>
    </row>
    <row r="43" spans="1:3">
      <c r="A43" t="s">
        <v>87</v>
      </c>
      <c r="B43">
        <v>175</v>
      </c>
      <c r="C43">
        <v>175</v>
      </c>
    </row>
    <row r="44" spans="1:3">
      <c r="A44" t="s">
        <v>88</v>
      </c>
      <c r="B44">
        <v>80</v>
      </c>
      <c r="C44">
        <v>80</v>
      </c>
    </row>
    <row r="45" spans="1:3">
      <c r="A45" t="s">
        <v>89</v>
      </c>
      <c r="B45">
        <v>120</v>
      </c>
      <c r="C45">
        <v>120</v>
      </c>
    </row>
    <row r="46" spans="1:3">
      <c r="A46" t="s">
        <v>90</v>
      </c>
      <c r="B46">
        <v>120</v>
      </c>
      <c r="C46">
        <v>120</v>
      </c>
    </row>
    <row r="47" spans="1:3">
      <c r="A47" t="s">
        <v>91</v>
      </c>
      <c r="B47">
        <v>39</v>
      </c>
      <c r="C47">
        <v>39</v>
      </c>
    </row>
    <row r="48" spans="1:3">
      <c r="A48" t="s">
        <v>92</v>
      </c>
      <c r="B48">
        <v>-5</v>
      </c>
      <c r="C48">
        <v>-5</v>
      </c>
    </row>
    <row r="49" spans="1:3">
      <c r="A49" t="s">
        <v>93</v>
      </c>
      <c r="B49">
        <v>120</v>
      </c>
      <c r="C49">
        <v>120</v>
      </c>
    </row>
    <row r="50" spans="1:3">
      <c r="A50" t="s">
        <v>50</v>
      </c>
      <c r="B50">
        <v>120</v>
      </c>
      <c r="C50">
        <v>120</v>
      </c>
    </row>
    <row r="51" spans="1:3">
      <c r="A51" t="s">
        <v>51</v>
      </c>
      <c r="B51">
        <v>-3</v>
      </c>
      <c r="C51">
        <v>-3</v>
      </c>
    </row>
    <row r="52" spans="1:3">
      <c r="A52" t="s">
        <v>94</v>
      </c>
      <c r="B52">
        <v>200</v>
      </c>
      <c r="C52">
        <v>200</v>
      </c>
    </row>
    <row r="53" spans="1:3">
      <c r="A53" t="s">
        <v>95</v>
      </c>
      <c r="B53">
        <v>100</v>
      </c>
      <c r="C53">
        <v>100</v>
      </c>
    </row>
    <row r="54" spans="1:3">
      <c r="A54" t="s">
        <v>96</v>
      </c>
      <c r="B54">
        <v>120</v>
      </c>
      <c r="C54">
        <v>120</v>
      </c>
    </row>
    <row r="55" spans="1:3">
      <c r="A55" t="s">
        <v>97</v>
      </c>
      <c r="B55">
        <v>120</v>
      </c>
      <c r="C55">
        <v>120</v>
      </c>
    </row>
    <row r="56" spans="1:3">
      <c r="A56" t="s">
        <v>98</v>
      </c>
      <c r="B56">
        <v>-7</v>
      </c>
      <c r="C56">
        <v>-7</v>
      </c>
    </row>
    <row r="57" spans="1:3">
      <c r="A57" t="s">
        <v>54</v>
      </c>
      <c r="B57">
        <v>100</v>
      </c>
      <c r="C57">
        <v>100</v>
      </c>
    </row>
    <row r="58" spans="1:3">
      <c r="A58" t="s">
        <v>55</v>
      </c>
      <c r="B58">
        <v>100</v>
      </c>
      <c r="C58">
        <v>100</v>
      </c>
    </row>
    <row r="59" spans="1:3">
      <c r="A59" t="s">
        <v>56</v>
      </c>
      <c r="B59">
        <v>106</v>
      </c>
      <c r="C59">
        <v>106</v>
      </c>
    </row>
    <row r="60" spans="1:3">
      <c r="A60" t="s">
        <v>57</v>
      </c>
      <c r="B60">
        <v>100</v>
      </c>
      <c r="C60">
        <v>100</v>
      </c>
    </row>
    <row r="61" spans="1:3">
      <c r="A61" t="s">
        <v>59</v>
      </c>
      <c r="B61">
        <v>120</v>
      </c>
      <c r="C61">
        <v>120</v>
      </c>
    </row>
    <row r="62" spans="1:3">
      <c r="A62" t="s">
        <v>99</v>
      </c>
      <c r="B62">
        <v>120</v>
      </c>
      <c r="C62">
        <v>120</v>
      </c>
    </row>
    <row r="63" spans="1:3">
      <c r="A63" t="s">
        <v>60</v>
      </c>
      <c r="B63">
        <v>120</v>
      </c>
      <c r="C63">
        <v>120</v>
      </c>
    </row>
    <row r="64" spans="1:3">
      <c r="A64" t="s">
        <v>22</v>
      </c>
      <c r="B64">
        <v>6307</v>
      </c>
      <c r="C64">
        <v>6307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5:H17"/>
  <sheetViews>
    <sheetView workbookViewId="0">
      <selection activeCell="E15" sqref="E15:H17"/>
    </sheetView>
  </sheetViews>
  <sheetFormatPr defaultColWidth="9" defaultRowHeight="14.25" outlineLevelCol="7"/>
  <cols>
    <col min="8" max="8" width="12.625"/>
  </cols>
  <sheetData>
    <row r="15" spans="5:8">
      <c r="E15" t="s">
        <v>100</v>
      </c>
      <c r="F15">
        <f>0.027+0.027+0.065+0.05+0.044+0.046+0.106+0.192+0.19+0.199+0.329+0.317</f>
        <v>1.592</v>
      </c>
      <c r="G15" t="s">
        <v>101</v>
      </c>
      <c r="H15">
        <f>F15*9/1.13</f>
        <v>12.6796460176991</v>
      </c>
    </row>
    <row r="16" spans="5:8">
      <c r="E16" t="s">
        <v>102</v>
      </c>
      <c r="H16">
        <f>'630自制成本'!Z24</f>
        <v>5.35951255542857</v>
      </c>
    </row>
    <row r="17" spans="5:8">
      <c r="E17" t="s">
        <v>103</v>
      </c>
      <c r="H17">
        <f>H15+H16</f>
        <v>18.0391585731277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7:J19"/>
  <sheetViews>
    <sheetView workbookViewId="0">
      <selection activeCell="J22" sqref="J22"/>
    </sheetView>
  </sheetViews>
  <sheetFormatPr defaultColWidth="9" defaultRowHeight="14.25"/>
  <cols>
    <col min="10" max="10" width="12.625"/>
  </cols>
  <sheetData>
    <row r="17" spans="7:10">
      <c r="G17" t="s">
        <v>100</v>
      </c>
      <c r="H17">
        <f>0.069+0.043+0.32+0.306+0.106+0.048+0.055+0.127+0.039+0.127</f>
        <v>1.24</v>
      </c>
      <c r="I17" t="s">
        <v>101</v>
      </c>
      <c r="J17">
        <f>H17*9/1.13</f>
        <v>9.87610619469027</v>
      </c>
    </row>
    <row r="18" spans="7:10">
      <c r="G18" t="s">
        <v>102</v>
      </c>
      <c r="J18">
        <f>'11290自制成本'!AC19</f>
        <v>5.50776772</v>
      </c>
    </row>
    <row r="19" spans="7:10">
      <c r="G19" t="s">
        <v>103</v>
      </c>
      <c r="J19">
        <f>J17+J18</f>
        <v>15.3838739146903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9"/>
  <sheetViews>
    <sheetView zoomScale="55" zoomScaleNormal="55" workbookViewId="0">
      <selection activeCell="AE16" sqref="AE16"/>
    </sheetView>
  </sheetViews>
  <sheetFormatPr defaultColWidth="9" defaultRowHeight="17.25"/>
  <cols>
    <col min="1" max="1" width="4.5" style="1" customWidth="1"/>
    <col min="2" max="2" width="11.75" style="1" customWidth="1"/>
    <col min="3" max="3" width="12.25" style="65" customWidth="1"/>
    <col min="4" max="4" width="23.125" style="4" customWidth="1"/>
    <col min="5" max="5" width="14.125" style="4" customWidth="1"/>
    <col min="6" max="6" width="5.375" style="1" customWidth="1"/>
    <col min="7" max="7" width="5.25" style="1" customWidth="1"/>
    <col min="8" max="8" width="7.375" style="1" customWidth="1"/>
    <col min="9" max="9" width="6.125" style="6" customWidth="1"/>
    <col min="10" max="10" width="8.625" style="6" customWidth="1"/>
    <col min="11" max="12" width="12" style="6" customWidth="1"/>
    <col min="13" max="13" width="10.5" style="66" customWidth="1"/>
    <col min="14" max="14" width="9.625" style="67" customWidth="1"/>
    <col min="15" max="15" width="7.125" style="68" customWidth="1"/>
    <col min="16" max="16" width="5.875" style="1" customWidth="1"/>
    <col min="17" max="17" width="11" style="1" customWidth="1"/>
    <col min="18" max="24" width="9" style="1" customWidth="1"/>
    <col min="25" max="25" width="7.25" style="1" customWidth="1"/>
    <col min="26" max="26" width="10" style="1" customWidth="1"/>
    <col min="27" max="27" width="18.625" style="21" customWidth="1"/>
    <col min="28" max="28" width="11.625" style="1"/>
    <col min="29" max="29" width="12.875" style="1"/>
    <col min="30" max="16384" width="9" style="1"/>
  </cols>
  <sheetData>
    <row r="1" s="1" customFormat="1" ht="33.75" customHeight="1" spans="1:27">
      <c r="A1" s="12"/>
      <c r="B1" s="12"/>
      <c r="C1" s="69"/>
      <c r="D1" s="13"/>
      <c r="E1" s="14" t="s">
        <v>104</v>
      </c>
      <c r="F1" s="14"/>
      <c r="G1" s="14"/>
      <c r="H1" s="14"/>
      <c r="I1" s="14"/>
      <c r="J1" s="14"/>
      <c r="K1" s="14"/>
      <c r="L1" s="14"/>
      <c r="M1" s="82"/>
      <c r="N1" s="82"/>
      <c r="O1" s="83"/>
      <c r="P1" s="14"/>
      <c r="Q1" s="14"/>
      <c r="R1" s="14"/>
      <c r="S1" s="14"/>
      <c r="T1" s="14"/>
      <c r="U1" s="14"/>
      <c r="V1" s="14"/>
      <c r="W1" s="14"/>
      <c r="X1" s="14"/>
      <c r="Y1" s="14"/>
      <c r="Z1" s="105"/>
      <c r="AA1" s="64"/>
    </row>
    <row r="2" s="1" customFormat="1" ht="24.95" customHeight="1" spans="1:29">
      <c r="A2" s="19" t="s">
        <v>0</v>
      </c>
      <c r="B2" s="20" t="s">
        <v>105</v>
      </c>
      <c r="C2" s="70" t="s">
        <v>106</v>
      </c>
      <c r="D2" s="71" t="s">
        <v>107</v>
      </c>
      <c r="E2" s="72" t="s">
        <v>108</v>
      </c>
      <c r="F2" s="71" t="s">
        <v>109</v>
      </c>
      <c r="G2" s="71" t="s">
        <v>110</v>
      </c>
      <c r="H2" s="71" t="s">
        <v>111</v>
      </c>
      <c r="I2" s="70" t="s">
        <v>112</v>
      </c>
      <c r="J2" s="84" t="s">
        <v>113</v>
      </c>
      <c r="K2" s="85" t="s">
        <v>114</v>
      </c>
      <c r="L2" s="85" t="s">
        <v>115</v>
      </c>
      <c r="M2" s="85" t="s">
        <v>116</v>
      </c>
      <c r="N2" s="86" t="s">
        <v>117</v>
      </c>
      <c r="O2" s="87" t="s">
        <v>118</v>
      </c>
      <c r="P2" s="86" t="s">
        <v>119</v>
      </c>
      <c r="Q2" s="95" t="s">
        <v>120</v>
      </c>
      <c r="R2" s="96" t="s">
        <v>121</v>
      </c>
      <c r="S2" s="97"/>
      <c r="T2" s="98"/>
      <c r="U2" s="99" t="s">
        <v>122</v>
      </c>
      <c r="V2" s="100" t="s">
        <v>123</v>
      </c>
      <c r="W2" s="99" t="s">
        <v>124</v>
      </c>
      <c r="X2" s="99" t="s">
        <v>125</v>
      </c>
      <c r="Y2" s="106" t="s">
        <v>126</v>
      </c>
      <c r="Z2" s="107" t="s">
        <v>127</v>
      </c>
      <c r="AA2" s="108" t="s">
        <v>128</v>
      </c>
      <c r="AB2" s="21" t="s">
        <v>129</v>
      </c>
      <c r="AC2" s="21" t="s">
        <v>130</v>
      </c>
    </row>
    <row r="3" s="2" customFormat="1" ht="24.95" customHeight="1" spans="1:29">
      <c r="A3" s="19"/>
      <c r="B3" s="25"/>
      <c r="C3" s="70"/>
      <c r="D3" s="71"/>
      <c r="E3" s="72"/>
      <c r="F3" s="71"/>
      <c r="G3" s="71"/>
      <c r="H3" s="71"/>
      <c r="I3" s="70"/>
      <c r="J3" s="84"/>
      <c r="K3" s="85"/>
      <c r="L3" s="85"/>
      <c r="M3" s="85"/>
      <c r="N3" s="86"/>
      <c r="O3" s="88"/>
      <c r="P3" s="86"/>
      <c r="Q3" s="101"/>
      <c r="R3" s="99" t="s">
        <v>131</v>
      </c>
      <c r="S3" s="99" t="s">
        <v>132</v>
      </c>
      <c r="T3" s="99" t="s">
        <v>133</v>
      </c>
      <c r="U3" s="99"/>
      <c r="V3" s="102"/>
      <c r="W3" s="99"/>
      <c r="X3" s="99"/>
      <c r="Y3" s="106"/>
      <c r="Z3" s="107"/>
      <c r="AA3" s="108"/>
      <c r="AB3" s="21"/>
      <c r="AC3" s="21"/>
    </row>
    <row r="4" s="1" customFormat="1" ht="39.95" customHeight="1" spans="1:29">
      <c r="A4" s="73">
        <f t="shared" ref="A4:A18" si="0">ROW(4:4)-8</f>
        <v>-4</v>
      </c>
      <c r="B4" s="74" t="s">
        <v>16</v>
      </c>
      <c r="C4" s="74" t="s">
        <v>16</v>
      </c>
      <c r="D4" s="75" t="s">
        <v>134</v>
      </c>
      <c r="E4" s="76" t="s">
        <v>135</v>
      </c>
      <c r="F4" s="73" t="s">
        <v>136</v>
      </c>
      <c r="G4" s="77" t="s">
        <v>137</v>
      </c>
      <c r="H4" s="70"/>
      <c r="I4" s="70" t="s">
        <v>136</v>
      </c>
      <c r="J4" s="77" t="s">
        <v>138</v>
      </c>
      <c r="K4" s="74" t="s">
        <v>139</v>
      </c>
      <c r="L4" s="74"/>
      <c r="M4" s="74" t="s">
        <v>140</v>
      </c>
      <c r="N4" s="74"/>
      <c r="O4" s="89">
        <f>O5+O6+O7+O8+O9*AA9+O10+O11+O12+O13+O14+O15*AA15+O18*AA18</f>
        <v>1.3916</v>
      </c>
      <c r="P4" s="70"/>
      <c r="Q4" s="70"/>
      <c r="R4" s="84"/>
      <c r="S4" s="84"/>
      <c r="T4" s="84"/>
      <c r="U4" s="84"/>
      <c r="V4" s="84"/>
      <c r="W4" s="84" t="s">
        <v>141</v>
      </c>
      <c r="X4" s="84" t="s">
        <v>142</v>
      </c>
      <c r="Y4" s="109">
        <f>W4*0.07+X4*14</f>
        <v>2.184</v>
      </c>
      <c r="Z4" s="107"/>
      <c r="AA4" s="110">
        <v>1</v>
      </c>
      <c r="AB4" s="21">
        <f>Y4*AA4</f>
        <v>2.184</v>
      </c>
      <c r="AC4" s="21">
        <f t="shared" ref="AC4:AC19" si="1">AB4*1.3</f>
        <v>2.8392</v>
      </c>
    </row>
    <row r="5" s="1" customFormat="1" ht="39.95" customHeight="1" spans="1:29">
      <c r="A5" s="73">
        <f t="shared" si="0"/>
        <v>-3</v>
      </c>
      <c r="B5" s="71"/>
      <c r="C5" s="46" t="s">
        <v>143</v>
      </c>
      <c r="D5" s="75" t="s">
        <v>144</v>
      </c>
      <c r="E5" s="27" t="s">
        <v>145</v>
      </c>
      <c r="F5" s="73" t="s">
        <v>136</v>
      </c>
      <c r="G5" s="28" t="s">
        <v>137</v>
      </c>
      <c r="H5" s="21"/>
      <c r="I5" s="23" t="s">
        <v>136</v>
      </c>
      <c r="J5" s="77" t="s">
        <v>146</v>
      </c>
      <c r="K5" s="29" t="s">
        <v>147</v>
      </c>
      <c r="L5" s="29"/>
      <c r="M5" s="46" t="s">
        <v>148</v>
      </c>
      <c r="N5" s="46" t="s">
        <v>140</v>
      </c>
      <c r="O5" s="90">
        <v>0.0685</v>
      </c>
      <c r="P5" s="21" t="s">
        <v>140</v>
      </c>
      <c r="Q5" s="21" t="s">
        <v>149</v>
      </c>
      <c r="R5" s="24">
        <v>444.805194805195</v>
      </c>
      <c r="S5" s="24">
        <v>5</v>
      </c>
      <c r="T5" s="24"/>
      <c r="U5" s="24">
        <v>0.0685</v>
      </c>
      <c r="V5" s="103">
        <v>1</v>
      </c>
      <c r="W5" s="24"/>
      <c r="X5" s="24"/>
      <c r="Y5" s="111"/>
      <c r="Z5" s="60"/>
      <c r="AA5" s="112">
        <v>1</v>
      </c>
      <c r="AB5" s="21"/>
      <c r="AC5" s="21">
        <f t="shared" si="1"/>
        <v>0</v>
      </c>
    </row>
    <row r="6" s="1" customFormat="1" ht="39.95" customHeight="1" spans="1:29">
      <c r="A6" s="73">
        <f t="shared" si="0"/>
        <v>-2</v>
      </c>
      <c r="B6" s="71"/>
      <c r="C6" s="46" t="s">
        <v>150</v>
      </c>
      <c r="D6" s="26" t="s">
        <v>151</v>
      </c>
      <c r="E6" s="27" t="s">
        <v>145</v>
      </c>
      <c r="F6" s="73" t="s">
        <v>136</v>
      </c>
      <c r="G6" s="28" t="s">
        <v>137</v>
      </c>
      <c r="H6" s="29"/>
      <c r="I6" s="23" t="s">
        <v>136</v>
      </c>
      <c r="J6" s="77" t="s">
        <v>146</v>
      </c>
      <c r="K6" s="29" t="s">
        <v>147</v>
      </c>
      <c r="L6" s="29"/>
      <c r="M6" s="46" t="s">
        <v>148</v>
      </c>
      <c r="N6" s="46" t="s">
        <v>140</v>
      </c>
      <c r="O6" s="90">
        <v>0.0431</v>
      </c>
      <c r="P6" s="21" t="s">
        <v>140</v>
      </c>
      <c r="Q6" s="21" t="s">
        <v>149</v>
      </c>
      <c r="R6" s="24">
        <v>279.87012987013</v>
      </c>
      <c r="S6" s="24">
        <v>5</v>
      </c>
      <c r="T6" s="24"/>
      <c r="U6" s="24">
        <v>0.0431</v>
      </c>
      <c r="V6" s="103">
        <v>1</v>
      </c>
      <c r="W6" s="24"/>
      <c r="X6" s="24"/>
      <c r="Y6" s="111"/>
      <c r="Z6" s="60"/>
      <c r="AA6" s="112">
        <v>1</v>
      </c>
      <c r="AB6" s="21"/>
      <c r="AC6" s="21">
        <f t="shared" si="1"/>
        <v>0</v>
      </c>
    </row>
    <row r="7" s="1" customFormat="1" ht="39.95" customHeight="1" spans="1:29">
      <c r="A7" s="73">
        <f t="shared" si="0"/>
        <v>-1</v>
      </c>
      <c r="B7" s="71"/>
      <c r="C7" s="46" t="s">
        <v>152</v>
      </c>
      <c r="D7" s="26" t="s">
        <v>153</v>
      </c>
      <c r="E7" s="27" t="s">
        <v>135</v>
      </c>
      <c r="F7" s="73" t="s">
        <v>136</v>
      </c>
      <c r="G7" s="28" t="s">
        <v>137</v>
      </c>
      <c r="H7" s="29"/>
      <c r="I7" s="23" t="s">
        <v>136</v>
      </c>
      <c r="J7" s="77" t="s">
        <v>146</v>
      </c>
      <c r="K7" s="29" t="s">
        <v>154</v>
      </c>
      <c r="L7" s="29"/>
      <c r="M7" s="46" t="s">
        <v>148</v>
      </c>
      <c r="N7" s="46" t="s">
        <v>140</v>
      </c>
      <c r="O7" s="90">
        <v>0.32</v>
      </c>
      <c r="P7" s="21"/>
      <c r="Q7" s="21" t="s">
        <v>149</v>
      </c>
      <c r="R7" s="24">
        <v>810.126582278481</v>
      </c>
      <c r="S7" s="24">
        <v>8</v>
      </c>
      <c r="T7" s="24"/>
      <c r="U7" s="24">
        <v>0.32</v>
      </c>
      <c r="V7" s="103">
        <v>1</v>
      </c>
      <c r="W7" s="24"/>
      <c r="X7" s="24"/>
      <c r="Y7" s="111"/>
      <c r="Z7" s="113"/>
      <c r="AA7" s="112">
        <v>1</v>
      </c>
      <c r="AB7" s="21"/>
      <c r="AC7" s="21">
        <f t="shared" si="1"/>
        <v>0</v>
      </c>
    </row>
    <row r="8" s="1" customFormat="1" ht="39.95" customHeight="1" spans="1:29">
      <c r="A8" s="73">
        <f t="shared" si="0"/>
        <v>0</v>
      </c>
      <c r="B8" s="71"/>
      <c r="C8" s="46" t="s">
        <v>155</v>
      </c>
      <c r="D8" s="26" t="s">
        <v>156</v>
      </c>
      <c r="E8" s="27" t="s">
        <v>135</v>
      </c>
      <c r="F8" s="73" t="s">
        <v>136</v>
      </c>
      <c r="G8" s="28" t="s">
        <v>137</v>
      </c>
      <c r="H8" s="29"/>
      <c r="I8" s="23" t="s">
        <v>136</v>
      </c>
      <c r="J8" s="77" t="s">
        <v>146</v>
      </c>
      <c r="K8" s="29" t="s">
        <v>154</v>
      </c>
      <c r="L8" s="29"/>
      <c r="M8" s="46" t="s">
        <v>148</v>
      </c>
      <c r="N8" s="46" t="s">
        <v>140</v>
      </c>
      <c r="O8" s="90">
        <v>0.306</v>
      </c>
      <c r="P8" s="21"/>
      <c r="Q8" s="21" t="s">
        <v>149</v>
      </c>
      <c r="R8" s="24">
        <v>774.683544303797</v>
      </c>
      <c r="S8" s="24">
        <v>8</v>
      </c>
      <c r="T8" s="24"/>
      <c r="U8" s="24">
        <v>0.306</v>
      </c>
      <c r="V8" s="103">
        <v>1</v>
      </c>
      <c r="W8" s="24"/>
      <c r="X8" s="24"/>
      <c r="Y8" s="111"/>
      <c r="Z8" s="113"/>
      <c r="AA8" s="112">
        <v>1</v>
      </c>
      <c r="AB8" s="21"/>
      <c r="AC8" s="21">
        <f t="shared" si="1"/>
        <v>0</v>
      </c>
    </row>
    <row r="9" s="1" customFormat="1" ht="39.95" customHeight="1" spans="1:29">
      <c r="A9" s="73">
        <f t="shared" si="0"/>
        <v>1</v>
      </c>
      <c r="B9" s="71"/>
      <c r="C9" s="46" t="s">
        <v>157</v>
      </c>
      <c r="D9" s="26" t="s">
        <v>158</v>
      </c>
      <c r="E9" s="27" t="s">
        <v>135</v>
      </c>
      <c r="F9" s="73" t="s">
        <v>136</v>
      </c>
      <c r="G9" s="28" t="s">
        <v>137</v>
      </c>
      <c r="H9" s="29"/>
      <c r="I9" s="23" t="s">
        <v>136</v>
      </c>
      <c r="J9" s="77" t="s">
        <v>146</v>
      </c>
      <c r="K9" s="29" t="s">
        <v>159</v>
      </c>
      <c r="L9" s="29"/>
      <c r="M9" s="46" t="s">
        <v>148</v>
      </c>
      <c r="N9" s="46" t="s">
        <v>140</v>
      </c>
      <c r="O9" s="90">
        <v>0.106</v>
      </c>
      <c r="P9" s="21"/>
      <c r="Q9" s="21" t="s">
        <v>149</v>
      </c>
      <c r="R9" s="24">
        <v>477.692654348806</v>
      </c>
      <c r="S9" s="24">
        <v>6</v>
      </c>
      <c r="T9" s="24"/>
      <c r="U9" s="24">
        <v>0.106</v>
      </c>
      <c r="V9" s="103">
        <v>1</v>
      </c>
      <c r="W9" s="24"/>
      <c r="X9" s="24"/>
      <c r="Y9" s="111"/>
      <c r="Z9" s="113"/>
      <c r="AA9" s="112">
        <v>1</v>
      </c>
      <c r="AB9" s="21"/>
      <c r="AC9" s="21">
        <f t="shared" si="1"/>
        <v>0</v>
      </c>
    </row>
    <row r="10" s="1" customFormat="1" ht="39.95" customHeight="1" spans="1:29">
      <c r="A10" s="73">
        <f t="shared" si="0"/>
        <v>2</v>
      </c>
      <c r="B10" s="71"/>
      <c r="C10" s="46" t="s">
        <v>160</v>
      </c>
      <c r="D10" s="26" t="s">
        <v>161</v>
      </c>
      <c r="E10" s="27" t="s">
        <v>135</v>
      </c>
      <c r="F10" s="73" t="s">
        <v>136</v>
      </c>
      <c r="G10" s="28" t="s">
        <v>137</v>
      </c>
      <c r="H10" s="29"/>
      <c r="I10" s="23" t="s">
        <v>136</v>
      </c>
      <c r="J10" s="77" t="s">
        <v>146</v>
      </c>
      <c r="K10" s="29" t="s">
        <v>159</v>
      </c>
      <c r="L10" s="29"/>
      <c r="M10" s="46" t="s">
        <v>148</v>
      </c>
      <c r="N10" s="46" t="s">
        <v>140</v>
      </c>
      <c r="O10" s="90">
        <v>0.048</v>
      </c>
      <c r="P10" s="21"/>
      <c r="Q10" s="21" t="s">
        <v>149</v>
      </c>
      <c r="R10" s="24">
        <v>216.313654799459</v>
      </c>
      <c r="S10" s="24">
        <v>6</v>
      </c>
      <c r="T10" s="24"/>
      <c r="U10" s="24">
        <v>0.048</v>
      </c>
      <c r="V10" s="103">
        <v>1</v>
      </c>
      <c r="W10" s="24"/>
      <c r="X10" s="24"/>
      <c r="Y10" s="111"/>
      <c r="Z10" s="113"/>
      <c r="AA10" s="112">
        <v>1</v>
      </c>
      <c r="AB10" s="21"/>
      <c r="AC10" s="21">
        <f t="shared" si="1"/>
        <v>0</v>
      </c>
    </row>
    <row r="11" s="1" customFormat="1" ht="39.95" customHeight="1" spans="1:29">
      <c r="A11" s="73">
        <f t="shared" si="0"/>
        <v>3</v>
      </c>
      <c r="B11" s="71"/>
      <c r="C11" s="46" t="s">
        <v>162</v>
      </c>
      <c r="D11" s="26" t="s">
        <v>163</v>
      </c>
      <c r="E11" s="27" t="s">
        <v>135</v>
      </c>
      <c r="F11" s="73" t="s">
        <v>136</v>
      </c>
      <c r="G11" s="28" t="s">
        <v>137</v>
      </c>
      <c r="H11" s="29"/>
      <c r="I11" s="23" t="s">
        <v>136</v>
      </c>
      <c r="J11" s="77" t="s">
        <v>146</v>
      </c>
      <c r="K11" s="29" t="s">
        <v>147</v>
      </c>
      <c r="L11" s="29"/>
      <c r="M11" s="46" t="s">
        <v>148</v>
      </c>
      <c r="N11" s="46" t="s">
        <v>140</v>
      </c>
      <c r="O11" s="90">
        <v>0.055</v>
      </c>
      <c r="P11" s="21"/>
      <c r="Q11" s="21" t="s">
        <v>149</v>
      </c>
      <c r="R11" s="24">
        <v>357.142857142857</v>
      </c>
      <c r="S11" s="24">
        <v>5</v>
      </c>
      <c r="T11" s="24"/>
      <c r="U11" s="24">
        <v>0.055</v>
      </c>
      <c r="V11" s="103">
        <v>1</v>
      </c>
      <c r="W11" s="24"/>
      <c r="X11" s="24"/>
      <c r="Y11" s="111"/>
      <c r="Z11" s="113"/>
      <c r="AA11" s="112">
        <v>1</v>
      </c>
      <c r="AB11" s="21"/>
      <c r="AC11" s="21">
        <f t="shared" si="1"/>
        <v>0</v>
      </c>
    </row>
    <row r="12" s="1" customFormat="1" ht="39.95" customHeight="1" spans="1:29">
      <c r="A12" s="73">
        <f t="shared" si="0"/>
        <v>4</v>
      </c>
      <c r="B12" s="71"/>
      <c r="C12" s="46" t="s">
        <v>164</v>
      </c>
      <c r="D12" s="26" t="s">
        <v>165</v>
      </c>
      <c r="E12" s="27" t="s">
        <v>135</v>
      </c>
      <c r="F12" s="73" t="s">
        <v>136</v>
      </c>
      <c r="G12" s="28" t="s">
        <v>137</v>
      </c>
      <c r="H12" s="29"/>
      <c r="I12" s="23" t="s">
        <v>136</v>
      </c>
      <c r="J12" s="77" t="s">
        <v>146</v>
      </c>
      <c r="K12" s="29" t="s">
        <v>159</v>
      </c>
      <c r="L12" s="29"/>
      <c r="M12" s="46" t="s">
        <v>148</v>
      </c>
      <c r="N12" s="46" t="s">
        <v>140</v>
      </c>
      <c r="O12" s="90">
        <v>0.127</v>
      </c>
      <c r="P12" s="21"/>
      <c r="Q12" s="21" t="s">
        <v>149</v>
      </c>
      <c r="R12" s="24">
        <v>572.329878323569</v>
      </c>
      <c r="S12" s="24">
        <v>6</v>
      </c>
      <c r="T12" s="24"/>
      <c r="U12" s="24">
        <v>0.127</v>
      </c>
      <c r="V12" s="103">
        <v>1</v>
      </c>
      <c r="W12" s="24"/>
      <c r="X12" s="24"/>
      <c r="Y12" s="111"/>
      <c r="Z12" s="113"/>
      <c r="AA12" s="112">
        <v>1</v>
      </c>
      <c r="AB12" s="21"/>
      <c r="AC12" s="21">
        <f t="shared" si="1"/>
        <v>0</v>
      </c>
    </row>
    <row r="13" s="1" customFormat="1" ht="39.95" customHeight="1" spans="1:29">
      <c r="A13" s="73">
        <f t="shared" si="0"/>
        <v>5</v>
      </c>
      <c r="B13" s="71"/>
      <c r="C13" s="46" t="s">
        <v>166</v>
      </c>
      <c r="D13" s="26" t="s">
        <v>167</v>
      </c>
      <c r="E13" s="27" t="s">
        <v>135</v>
      </c>
      <c r="F13" s="73" t="s">
        <v>136</v>
      </c>
      <c r="G13" s="28" t="s">
        <v>137</v>
      </c>
      <c r="H13" s="70"/>
      <c r="I13" s="23" t="s">
        <v>136</v>
      </c>
      <c r="J13" s="77" t="s">
        <v>146</v>
      </c>
      <c r="K13" s="29" t="s">
        <v>147</v>
      </c>
      <c r="L13" s="29"/>
      <c r="M13" s="46" t="s">
        <v>148</v>
      </c>
      <c r="N13" s="46" t="s">
        <v>140</v>
      </c>
      <c r="O13" s="89">
        <v>0.039</v>
      </c>
      <c r="P13" s="70"/>
      <c r="Q13" s="70" t="s">
        <v>149</v>
      </c>
      <c r="R13" s="84">
        <v>253.246753246753</v>
      </c>
      <c r="S13" s="84">
        <v>5</v>
      </c>
      <c r="T13" s="84"/>
      <c r="U13" s="84">
        <v>0.039</v>
      </c>
      <c r="V13" s="104">
        <v>1</v>
      </c>
      <c r="W13" s="84"/>
      <c r="X13" s="84"/>
      <c r="Y13" s="109"/>
      <c r="Z13" s="107"/>
      <c r="AA13" s="112">
        <v>1</v>
      </c>
      <c r="AB13" s="21"/>
      <c r="AC13" s="21">
        <f t="shared" si="1"/>
        <v>0</v>
      </c>
    </row>
    <row r="14" s="1" customFormat="1" ht="39.95" customHeight="1" spans="1:29">
      <c r="A14" s="73">
        <f t="shared" si="0"/>
        <v>6</v>
      </c>
      <c r="B14" s="71"/>
      <c r="C14" s="46" t="s">
        <v>168</v>
      </c>
      <c r="D14" s="26" t="s">
        <v>169</v>
      </c>
      <c r="E14" s="27" t="s">
        <v>135</v>
      </c>
      <c r="F14" s="73" t="s">
        <v>136</v>
      </c>
      <c r="G14" s="28" t="s">
        <v>137</v>
      </c>
      <c r="H14" s="70"/>
      <c r="I14" s="23" t="s">
        <v>136</v>
      </c>
      <c r="J14" s="77" t="s">
        <v>146</v>
      </c>
      <c r="K14" s="29" t="s">
        <v>159</v>
      </c>
      <c r="L14" s="29"/>
      <c r="M14" s="46" t="s">
        <v>148</v>
      </c>
      <c r="N14" s="46" t="s">
        <v>140</v>
      </c>
      <c r="O14" s="89">
        <v>0.127</v>
      </c>
      <c r="P14" s="70"/>
      <c r="Q14" s="70" t="s">
        <v>149</v>
      </c>
      <c r="R14" s="84">
        <v>572.329878323569</v>
      </c>
      <c r="S14" s="84">
        <v>6</v>
      </c>
      <c r="T14" s="84"/>
      <c r="U14" s="84">
        <v>0.127</v>
      </c>
      <c r="V14" s="104">
        <v>1</v>
      </c>
      <c r="W14" s="84"/>
      <c r="X14" s="84"/>
      <c r="Y14" s="109"/>
      <c r="Z14" s="107"/>
      <c r="AA14" s="112">
        <v>1</v>
      </c>
      <c r="AB14" s="21"/>
      <c r="AC14" s="21">
        <f t="shared" si="1"/>
        <v>0</v>
      </c>
    </row>
    <row r="15" s="1" customFormat="1" ht="39.95" customHeight="1" spans="1:29">
      <c r="A15" s="73">
        <f t="shared" si="0"/>
        <v>7</v>
      </c>
      <c r="B15" s="71"/>
      <c r="C15" s="46" t="s">
        <v>170</v>
      </c>
      <c r="D15" s="26" t="s">
        <v>171</v>
      </c>
      <c r="E15" s="27" t="s">
        <v>135</v>
      </c>
      <c r="F15" s="73" t="s">
        <v>136</v>
      </c>
      <c r="G15" s="28" t="s">
        <v>137</v>
      </c>
      <c r="H15" s="70"/>
      <c r="I15" s="23" t="s">
        <v>136</v>
      </c>
      <c r="J15" s="91" t="s">
        <v>138</v>
      </c>
      <c r="K15" s="74" t="s">
        <v>139</v>
      </c>
      <c r="L15" s="74"/>
      <c r="M15" s="74" t="s">
        <v>140</v>
      </c>
      <c r="N15" s="74" t="s">
        <v>140</v>
      </c>
      <c r="O15" s="89">
        <v>0.037</v>
      </c>
      <c r="P15" s="70"/>
      <c r="Q15" s="70"/>
      <c r="R15" s="84"/>
      <c r="S15" s="84"/>
      <c r="T15" s="84"/>
      <c r="U15" s="84"/>
      <c r="V15" s="104"/>
      <c r="W15" s="84" t="s">
        <v>172</v>
      </c>
      <c r="X15" s="84"/>
      <c r="Y15" s="109">
        <v>0.14</v>
      </c>
      <c r="Z15" s="107"/>
      <c r="AA15" s="110">
        <v>2</v>
      </c>
      <c r="AB15" s="21">
        <f>Y15*AA15</f>
        <v>0.28</v>
      </c>
      <c r="AC15" s="21">
        <f t="shared" si="1"/>
        <v>0.364</v>
      </c>
    </row>
    <row r="16" s="1" customFormat="1" ht="39.95" customHeight="1" spans="1:29">
      <c r="A16" s="73">
        <f t="shared" si="0"/>
        <v>8</v>
      </c>
      <c r="B16" s="71"/>
      <c r="C16" s="78" t="s">
        <v>173</v>
      </c>
      <c r="D16" s="79" t="s">
        <v>174</v>
      </c>
      <c r="E16" s="80" t="s">
        <v>175</v>
      </c>
      <c r="F16" s="73" t="s">
        <v>136</v>
      </c>
      <c r="G16" s="77" t="s">
        <v>137</v>
      </c>
      <c r="H16" s="81"/>
      <c r="I16" s="70" t="s">
        <v>136</v>
      </c>
      <c r="J16" s="77" t="s">
        <v>175</v>
      </c>
      <c r="K16" s="74" t="s">
        <v>176</v>
      </c>
      <c r="L16" s="74"/>
      <c r="M16" s="77" t="s">
        <v>140</v>
      </c>
      <c r="N16" s="78" t="s">
        <v>177</v>
      </c>
      <c r="O16" s="89">
        <v>0.0032</v>
      </c>
      <c r="P16" s="70"/>
      <c r="Q16" s="70"/>
      <c r="R16" s="84"/>
      <c r="S16" s="84"/>
      <c r="T16" s="84"/>
      <c r="U16" s="84"/>
      <c r="V16" s="104"/>
      <c r="W16" s="84"/>
      <c r="X16" s="84"/>
      <c r="Y16" s="109"/>
      <c r="Z16" s="107"/>
      <c r="AA16" s="110">
        <v>1</v>
      </c>
      <c r="AB16" s="21"/>
      <c r="AC16" s="21">
        <f t="shared" si="1"/>
        <v>0</v>
      </c>
    </row>
    <row r="17" s="1" customFormat="1" ht="39.95" customHeight="1" spans="1:29">
      <c r="A17" s="73">
        <f t="shared" si="0"/>
        <v>9</v>
      </c>
      <c r="B17" s="71"/>
      <c r="C17" s="46" t="s">
        <v>178</v>
      </c>
      <c r="D17" s="26" t="s">
        <v>179</v>
      </c>
      <c r="E17" s="27" t="s">
        <v>135</v>
      </c>
      <c r="F17" s="73" t="s">
        <v>136</v>
      </c>
      <c r="G17" s="28" t="s">
        <v>137</v>
      </c>
      <c r="H17" s="29"/>
      <c r="I17" s="23" t="s">
        <v>136</v>
      </c>
      <c r="J17" s="30" t="s">
        <v>180</v>
      </c>
      <c r="K17" s="92" t="s">
        <v>181</v>
      </c>
      <c r="L17" s="92">
        <v>4.2</v>
      </c>
      <c r="M17" s="44" t="s">
        <v>182</v>
      </c>
      <c r="N17" s="93" t="s">
        <v>140</v>
      </c>
      <c r="O17" s="90">
        <v>0.034</v>
      </c>
      <c r="P17" s="21" t="s">
        <v>140</v>
      </c>
      <c r="Q17" s="21" t="s">
        <v>183</v>
      </c>
      <c r="R17" s="24">
        <v>67</v>
      </c>
      <c r="S17" s="24">
        <v>45</v>
      </c>
      <c r="T17" s="24">
        <v>3</v>
      </c>
      <c r="U17" s="24">
        <v>0.0710937</v>
      </c>
      <c r="V17" s="103">
        <v>0.478242094587847</v>
      </c>
      <c r="W17" s="24"/>
      <c r="X17" s="24"/>
      <c r="Y17" s="111">
        <f>L17*U17/0.7</f>
        <v>0.4265622</v>
      </c>
      <c r="Z17" s="60"/>
      <c r="AA17" s="112">
        <v>1</v>
      </c>
      <c r="AB17" s="21">
        <f>Y17*AA15</f>
        <v>0.8531244</v>
      </c>
      <c r="AC17" s="21">
        <f t="shared" si="1"/>
        <v>1.10906172</v>
      </c>
    </row>
    <row r="18" s="1" customFormat="1" ht="39.95" customHeight="1" spans="1:29">
      <c r="A18" s="73">
        <f t="shared" si="0"/>
        <v>10</v>
      </c>
      <c r="B18" s="71"/>
      <c r="C18" s="46" t="s">
        <v>184</v>
      </c>
      <c r="D18" s="26" t="s">
        <v>185</v>
      </c>
      <c r="E18" s="27" t="s">
        <v>135</v>
      </c>
      <c r="F18" s="73" t="s">
        <v>136</v>
      </c>
      <c r="G18" s="28" t="s">
        <v>137</v>
      </c>
      <c r="H18" s="29"/>
      <c r="I18" s="23" t="s">
        <v>136</v>
      </c>
      <c r="J18" s="30" t="s">
        <v>180</v>
      </c>
      <c r="K18" s="29" t="s">
        <v>186</v>
      </c>
      <c r="L18" s="29">
        <v>5.2</v>
      </c>
      <c r="M18" s="44" t="s">
        <v>182</v>
      </c>
      <c r="N18" s="93" t="s">
        <v>140</v>
      </c>
      <c r="O18" s="90">
        <v>0.039</v>
      </c>
      <c r="P18" s="21" t="s">
        <v>140</v>
      </c>
      <c r="Q18" s="21" t="s">
        <v>183</v>
      </c>
      <c r="R18" s="24">
        <v>75</v>
      </c>
      <c r="S18" s="24">
        <v>35</v>
      </c>
      <c r="T18" s="24">
        <v>3</v>
      </c>
      <c r="U18" s="24">
        <v>0.0618975</v>
      </c>
      <c r="V18" s="103">
        <v>0.630073912516661</v>
      </c>
      <c r="W18" s="24"/>
      <c r="X18" s="24"/>
      <c r="Y18" s="111">
        <f>L18*U18/0.7</f>
        <v>0.45981</v>
      </c>
      <c r="Z18" s="60"/>
      <c r="AA18" s="112">
        <v>2</v>
      </c>
      <c r="AB18" s="21">
        <f>Y18*AA18</f>
        <v>0.91962</v>
      </c>
      <c r="AC18" s="21">
        <f t="shared" si="1"/>
        <v>1.195506</v>
      </c>
    </row>
    <row r="19" s="1" customFormat="1" ht="48" customHeight="1" spans="13:29">
      <c r="M19" s="67"/>
      <c r="O19" s="94"/>
      <c r="AA19" s="1" t="s">
        <v>187</v>
      </c>
      <c r="AB19" s="21">
        <f>SUM(AB4:AB18)</f>
        <v>4.2367444</v>
      </c>
      <c r="AC19" s="21">
        <f t="shared" si="1"/>
        <v>5.50776772</v>
      </c>
    </row>
    <row r="20" s="1" customFormat="1" spans="13:15">
      <c r="M20" s="67"/>
      <c r="O20" s="94"/>
    </row>
    <row r="21" s="1" customFormat="1" spans="13:15">
      <c r="M21" s="67"/>
      <c r="O21" s="94"/>
    </row>
    <row r="22" s="1" customFormat="1" spans="13:15">
      <c r="M22" s="67"/>
      <c r="O22" s="94"/>
    </row>
    <row r="23" s="1" customFormat="1" spans="13:15">
      <c r="M23" s="67"/>
      <c r="O23" s="94"/>
    </row>
    <row r="24" s="1" customFormat="1" spans="13:15">
      <c r="M24" s="67"/>
      <c r="O24" s="94"/>
    </row>
    <row r="25" s="1" customFormat="1" spans="13:15">
      <c r="M25" s="67"/>
      <c r="O25" s="94"/>
    </row>
    <row r="26" s="1" customFormat="1" spans="13:15">
      <c r="M26" s="67"/>
      <c r="O26" s="94"/>
    </row>
    <row r="27" s="1" customFormat="1" spans="13:15">
      <c r="M27" s="67"/>
      <c r="O27" s="94"/>
    </row>
    <row r="28" s="1" customFormat="1" spans="13:15">
      <c r="M28" s="67"/>
      <c r="O28" s="94"/>
    </row>
    <row r="29" s="1" customFormat="1" spans="13:15">
      <c r="M29" s="67"/>
      <c r="O29" s="94"/>
    </row>
    <row r="30" s="1" customFormat="1" spans="13:15">
      <c r="M30" s="67"/>
      <c r="O30" s="94"/>
    </row>
    <row r="31" s="1" customFormat="1" spans="13:15">
      <c r="M31" s="67"/>
      <c r="O31" s="94"/>
    </row>
    <row r="32" s="1" customFormat="1" spans="13:15">
      <c r="M32" s="67"/>
      <c r="O32" s="94"/>
    </row>
    <row r="33" s="1" customFormat="1" spans="13:15">
      <c r="M33" s="67"/>
      <c r="O33" s="94"/>
    </row>
    <row r="34" s="1" customFormat="1" spans="13:15">
      <c r="M34" s="67"/>
      <c r="O34" s="94"/>
    </row>
    <row r="35" s="1" customFormat="1" spans="13:15">
      <c r="M35" s="67"/>
      <c r="O35" s="94"/>
    </row>
    <row r="36" s="1" customFormat="1" spans="13:15">
      <c r="M36" s="67"/>
      <c r="O36" s="94"/>
    </row>
    <row r="37" s="1" customFormat="1" spans="13:15">
      <c r="M37" s="67"/>
      <c r="O37" s="94"/>
    </row>
    <row r="38" s="1" customFormat="1" spans="13:15">
      <c r="M38" s="67"/>
      <c r="O38" s="94"/>
    </row>
    <row r="39" s="1" customFormat="1" spans="13:15">
      <c r="M39" s="67"/>
      <c r="O39" s="94"/>
    </row>
    <row r="40" s="1" customFormat="1" spans="13:15">
      <c r="M40" s="67"/>
      <c r="O40" s="94"/>
    </row>
    <row r="41" s="1" customFormat="1" spans="13:15">
      <c r="M41" s="67"/>
      <c r="O41" s="94"/>
    </row>
    <row r="42" s="1" customFormat="1" spans="13:15">
      <c r="M42" s="67"/>
      <c r="O42" s="94"/>
    </row>
    <row r="43" s="1" customFormat="1" spans="13:15">
      <c r="M43" s="67"/>
      <c r="O43" s="94"/>
    </row>
    <row r="44" s="1" customFormat="1" spans="13:15">
      <c r="M44" s="67"/>
      <c r="O44" s="94"/>
    </row>
    <row r="45" s="1" customFormat="1" spans="13:15">
      <c r="M45" s="67"/>
      <c r="O45" s="94"/>
    </row>
    <row r="46" s="1" customFormat="1" spans="13:15">
      <c r="M46" s="67"/>
      <c r="O46" s="94"/>
    </row>
    <row r="47" s="1" customFormat="1" spans="13:15">
      <c r="M47" s="67"/>
      <c r="O47" s="94"/>
    </row>
    <row r="48" s="1" customFormat="1" spans="13:15">
      <c r="M48" s="67"/>
      <c r="O48" s="94"/>
    </row>
    <row r="49" s="1" customFormat="1" spans="13:15">
      <c r="M49" s="67"/>
      <c r="O49" s="94"/>
    </row>
    <row r="50" s="1" customFormat="1" spans="13:15">
      <c r="M50" s="67"/>
      <c r="O50" s="94"/>
    </row>
    <row r="51" s="1" customFormat="1" spans="13:15">
      <c r="M51" s="67"/>
      <c r="O51" s="94"/>
    </row>
    <row r="52" s="1" customFormat="1" spans="13:15">
      <c r="M52" s="67"/>
      <c r="O52" s="94"/>
    </row>
    <row r="53" s="1" customFormat="1" spans="13:15">
      <c r="M53" s="67"/>
      <c r="O53" s="94"/>
    </row>
    <row r="54" s="1" customFormat="1" spans="13:15">
      <c r="M54" s="67"/>
      <c r="O54" s="94"/>
    </row>
    <row r="55" s="1" customFormat="1" spans="13:15">
      <c r="M55" s="67"/>
      <c r="O55" s="94"/>
    </row>
    <row r="56" s="1" customFormat="1" spans="13:15">
      <c r="M56" s="67"/>
      <c r="O56" s="94"/>
    </row>
    <row r="57" s="1" customFormat="1" spans="13:15">
      <c r="M57" s="67"/>
      <c r="O57" s="94"/>
    </row>
    <row r="58" s="1" customFormat="1" spans="13:15">
      <c r="M58" s="67"/>
      <c r="O58" s="94"/>
    </row>
    <row r="59" s="1" customFormat="1" spans="13:15">
      <c r="M59" s="67"/>
      <c r="O59" s="94"/>
    </row>
    <row r="60" s="1" customFormat="1" spans="13:15">
      <c r="M60" s="67"/>
      <c r="O60" s="94"/>
    </row>
    <row r="61" s="1" customFormat="1" spans="13:15">
      <c r="M61" s="67"/>
      <c r="O61" s="94"/>
    </row>
    <row r="62" s="1" customFormat="1" spans="13:15">
      <c r="M62" s="67"/>
      <c r="O62" s="94"/>
    </row>
    <row r="63" s="1" customFormat="1" spans="13:15">
      <c r="M63" s="67"/>
      <c r="O63" s="94"/>
    </row>
    <row r="64" s="1" customFormat="1" spans="13:15">
      <c r="M64" s="67"/>
      <c r="O64" s="94"/>
    </row>
    <row r="65" s="1" customFormat="1" spans="13:15">
      <c r="M65" s="67"/>
      <c r="O65" s="94"/>
    </row>
    <row r="66" s="1" customFormat="1" spans="13:15">
      <c r="M66" s="67"/>
      <c r="O66" s="94"/>
    </row>
    <row r="67" s="1" customFormat="1" spans="13:15">
      <c r="M67" s="67"/>
      <c r="O67" s="94"/>
    </row>
    <row r="68" s="1" customFormat="1" spans="13:15">
      <c r="M68" s="67"/>
      <c r="O68" s="94"/>
    </row>
    <row r="69" s="1" customFormat="1" spans="13:15">
      <c r="M69" s="67"/>
      <c r="O69" s="94"/>
    </row>
    <row r="70" s="1" customFormat="1" spans="3:15">
      <c r="C70" s="65"/>
      <c r="D70" s="4"/>
      <c r="E70" s="4"/>
      <c r="I70" s="6"/>
      <c r="J70" s="6"/>
      <c r="K70" s="6"/>
      <c r="L70" s="6"/>
      <c r="M70" s="66"/>
      <c r="N70" s="67"/>
      <c r="O70" s="68"/>
    </row>
    <row r="71" s="1" customFormat="1" spans="3:15">
      <c r="C71" s="65"/>
      <c r="D71" s="4"/>
      <c r="E71" s="4"/>
      <c r="I71" s="6"/>
      <c r="J71" s="6"/>
      <c r="K71" s="6"/>
      <c r="L71" s="6"/>
      <c r="M71" s="66"/>
      <c r="N71" s="67"/>
      <c r="O71" s="68"/>
    </row>
    <row r="72" s="1" customFormat="1" spans="3:15">
      <c r="C72" s="65"/>
      <c r="D72" s="4"/>
      <c r="E72" s="4"/>
      <c r="I72" s="6"/>
      <c r="J72" s="6"/>
      <c r="K72" s="6"/>
      <c r="L72" s="6"/>
      <c r="M72" s="66"/>
      <c r="N72" s="67"/>
      <c r="O72" s="68"/>
    </row>
    <row r="73" s="1" customFormat="1" spans="3:15">
      <c r="C73" s="65"/>
      <c r="D73" s="4"/>
      <c r="E73" s="4"/>
      <c r="I73" s="6"/>
      <c r="J73" s="6"/>
      <c r="K73" s="6"/>
      <c r="L73" s="6"/>
      <c r="M73" s="66"/>
      <c r="N73" s="67"/>
      <c r="O73" s="68"/>
    </row>
    <row r="74" s="1" customFormat="1" spans="3:15">
      <c r="C74" s="65"/>
      <c r="D74" s="4"/>
      <c r="E74" s="4"/>
      <c r="I74" s="6"/>
      <c r="J74" s="6"/>
      <c r="K74" s="6"/>
      <c r="L74" s="6"/>
      <c r="M74" s="66"/>
      <c r="N74" s="67"/>
      <c r="O74" s="68"/>
    </row>
    <row r="75" s="1" customFormat="1" spans="3:15">
      <c r="C75" s="65"/>
      <c r="D75" s="4"/>
      <c r="E75" s="4"/>
      <c r="I75" s="6"/>
      <c r="J75" s="6"/>
      <c r="K75" s="6"/>
      <c r="L75" s="6"/>
      <c r="M75" s="66"/>
      <c r="N75" s="67"/>
      <c r="O75" s="68"/>
    </row>
    <row r="76" s="1" customFormat="1" spans="3:15">
      <c r="C76" s="65"/>
      <c r="D76" s="4"/>
      <c r="E76" s="4"/>
      <c r="I76" s="6"/>
      <c r="J76" s="6"/>
      <c r="K76" s="6"/>
      <c r="L76" s="6"/>
      <c r="M76" s="66"/>
      <c r="N76" s="67"/>
      <c r="O76" s="68"/>
    </row>
    <row r="77" s="1" customFormat="1" spans="3:15">
      <c r="C77" s="65"/>
      <c r="D77" s="4"/>
      <c r="E77" s="4"/>
      <c r="I77" s="6"/>
      <c r="J77" s="6"/>
      <c r="K77" s="6"/>
      <c r="L77" s="6"/>
      <c r="M77" s="66"/>
      <c r="N77" s="67"/>
      <c r="O77" s="68"/>
    </row>
    <row r="78" s="1" customFormat="1" spans="3:15">
      <c r="C78" s="65"/>
      <c r="D78" s="4"/>
      <c r="E78" s="4"/>
      <c r="I78" s="6"/>
      <c r="J78" s="6"/>
      <c r="K78" s="6"/>
      <c r="L78" s="6"/>
      <c r="M78" s="66"/>
      <c r="N78" s="67"/>
      <c r="O78" s="68"/>
    </row>
    <row r="79" s="1" customFormat="1" spans="1:27">
      <c r="A79" s="1">
        <f>SUM(A3:A78)</f>
        <v>45</v>
      </c>
      <c r="C79" s="65"/>
      <c r="D79" s="4"/>
      <c r="E79" s="4"/>
      <c r="I79" s="6"/>
      <c r="J79" s="6"/>
      <c r="K79" s="6"/>
      <c r="L79" s="6"/>
      <c r="M79" s="66"/>
      <c r="N79" s="67"/>
      <c r="O79" s="68">
        <f>SUM(O3:O78)</f>
        <v>2.7444</v>
      </c>
      <c r="AA79" s="21">
        <f>SUM(AA3:AA78)</f>
        <v>17</v>
      </c>
    </row>
  </sheetData>
  <mergeCells count="29">
    <mergeCell ref="C1:D1"/>
    <mergeCell ref="E1:Y1"/>
    <mergeCell ref="R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U2:U3"/>
    <mergeCell ref="V2:V3"/>
    <mergeCell ref="W2:W3"/>
    <mergeCell ref="X2:X3"/>
    <mergeCell ref="Y2:Y3"/>
    <mergeCell ref="Z2:Z3"/>
    <mergeCell ref="AA2:AA3"/>
    <mergeCell ref="AB2:AB3"/>
    <mergeCell ref="AC2:AC3"/>
  </mergeCells>
  <conditionalFormatting sqref="B5:B18">
    <cfRule type="duplicateValues" dxfId="0" priority="1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"/>
  <sheetViews>
    <sheetView zoomScale="70" zoomScaleNormal="70" topLeftCell="A10" workbookViewId="0">
      <selection activeCell="Z9" sqref="Z9:Z11"/>
    </sheetView>
  </sheetViews>
  <sheetFormatPr defaultColWidth="9" defaultRowHeight="16.5"/>
  <cols>
    <col min="1" max="1" width="4.5" style="1" customWidth="1"/>
    <col min="2" max="2" width="11.75" style="1" customWidth="1"/>
    <col min="3" max="3" width="19.375" style="4" customWidth="1"/>
    <col min="4" max="4" width="8.125" style="4" customWidth="1" outlineLevel="1"/>
    <col min="5" max="5" width="5.25833333333333" style="1" customWidth="1" outlineLevel="1"/>
    <col min="6" max="6" width="7.375" style="5" customWidth="1"/>
    <col min="7" max="7" width="6.125" style="6" customWidth="1" outlineLevel="1"/>
    <col min="8" max="8" width="10.2583333333333" style="6" customWidth="1"/>
    <col min="9" max="9" width="12" style="6" customWidth="1"/>
    <col min="10" max="10" width="11.625" style="7" customWidth="1" outlineLevel="1"/>
    <col min="11" max="11" width="9.75833333333333" style="8" customWidth="1"/>
    <col min="12" max="12" width="5.875" style="1" customWidth="1"/>
    <col min="13" max="14" width="8.63333333333333" style="1" customWidth="1" outlineLevel="1"/>
    <col min="15" max="15" width="10.25" style="9" customWidth="1" outlineLevel="1"/>
    <col min="16" max="16" width="9.125" style="9" customWidth="1" outlineLevel="1"/>
    <col min="17" max="17" width="8" style="9" customWidth="1" outlineLevel="1"/>
    <col min="18" max="18" width="12.125" style="9" customWidth="1" outlineLevel="1"/>
    <col min="19" max="19" width="10.6333333333333" style="10" customWidth="1" outlineLevel="1"/>
    <col min="20" max="20" width="12.125" style="1" customWidth="1" outlineLevel="1"/>
    <col min="21" max="21" width="12" style="1" customWidth="1" outlineLevel="1"/>
    <col min="22" max="22" width="10" style="1" customWidth="1" outlineLevel="1"/>
    <col min="23" max="23" width="8.125" style="1" customWidth="1" outlineLevel="1"/>
    <col min="24" max="24" width="10.625" style="11" customWidth="1"/>
    <col min="25" max="25" width="10.625" style="1" customWidth="1"/>
    <col min="26" max="26" width="14.125" style="1"/>
    <col min="27" max="16384" width="9" style="1"/>
  </cols>
  <sheetData>
    <row r="1" s="1" customFormat="1" ht="21" outlineLevel="1" spans="1:25">
      <c r="A1" s="12"/>
      <c r="B1" s="12"/>
      <c r="C1" s="13"/>
      <c r="D1" s="14" t="s">
        <v>188</v>
      </c>
      <c r="E1" s="14"/>
      <c r="F1" s="14"/>
      <c r="G1" s="14"/>
      <c r="H1" s="14"/>
      <c r="I1" s="14"/>
      <c r="J1" s="31"/>
      <c r="K1" s="32"/>
      <c r="L1" s="14"/>
      <c r="M1" s="14"/>
      <c r="N1" s="14"/>
      <c r="O1" s="33"/>
      <c r="P1" s="33"/>
      <c r="Q1" s="33"/>
      <c r="R1" s="33"/>
      <c r="S1" s="47"/>
      <c r="T1" s="14"/>
      <c r="U1" s="14"/>
      <c r="V1" s="14"/>
      <c r="W1" s="14"/>
      <c r="X1" s="21"/>
      <c r="Y1" s="62"/>
    </row>
    <row r="2" s="1" customFormat="1" ht="33.75" customHeight="1" outlineLevel="1" spans="1:25">
      <c r="A2" s="12"/>
      <c r="B2" s="12"/>
      <c r="C2" s="15"/>
      <c r="D2" s="14"/>
      <c r="E2" s="14"/>
      <c r="F2" s="14"/>
      <c r="G2" s="14"/>
      <c r="H2" s="14"/>
      <c r="I2" s="14"/>
      <c r="J2" s="31"/>
      <c r="K2" s="32"/>
      <c r="L2" s="14"/>
      <c r="M2" s="14"/>
      <c r="N2" s="14"/>
      <c r="O2" s="33"/>
      <c r="P2" s="33"/>
      <c r="Q2" s="33"/>
      <c r="R2" s="33"/>
      <c r="S2" s="47"/>
      <c r="T2" s="14"/>
      <c r="U2" s="14"/>
      <c r="V2" s="14"/>
      <c r="W2" s="14"/>
      <c r="X2" s="21"/>
      <c r="Y2" s="63"/>
    </row>
    <row r="3" s="1" customFormat="1" ht="21" outlineLevel="1" spans="1:25">
      <c r="A3" s="13"/>
      <c r="B3" s="13"/>
      <c r="C3" s="16"/>
      <c r="D3" s="14"/>
      <c r="E3" s="14"/>
      <c r="F3" s="14"/>
      <c r="G3" s="14"/>
      <c r="H3" s="14"/>
      <c r="I3" s="14"/>
      <c r="J3" s="31"/>
      <c r="K3" s="32"/>
      <c r="L3" s="14"/>
      <c r="M3" s="14"/>
      <c r="N3" s="14"/>
      <c r="O3" s="33"/>
      <c r="P3" s="33"/>
      <c r="Q3" s="33"/>
      <c r="R3" s="33"/>
      <c r="S3" s="47"/>
      <c r="T3" s="14"/>
      <c r="U3" s="14"/>
      <c r="V3" s="14"/>
      <c r="W3" s="14"/>
      <c r="X3" s="21"/>
      <c r="Y3" s="63"/>
    </row>
    <row r="4" s="1" customFormat="1" ht="33.75" customHeight="1" outlineLevel="1" spans="1:25">
      <c r="A4" s="13"/>
      <c r="B4" s="13"/>
      <c r="C4" s="16"/>
      <c r="D4" s="14"/>
      <c r="E4" s="14"/>
      <c r="F4" s="14"/>
      <c r="G4" s="14"/>
      <c r="H4" s="14"/>
      <c r="I4" s="14"/>
      <c r="J4" s="31"/>
      <c r="K4" s="32"/>
      <c r="L4" s="14"/>
      <c r="M4" s="14"/>
      <c r="N4" s="14"/>
      <c r="O4" s="33"/>
      <c r="P4" s="33"/>
      <c r="Q4" s="33"/>
      <c r="R4" s="33"/>
      <c r="S4" s="47"/>
      <c r="T4" s="14"/>
      <c r="U4" s="14"/>
      <c r="V4" s="14"/>
      <c r="W4" s="14"/>
      <c r="X4" s="21"/>
      <c r="Y4" s="64"/>
    </row>
    <row r="5" s="1" customFormat="1" ht="33.75" customHeight="1" outlineLevel="1" spans="1:25">
      <c r="A5" s="17"/>
      <c r="B5" s="17"/>
      <c r="C5" s="18"/>
      <c r="D5" s="14"/>
      <c r="E5" s="14"/>
      <c r="F5" s="14"/>
      <c r="G5" s="14"/>
      <c r="H5" s="14"/>
      <c r="I5" s="14"/>
      <c r="J5" s="31"/>
      <c r="K5" s="32"/>
      <c r="L5" s="14"/>
      <c r="M5" s="14"/>
      <c r="N5" s="14"/>
      <c r="O5" s="33"/>
      <c r="P5" s="33"/>
      <c r="Q5" s="33"/>
      <c r="R5" s="33"/>
      <c r="S5" s="47"/>
      <c r="T5" s="14"/>
      <c r="U5" s="14"/>
      <c r="V5" s="14"/>
      <c r="W5" s="14"/>
      <c r="X5" s="28"/>
      <c r="Y5" s="28"/>
    </row>
    <row r="6" s="1" customFormat="1" ht="33.75" customHeight="1" outlineLevel="1" spans="1:25">
      <c r="A6" s="17"/>
      <c r="B6" s="17"/>
      <c r="C6" s="18"/>
      <c r="D6" s="14"/>
      <c r="E6" s="14"/>
      <c r="F6" s="14"/>
      <c r="G6" s="14"/>
      <c r="H6" s="14"/>
      <c r="I6" s="14"/>
      <c r="J6" s="31"/>
      <c r="K6" s="32"/>
      <c r="L6" s="14"/>
      <c r="M6" s="14"/>
      <c r="N6" s="14"/>
      <c r="O6" s="33"/>
      <c r="P6" s="33"/>
      <c r="Q6" s="33"/>
      <c r="R6" s="33"/>
      <c r="S6" s="47"/>
      <c r="T6" s="14"/>
      <c r="U6" s="14"/>
      <c r="V6" s="14"/>
      <c r="W6" s="14"/>
      <c r="X6" s="28"/>
      <c r="Y6" s="28"/>
    </row>
    <row r="7" s="1" customFormat="1" ht="24.95" customHeight="1" spans="1:26">
      <c r="A7" s="19" t="s">
        <v>0</v>
      </c>
      <c r="B7" s="20" t="s">
        <v>105</v>
      </c>
      <c r="C7" s="21" t="s">
        <v>107</v>
      </c>
      <c r="D7" s="22" t="s">
        <v>108</v>
      </c>
      <c r="E7" s="21" t="s">
        <v>110</v>
      </c>
      <c r="F7" s="21" t="s">
        <v>111</v>
      </c>
      <c r="G7" s="23" t="s">
        <v>112</v>
      </c>
      <c r="H7" s="24" t="s">
        <v>113</v>
      </c>
      <c r="I7" s="24" t="s">
        <v>114</v>
      </c>
      <c r="J7" s="34" t="s">
        <v>116</v>
      </c>
      <c r="K7" s="35" t="s">
        <v>118</v>
      </c>
      <c r="L7" s="21" t="s">
        <v>119</v>
      </c>
      <c r="M7" s="36" t="s">
        <v>120</v>
      </c>
      <c r="N7" s="37" t="s">
        <v>189</v>
      </c>
      <c r="O7" s="38" t="s">
        <v>121</v>
      </c>
      <c r="P7" s="38"/>
      <c r="Q7" s="48"/>
      <c r="R7" s="49" t="s">
        <v>190</v>
      </c>
      <c r="S7" s="50" t="s">
        <v>123</v>
      </c>
      <c r="T7" s="51" t="s">
        <v>191</v>
      </c>
      <c r="U7" s="52" t="s">
        <v>192</v>
      </c>
      <c r="V7" s="53" t="s">
        <v>193</v>
      </c>
      <c r="W7" s="53" t="s">
        <v>129</v>
      </c>
      <c r="X7" s="54" t="s">
        <v>127</v>
      </c>
      <c r="Y7" s="20" t="s">
        <v>128</v>
      </c>
      <c r="Z7" s="21" t="s">
        <v>130</v>
      </c>
    </row>
    <row r="8" s="2" customFormat="1" ht="24.95" customHeight="1" spans="1:26">
      <c r="A8" s="19"/>
      <c r="B8" s="25"/>
      <c r="C8" s="21"/>
      <c r="D8" s="22"/>
      <c r="E8" s="21"/>
      <c r="F8" s="21"/>
      <c r="G8" s="23"/>
      <c r="H8" s="24"/>
      <c r="I8" s="24"/>
      <c r="J8" s="34"/>
      <c r="K8" s="35"/>
      <c r="L8" s="21"/>
      <c r="M8" s="39"/>
      <c r="N8" s="40"/>
      <c r="O8" s="41" t="s">
        <v>131</v>
      </c>
      <c r="P8" s="42" t="s">
        <v>132</v>
      </c>
      <c r="Q8" s="42" t="s">
        <v>133</v>
      </c>
      <c r="R8" s="55"/>
      <c r="S8" s="56"/>
      <c r="T8" s="57"/>
      <c r="U8" s="58"/>
      <c r="V8" s="59"/>
      <c r="W8" s="59"/>
      <c r="X8" s="54"/>
      <c r="Y8" s="25"/>
      <c r="Z8" s="21"/>
    </row>
    <row r="9" s="3" customFormat="1" ht="39.95" customHeight="1" spans="1:26">
      <c r="A9" s="19">
        <f t="shared" ref="A9:A23" si="0">ROW()-8</f>
        <v>1</v>
      </c>
      <c r="B9" s="23" t="s">
        <v>12</v>
      </c>
      <c r="C9" s="26" t="s">
        <v>13</v>
      </c>
      <c r="D9" s="27"/>
      <c r="E9" s="28" t="s">
        <v>137</v>
      </c>
      <c r="F9" s="29"/>
      <c r="G9" s="23" t="s">
        <v>136</v>
      </c>
      <c r="H9" s="28" t="s">
        <v>138</v>
      </c>
      <c r="I9" s="29" t="s">
        <v>139</v>
      </c>
      <c r="J9" s="29" t="s">
        <v>140</v>
      </c>
      <c r="K9" s="43">
        <f>K10*Y10+K11*Y11+K12+K13+K14+K16+K15+K17+K18+K19+K20+K21+K22+K23</f>
        <v>1.744</v>
      </c>
      <c r="L9" s="21" t="s">
        <v>194</v>
      </c>
      <c r="M9" s="21"/>
      <c r="N9" s="21"/>
      <c r="O9" s="21"/>
      <c r="P9" s="21"/>
      <c r="Q9" s="21"/>
      <c r="R9" s="21"/>
      <c r="S9" s="21"/>
      <c r="T9" s="21">
        <v>24</v>
      </c>
      <c r="U9" s="21">
        <v>0.014</v>
      </c>
      <c r="V9" s="21"/>
      <c r="W9" s="21">
        <f>T9*0.07+U9*12</f>
        <v>1.848</v>
      </c>
      <c r="X9" s="60"/>
      <c r="Y9" s="54">
        <v>1</v>
      </c>
      <c r="Z9" s="21">
        <f>W9*1.3*Y9</f>
        <v>2.4024</v>
      </c>
    </row>
    <row r="10" s="3" customFormat="1" ht="39.95" customHeight="1" spans="1:26">
      <c r="A10" s="19">
        <f t="shared" si="0"/>
        <v>2</v>
      </c>
      <c r="B10" s="23" t="s">
        <v>184</v>
      </c>
      <c r="C10" s="26" t="s">
        <v>185</v>
      </c>
      <c r="D10" s="27" t="s">
        <v>135</v>
      </c>
      <c r="E10" s="28" t="s">
        <v>137</v>
      </c>
      <c r="F10" s="29"/>
      <c r="G10" s="23" t="s">
        <v>136</v>
      </c>
      <c r="H10" s="30" t="s">
        <v>180</v>
      </c>
      <c r="I10" s="29" t="s">
        <v>186</v>
      </c>
      <c r="J10" s="44" t="s">
        <v>182</v>
      </c>
      <c r="K10" s="43">
        <v>0.039</v>
      </c>
      <c r="L10" s="21" t="s">
        <v>140</v>
      </c>
      <c r="M10" s="21" t="s">
        <v>183</v>
      </c>
      <c r="N10" s="21" t="s">
        <v>195</v>
      </c>
      <c r="O10" s="45">
        <v>74</v>
      </c>
      <c r="P10" s="45">
        <v>47</v>
      </c>
      <c r="Q10" s="45">
        <v>3</v>
      </c>
      <c r="R10" s="45">
        <v>0.08201124</v>
      </c>
      <c r="S10" s="61">
        <f t="shared" ref="S10:S14" si="1">K10/R10</f>
        <v>0.475544571695294</v>
      </c>
      <c r="T10" s="21"/>
      <c r="U10" s="21"/>
      <c r="V10" s="21">
        <v>5.2</v>
      </c>
      <c r="W10" s="21">
        <f>V10*R10/0.7</f>
        <v>0.609226354285714</v>
      </c>
      <c r="X10" s="60"/>
      <c r="Y10" s="54">
        <v>2</v>
      </c>
      <c r="Z10" s="21">
        <f>W10*Y10*1.3</f>
        <v>1.58398852114286</v>
      </c>
    </row>
    <row r="11" s="3" customFormat="1" ht="39.95" customHeight="1" spans="1:26">
      <c r="A11" s="19">
        <f t="shared" si="0"/>
        <v>3</v>
      </c>
      <c r="B11" s="23" t="s">
        <v>196</v>
      </c>
      <c r="C11" s="26" t="s">
        <v>179</v>
      </c>
      <c r="D11" s="27" t="s">
        <v>135</v>
      </c>
      <c r="E11" s="28" t="s">
        <v>137</v>
      </c>
      <c r="F11" s="29"/>
      <c r="G11" s="23" t="s">
        <v>136</v>
      </c>
      <c r="H11" s="30" t="s">
        <v>180</v>
      </c>
      <c r="I11" s="29" t="s">
        <v>186</v>
      </c>
      <c r="J11" s="44" t="s">
        <v>182</v>
      </c>
      <c r="K11" s="43">
        <v>0.037</v>
      </c>
      <c r="L11" s="21" t="s">
        <v>140</v>
      </c>
      <c r="M11" s="21" t="s">
        <v>183</v>
      </c>
      <c r="N11" s="21" t="s">
        <v>197</v>
      </c>
      <c r="O11" s="45">
        <v>67</v>
      </c>
      <c r="P11" s="45">
        <v>45</v>
      </c>
      <c r="Q11" s="45">
        <v>3</v>
      </c>
      <c r="R11" s="45">
        <v>0.0710937</v>
      </c>
      <c r="S11" s="61">
        <f t="shared" si="1"/>
        <v>0.520439926463245</v>
      </c>
      <c r="T11" s="21"/>
      <c r="U11" s="21"/>
      <c r="V11" s="21">
        <v>5.2</v>
      </c>
      <c r="W11" s="21">
        <f>V11*R11/0.7</f>
        <v>0.528124628571429</v>
      </c>
      <c r="X11" s="60"/>
      <c r="Y11" s="54">
        <v>2</v>
      </c>
      <c r="Z11" s="21">
        <f>W11*Y11*1.3</f>
        <v>1.37312403428571</v>
      </c>
    </row>
    <row r="12" s="3" customFormat="1" ht="39.95" customHeight="1" spans="1:26">
      <c r="A12" s="19">
        <f t="shared" si="0"/>
        <v>4</v>
      </c>
      <c r="B12" s="23" t="s">
        <v>198</v>
      </c>
      <c r="C12" s="26" t="s">
        <v>153</v>
      </c>
      <c r="D12" s="27" t="s">
        <v>135</v>
      </c>
      <c r="E12" s="28" t="s">
        <v>137</v>
      </c>
      <c r="F12" s="29"/>
      <c r="G12" s="23" t="s">
        <v>136</v>
      </c>
      <c r="H12" s="28" t="s">
        <v>199</v>
      </c>
      <c r="I12" s="29" t="s">
        <v>154</v>
      </c>
      <c r="J12" s="46" t="s">
        <v>148</v>
      </c>
      <c r="K12" s="43">
        <v>0.317</v>
      </c>
      <c r="L12" s="21" t="s">
        <v>140</v>
      </c>
      <c r="M12" s="21" t="s">
        <v>149</v>
      </c>
      <c r="N12" s="21"/>
      <c r="O12" s="45">
        <f t="shared" ref="O12:O14" si="2">K12/0.395*1000</f>
        <v>802.53164556962</v>
      </c>
      <c r="P12" s="45"/>
      <c r="Q12" s="45"/>
      <c r="R12" s="45">
        <f t="shared" ref="R12:R14" si="3">O12*0.395/1000</f>
        <v>0.317</v>
      </c>
      <c r="S12" s="61">
        <f t="shared" si="1"/>
        <v>1</v>
      </c>
      <c r="T12" s="21"/>
      <c r="U12" s="21"/>
      <c r="V12" s="21"/>
      <c r="W12" s="21"/>
      <c r="X12" s="60"/>
      <c r="Y12" s="54">
        <v>1</v>
      </c>
      <c r="Z12" s="21"/>
    </row>
    <row r="13" s="3" customFormat="1" ht="39.95" customHeight="1" spans="1:26">
      <c r="A13" s="19">
        <f t="shared" si="0"/>
        <v>5</v>
      </c>
      <c r="B13" s="23" t="s">
        <v>200</v>
      </c>
      <c r="C13" s="26" t="s">
        <v>156</v>
      </c>
      <c r="D13" s="27" t="s">
        <v>135</v>
      </c>
      <c r="E13" s="28" t="s">
        <v>137</v>
      </c>
      <c r="F13" s="29"/>
      <c r="G13" s="23" t="s">
        <v>136</v>
      </c>
      <c r="H13" s="28" t="s">
        <v>199</v>
      </c>
      <c r="I13" s="29" t="s">
        <v>154</v>
      </c>
      <c r="J13" s="46" t="s">
        <v>148</v>
      </c>
      <c r="K13" s="43">
        <v>0.329</v>
      </c>
      <c r="L13" s="21" t="s">
        <v>140</v>
      </c>
      <c r="M13" s="21" t="s">
        <v>149</v>
      </c>
      <c r="N13" s="21"/>
      <c r="O13" s="45">
        <f t="shared" si="2"/>
        <v>832.911392405063</v>
      </c>
      <c r="P13" s="45"/>
      <c r="Q13" s="45"/>
      <c r="R13" s="45">
        <f t="shared" si="3"/>
        <v>0.329</v>
      </c>
      <c r="S13" s="61">
        <f t="shared" si="1"/>
        <v>1</v>
      </c>
      <c r="T13" s="21"/>
      <c r="U13" s="21"/>
      <c r="V13" s="21"/>
      <c r="W13" s="21"/>
      <c r="X13" s="60"/>
      <c r="Y13" s="54">
        <v>1</v>
      </c>
      <c r="Z13" s="21"/>
    </row>
    <row r="14" s="3" customFormat="1" ht="39.95" customHeight="1" spans="1:26">
      <c r="A14" s="19">
        <f t="shared" si="0"/>
        <v>6</v>
      </c>
      <c r="B14" s="23" t="s">
        <v>201</v>
      </c>
      <c r="C14" s="26" t="s">
        <v>158</v>
      </c>
      <c r="D14" s="27" t="s">
        <v>135</v>
      </c>
      <c r="E14" s="28" t="s">
        <v>137</v>
      </c>
      <c r="F14" s="29"/>
      <c r="G14" s="23" t="s">
        <v>136</v>
      </c>
      <c r="H14" s="28" t="s">
        <v>199</v>
      </c>
      <c r="I14" s="29" t="s">
        <v>154</v>
      </c>
      <c r="J14" s="46" t="s">
        <v>148</v>
      </c>
      <c r="K14" s="43">
        <v>0.199</v>
      </c>
      <c r="L14" s="21" t="s">
        <v>140</v>
      </c>
      <c r="M14" s="21" t="s">
        <v>149</v>
      </c>
      <c r="N14" s="21"/>
      <c r="O14" s="45">
        <f t="shared" si="2"/>
        <v>503.79746835443</v>
      </c>
      <c r="P14" s="45"/>
      <c r="Q14" s="45"/>
      <c r="R14" s="45">
        <f t="shared" si="3"/>
        <v>0.199</v>
      </c>
      <c r="S14" s="61">
        <f t="shared" si="1"/>
        <v>1</v>
      </c>
      <c r="T14" s="21"/>
      <c r="U14" s="21"/>
      <c r="V14" s="21"/>
      <c r="W14" s="21"/>
      <c r="X14" s="60"/>
      <c r="Y14" s="54">
        <v>1</v>
      </c>
      <c r="Z14" s="21"/>
    </row>
    <row r="15" s="3" customFormat="1" ht="39.95" customHeight="1" spans="1:26">
      <c r="A15" s="19">
        <f t="shared" si="0"/>
        <v>7</v>
      </c>
      <c r="B15" s="23" t="s">
        <v>202</v>
      </c>
      <c r="C15" s="26" t="s">
        <v>161</v>
      </c>
      <c r="D15" s="27" t="s">
        <v>135</v>
      </c>
      <c r="E15" s="28" t="s">
        <v>137</v>
      </c>
      <c r="F15" s="29"/>
      <c r="G15" s="23" t="s">
        <v>136</v>
      </c>
      <c r="H15" s="28" t="s">
        <v>199</v>
      </c>
      <c r="I15" s="29" t="s">
        <v>154</v>
      </c>
      <c r="J15" s="46" t="s">
        <v>148</v>
      </c>
      <c r="K15" s="43">
        <v>0.19</v>
      </c>
      <c r="L15" s="21" t="s">
        <v>140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60"/>
      <c r="Y15" s="54">
        <v>1</v>
      </c>
      <c r="Z15" s="21"/>
    </row>
    <row r="16" s="3" customFormat="1" ht="39.95" customHeight="1" spans="1:26">
      <c r="A16" s="19">
        <f t="shared" si="0"/>
        <v>8</v>
      </c>
      <c r="B16" s="23" t="s">
        <v>203</v>
      </c>
      <c r="C16" s="26" t="s">
        <v>163</v>
      </c>
      <c r="D16" s="27" t="s">
        <v>135</v>
      </c>
      <c r="E16" s="28" t="s">
        <v>137</v>
      </c>
      <c r="F16" s="29"/>
      <c r="G16" s="23" t="s">
        <v>136</v>
      </c>
      <c r="H16" s="28" t="s">
        <v>199</v>
      </c>
      <c r="I16" s="29" t="s">
        <v>154</v>
      </c>
      <c r="J16" s="46" t="s">
        <v>148</v>
      </c>
      <c r="K16" s="43">
        <v>0.192</v>
      </c>
      <c r="L16" s="21" t="s">
        <v>140</v>
      </c>
      <c r="M16" s="21" t="s">
        <v>149</v>
      </c>
      <c r="N16" s="21"/>
      <c r="O16" s="45">
        <f>K16/0.395*1000</f>
        <v>486.075949367089</v>
      </c>
      <c r="P16" s="45"/>
      <c r="Q16" s="45"/>
      <c r="R16" s="45">
        <f>O16*0.395/1000</f>
        <v>0.192</v>
      </c>
      <c r="S16" s="61">
        <f t="shared" ref="S16:S20" si="4">K16/R16</f>
        <v>1</v>
      </c>
      <c r="T16" s="21"/>
      <c r="U16" s="21"/>
      <c r="V16" s="21"/>
      <c r="W16" s="21"/>
      <c r="X16" s="60"/>
      <c r="Y16" s="54">
        <v>1</v>
      </c>
      <c r="Z16" s="21"/>
    </row>
    <row r="17" s="3" customFormat="1" ht="39.95" customHeight="1" spans="1:26">
      <c r="A17" s="19">
        <f t="shared" si="0"/>
        <v>9</v>
      </c>
      <c r="B17" s="23" t="s">
        <v>143</v>
      </c>
      <c r="C17" s="26" t="s">
        <v>204</v>
      </c>
      <c r="D17" s="27" t="s">
        <v>135</v>
      </c>
      <c r="E17" s="28" t="s">
        <v>137</v>
      </c>
      <c r="F17" s="21"/>
      <c r="G17" s="23" t="s">
        <v>136</v>
      </c>
      <c r="H17" s="28" t="s">
        <v>199</v>
      </c>
      <c r="I17" s="29" t="s">
        <v>159</v>
      </c>
      <c r="J17" s="46" t="s">
        <v>148</v>
      </c>
      <c r="K17" s="43">
        <v>0.106</v>
      </c>
      <c r="L17" s="21" t="s">
        <v>140</v>
      </c>
      <c r="M17" s="21" t="s">
        <v>149</v>
      </c>
      <c r="N17" s="21"/>
      <c r="O17" s="45">
        <f>K17/0.2219*1000</f>
        <v>477.692654348806</v>
      </c>
      <c r="P17" s="45"/>
      <c r="Q17" s="45"/>
      <c r="R17" s="45">
        <f>O17*0.2219/1000</f>
        <v>0.106</v>
      </c>
      <c r="S17" s="61">
        <f t="shared" si="4"/>
        <v>1</v>
      </c>
      <c r="T17" s="21"/>
      <c r="U17" s="21"/>
      <c r="V17" s="21"/>
      <c r="W17" s="21"/>
      <c r="X17" s="60"/>
      <c r="Y17" s="54">
        <v>1</v>
      </c>
      <c r="Z17" s="21"/>
    </row>
    <row r="18" s="3" customFormat="1" ht="39.95" customHeight="1" spans="1:26">
      <c r="A18" s="19">
        <f t="shared" si="0"/>
        <v>10</v>
      </c>
      <c r="B18" s="23" t="s">
        <v>205</v>
      </c>
      <c r="C18" s="26" t="s">
        <v>206</v>
      </c>
      <c r="D18" s="27" t="s">
        <v>135</v>
      </c>
      <c r="E18" s="28" t="s">
        <v>137</v>
      </c>
      <c r="F18" s="29"/>
      <c r="G18" s="23" t="s">
        <v>136</v>
      </c>
      <c r="H18" s="28" t="s">
        <v>199</v>
      </c>
      <c r="I18" s="29" t="s">
        <v>147</v>
      </c>
      <c r="J18" s="46" t="s">
        <v>148</v>
      </c>
      <c r="K18" s="43">
        <v>0.046</v>
      </c>
      <c r="L18" s="21" t="s">
        <v>140</v>
      </c>
      <c r="M18" s="21" t="s">
        <v>149</v>
      </c>
      <c r="N18" s="21"/>
      <c r="O18" s="45">
        <f t="shared" ref="O18:O20" si="5">K18/0.154*1000</f>
        <v>298.701298701299</v>
      </c>
      <c r="P18" s="45"/>
      <c r="Q18" s="45"/>
      <c r="R18" s="45">
        <f t="shared" ref="R18:R20" si="6">O18*0.154/1000</f>
        <v>0.046</v>
      </c>
      <c r="S18" s="61">
        <f t="shared" si="4"/>
        <v>1</v>
      </c>
      <c r="T18" s="21"/>
      <c r="U18" s="21"/>
      <c r="V18" s="21"/>
      <c r="W18" s="21"/>
      <c r="X18" s="60"/>
      <c r="Y18" s="54">
        <v>1</v>
      </c>
      <c r="Z18" s="21"/>
    </row>
    <row r="19" s="3" customFormat="1" ht="39.95" customHeight="1" spans="1:26">
      <c r="A19" s="19">
        <f t="shared" si="0"/>
        <v>11</v>
      </c>
      <c r="B19" s="23" t="s">
        <v>207</v>
      </c>
      <c r="C19" s="26" t="s">
        <v>208</v>
      </c>
      <c r="D19" s="27" t="s">
        <v>135</v>
      </c>
      <c r="E19" s="28" t="s">
        <v>137</v>
      </c>
      <c r="F19" s="29"/>
      <c r="G19" s="23" t="s">
        <v>136</v>
      </c>
      <c r="H19" s="28" t="s">
        <v>199</v>
      </c>
      <c r="I19" s="29" t="s">
        <v>147</v>
      </c>
      <c r="J19" s="46" t="s">
        <v>148</v>
      </c>
      <c r="K19" s="43">
        <v>0.044</v>
      </c>
      <c r="L19" s="21" t="s">
        <v>140</v>
      </c>
      <c r="M19" s="21" t="s">
        <v>149</v>
      </c>
      <c r="N19" s="21"/>
      <c r="O19" s="45">
        <f t="shared" si="5"/>
        <v>285.714285714286</v>
      </c>
      <c r="P19" s="45"/>
      <c r="Q19" s="45"/>
      <c r="R19" s="45">
        <f t="shared" si="6"/>
        <v>0.044</v>
      </c>
      <c r="S19" s="61">
        <f t="shared" si="4"/>
        <v>1</v>
      </c>
      <c r="T19" s="21"/>
      <c r="U19" s="21"/>
      <c r="V19" s="21"/>
      <c r="W19" s="21"/>
      <c r="X19" s="60"/>
      <c r="Y19" s="54">
        <v>1</v>
      </c>
      <c r="Z19" s="21"/>
    </row>
    <row r="20" s="3" customFormat="1" ht="39.95" customHeight="1" spans="1:26">
      <c r="A20" s="19">
        <f t="shared" si="0"/>
        <v>12</v>
      </c>
      <c r="B20" s="23" t="s">
        <v>209</v>
      </c>
      <c r="C20" s="26" t="s">
        <v>151</v>
      </c>
      <c r="D20" s="27" t="s">
        <v>135</v>
      </c>
      <c r="E20" s="28" t="s">
        <v>137</v>
      </c>
      <c r="F20" s="29"/>
      <c r="G20" s="23" t="s">
        <v>136</v>
      </c>
      <c r="H20" s="28" t="s">
        <v>199</v>
      </c>
      <c r="I20" s="29" t="s">
        <v>147</v>
      </c>
      <c r="J20" s="46" t="s">
        <v>148</v>
      </c>
      <c r="K20" s="43">
        <v>0.05</v>
      </c>
      <c r="L20" s="21" t="s">
        <v>140</v>
      </c>
      <c r="M20" s="21" t="s">
        <v>149</v>
      </c>
      <c r="N20" s="21"/>
      <c r="O20" s="45">
        <f t="shared" si="5"/>
        <v>324.675324675325</v>
      </c>
      <c r="P20" s="45"/>
      <c r="Q20" s="45"/>
      <c r="R20" s="45">
        <f t="shared" si="6"/>
        <v>0.05</v>
      </c>
      <c r="S20" s="61">
        <f t="shared" si="4"/>
        <v>1</v>
      </c>
      <c r="T20" s="21"/>
      <c r="U20" s="21"/>
      <c r="V20" s="21"/>
      <c r="W20" s="21"/>
      <c r="X20" s="60"/>
      <c r="Y20" s="54">
        <v>1</v>
      </c>
      <c r="Z20" s="21"/>
    </row>
    <row r="21" s="3" customFormat="1" ht="39.95" customHeight="1" spans="1:26">
      <c r="A21" s="19">
        <f t="shared" si="0"/>
        <v>13</v>
      </c>
      <c r="B21" s="23" t="s">
        <v>210</v>
      </c>
      <c r="C21" s="26" t="s">
        <v>211</v>
      </c>
      <c r="D21" s="27" t="s">
        <v>135</v>
      </c>
      <c r="E21" s="28" t="s">
        <v>137</v>
      </c>
      <c r="F21" s="29"/>
      <c r="G21" s="23" t="s">
        <v>136</v>
      </c>
      <c r="H21" s="28" t="s">
        <v>199</v>
      </c>
      <c r="I21" s="29" t="s">
        <v>147</v>
      </c>
      <c r="J21" s="46" t="s">
        <v>148</v>
      </c>
      <c r="K21" s="43">
        <v>0.065</v>
      </c>
      <c r="L21" s="21" t="s">
        <v>140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60"/>
      <c r="Y21" s="54">
        <v>1</v>
      </c>
      <c r="Z21" s="21"/>
    </row>
    <row r="22" s="3" customFormat="1" ht="39.95" customHeight="1" spans="1:26">
      <c r="A22" s="19">
        <f t="shared" si="0"/>
        <v>14</v>
      </c>
      <c r="B22" s="23" t="s">
        <v>212</v>
      </c>
      <c r="C22" s="26" t="s">
        <v>213</v>
      </c>
      <c r="D22" s="27" t="s">
        <v>135</v>
      </c>
      <c r="E22" s="28" t="s">
        <v>137</v>
      </c>
      <c r="F22" s="29"/>
      <c r="G22" s="23" t="s">
        <v>136</v>
      </c>
      <c r="H22" s="28" t="s">
        <v>199</v>
      </c>
      <c r="I22" s="29" t="s">
        <v>147</v>
      </c>
      <c r="J22" s="46" t="s">
        <v>148</v>
      </c>
      <c r="K22" s="43">
        <v>0.027</v>
      </c>
      <c r="L22" s="21" t="s">
        <v>140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60"/>
      <c r="Y22" s="54">
        <v>1</v>
      </c>
      <c r="Z22" s="21"/>
    </row>
    <row r="23" s="3" customFormat="1" ht="39.95" customHeight="1" spans="1:26">
      <c r="A23" s="19">
        <f t="shared" si="0"/>
        <v>15</v>
      </c>
      <c r="B23" s="23" t="s">
        <v>214</v>
      </c>
      <c r="C23" s="26" t="s">
        <v>215</v>
      </c>
      <c r="D23" s="27" t="s">
        <v>135</v>
      </c>
      <c r="E23" s="28" t="s">
        <v>137</v>
      </c>
      <c r="F23" s="29"/>
      <c r="G23" s="23" t="s">
        <v>136</v>
      </c>
      <c r="H23" s="28" t="s">
        <v>199</v>
      </c>
      <c r="I23" s="29" t="s">
        <v>147</v>
      </c>
      <c r="J23" s="46" t="s">
        <v>148</v>
      </c>
      <c r="K23" s="43">
        <v>0.027</v>
      </c>
      <c r="L23" s="21" t="s">
        <v>140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60"/>
      <c r="Y23" s="54">
        <v>1</v>
      </c>
      <c r="Z23" s="21"/>
    </row>
    <row r="24" s="1" customFormat="1" spans="3:26">
      <c r="C24" s="4"/>
      <c r="D24" s="4"/>
      <c r="F24" s="5"/>
      <c r="G24" s="6"/>
      <c r="H24" s="6"/>
      <c r="I24" s="6"/>
      <c r="J24" s="7"/>
      <c r="K24" s="8"/>
      <c r="O24" s="9"/>
      <c r="P24" s="9"/>
      <c r="Q24" s="9"/>
      <c r="R24" s="9"/>
      <c r="S24" s="10"/>
      <c r="X24" s="11"/>
      <c r="Y24" s="1" t="s">
        <v>187</v>
      </c>
      <c r="Z24" s="1">
        <f>SUM(Z9:Z23)</f>
        <v>5.35951255542857</v>
      </c>
    </row>
  </sheetData>
  <mergeCells count="28">
    <mergeCell ref="A2:C2"/>
    <mergeCell ref="A4:C4"/>
    <mergeCell ref="O7:Q7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D1:W6"/>
    <mergeCell ref="A5:C6"/>
  </mergeCells>
  <conditionalFormatting sqref="B$1:B$1048576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9:B23">
    <cfRule type="duplicateValues" dxfId="0" priority="12"/>
    <cfRule type="duplicateValues" dxfId="0" priority="11"/>
    <cfRule type="duplicateValues" dxfId="0" priority="10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自制与外委分析</vt:lpstr>
      <vt:lpstr>SLT0011290上半年采购量</vt:lpstr>
      <vt:lpstr>SLT0010630上半年采购量</vt:lpstr>
      <vt:lpstr>630</vt:lpstr>
      <vt:lpstr>11290</vt:lpstr>
      <vt:lpstr>11290自制成本</vt:lpstr>
      <vt:lpstr>630自制成本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QAD_006</dc:creator>
  <cp:lastModifiedBy>QAD_006</cp:lastModifiedBy>
  <dcterms:created xsi:type="dcterms:W3CDTF">2023-06-09T02:08:00Z</dcterms:created>
  <dcterms:modified xsi:type="dcterms:W3CDTF">2023-06-14T00:56:23Z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C201566E78FD4CCCB9D80957AD7D9E28</vt:lpwstr>
  </property>
  <property fmtid="{D5CDD505-2E9C-101B-9397-08002B2CF9AE}" pid="3" name="KSOProductBuildVer">
    <vt:lpwstr>2052-11.8.2.10912</vt:lpwstr>
  </property>
</Properties>
</file>