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A6座椅立项\福田戴姆勒A6项目\"/>
    </mc:Choice>
  </mc:AlternateContent>
  <bookViews>
    <workbookView xWindow="0" yWindow="0" windowWidth="20925" windowHeight="939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</sheets>
  <externalReferences>
    <externalReference r:id="rId12"/>
    <externalReference r:id="rId13"/>
  </externalReferences>
  <definedNames>
    <definedName name="_xlnm.Print_Area" localSheetId="3">'2025年'!$A$1:$N$48</definedName>
    <definedName name="_xlnm.Print_Area" localSheetId="4">'2026年'!$A$1:$N$48</definedName>
    <definedName name="_xlnm.Print_Area" localSheetId="5">'2027年'!$A$1:$N$48</definedName>
    <definedName name="_xlnm.Print_Area" localSheetId="6">项目投资!$A$1:$C$35</definedName>
  </definedNames>
  <calcPr calcId="162913"/>
</workbook>
</file>

<file path=xl/calcChain.xml><?xml version="1.0" encoding="utf-8"?>
<calcChain xmlns="http://schemas.openxmlformats.org/spreadsheetml/2006/main">
  <c r="D6" i="58" l="1"/>
  <c r="E6" i="58"/>
  <c r="F6" i="58"/>
  <c r="G6" i="58"/>
  <c r="H6" i="58"/>
  <c r="I6" i="58"/>
  <c r="J6" i="58"/>
  <c r="K6" i="58"/>
  <c r="L6" i="58"/>
  <c r="M6" i="58"/>
  <c r="E6" i="57"/>
  <c r="F6" i="57"/>
  <c r="G6" i="57"/>
  <c r="H6" i="57"/>
  <c r="I6" i="57"/>
  <c r="J6" i="57"/>
  <c r="K6" i="57"/>
  <c r="L6" i="57"/>
  <c r="M6" i="57"/>
  <c r="D6" i="43"/>
  <c r="E6" i="43"/>
  <c r="F6" i="43"/>
  <c r="G6" i="43"/>
  <c r="H6" i="43"/>
  <c r="I6" i="43"/>
  <c r="J6" i="43"/>
  <c r="K6" i="43"/>
  <c r="L6" i="43"/>
  <c r="M6" i="43"/>
  <c r="D33" i="58"/>
  <c r="E33" i="58"/>
  <c r="F33" i="58"/>
  <c r="G33" i="58"/>
  <c r="H33" i="58"/>
  <c r="I33" i="58"/>
  <c r="J33" i="58"/>
  <c r="K33" i="58"/>
  <c r="L33" i="58"/>
  <c r="M33" i="58"/>
  <c r="C33" i="58"/>
  <c r="D33" i="57"/>
  <c r="E33" i="57"/>
  <c r="F33" i="57"/>
  <c r="G33" i="57"/>
  <c r="H33" i="57"/>
  <c r="I33" i="57"/>
  <c r="J33" i="57"/>
  <c r="K33" i="57"/>
  <c r="L33" i="57"/>
  <c r="M33" i="57"/>
  <c r="C33" i="57"/>
  <c r="E27" i="53"/>
  <c r="F27" i="53"/>
  <c r="G27" i="53"/>
  <c r="G28" i="53" s="1"/>
  <c r="H27" i="53"/>
  <c r="I27" i="53"/>
  <c r="J27" i="53"/>
  <c r="J28" i="53" s="1"/>
  <c r="K27" i="53"/>
  <c r="L27" i="53"/>
  <c r="M27" i="53"/>
  <c r="M28" i="53" s="1"/>
  <c r="N27" i="53"/>
  <c r="E28" i="53"/>
  <c r="F28" i="53"/>
  <c r="H28" i="53"/>
  <c r="I28" i="53"/>
  <c r="K28" i="53"/>
  <c r="L28" i="53"/>
  <c r="N28" i="53"/>
  <c r="D28" i="53"/>
  <c r="D27" i="53"/>
  <c r="E11" i="50" l="1"/>
  <c r="N8" i="55"/>
  <c r="N9" i="55"/>
  <c r="H17" i="55" l="1"/>
  <c r="H18" i="55" l="1"/>
  <c r="I139" i="50"/>
  <c r="E139" i="50"/>
  <c r="H137" i="50"/>
  <c r="I136" i="50"/>
  <c r="H136" i="50"/>
  <c r="I126" i="50"/>
  <c r="H124" i="50"/>
  <c r="I123" i="50"/>
  <c r="H123" i="50"/>
  <c r="I113" i="50"/>
  <c r="H111" i="50"/>
  <c r="E111" i="50"/>
  <c r="K45" i="57" s="1"/>
  <c r="I110" i="50"/>
  <c r="H110" i="50"/>
  <c r="E110" i="50"/>
  <c r="E109" i="50"/>
  <c r="I100" i="50"/>
  <c r="E99" i="50"/>
  <c r="J44" i="58" s="1"/>
  <c r="H98" i="50"/>
  <c r="I97" i="50"/>
  <c r="H97" i="50"/>
  <c r="E97" i="50"/>
  <c r="I93" i="50"/>
  <c r="I87" i="50"/>
  <c r="H85" i="50"/>
  <c r="I84" i="50"/>
  <c r="H84" i="50"/>
  <c r="I74" i="50"/>
  <c r="H72" i="50"/>
  <c r="I71" i="50"/>
  <c r="H71" i="50"/>
  <c r="I61" i="50"/>
  <c r="H59" i="50"/>
  <c r="I58" i="50"/>
  <c r="H58" i="50"/>
  <c r="E49" i="50"/>
  <c r="I48" i="50"/>
  <c r="E47" i="50"/>
  <c r="H46" i="50"/>
  <c r="I45" i="50"/>
  <c r="H45" i="50"/>
  <c r="E45" i="50"/>
  <c r="I41" i="50"/>
  <c r="E42" i="50" s="1"/>
  <c r="I35" i="50"/>
  <c r="H33" i="50"/>
  <c r="I32" i="50"/>
  <c r="H32" i="50"/>
  <c r="I22" i="50"/>
  <c r="H20" i="50"/>
  <c r="I19" i="50"/>
  <c r="H19" i="50"/>
  <c r="I10" i="50"/>
  <c r="H8" i="50"/>
  <c r="I7" i="50"/>
  <c r="H7" i="50"/>
  <c r="E7" i="50"/>
  <c r="N24" i="53"/>
  <c r="M16" i="55" s="1"/>
  <c r="M17" i="55" s="1"/>
  <c r="M18" i="55" s="1"/>
  <c r="M24" i="53"/>
  <c r="L16" i="55" s="1"/>
  <c r="L17" i="55" s="1"/>
  <c r="L18" i="55" s="1"/>
  <c r="L24" i="53"/>
  <c r="K16" i="55" s="1"/>
  <c r="K17" i="55" s="1"/>
  <c r="K18" i="55" s="1"/>
  <c r="K24" i="53"/>
  <c r="J24" i="53"/>
  <c r="I16" i="55" s="1"/>
  <c r="I17" i="55" s="1"/>
  <c r="I18" i="55" s="1"/>
  <c r="I24" i="53"/>
  <c r="H10" i="57" s="1"/>
  <c r="H24" i="53"/>
  <c r="G16" i="55" s="1"/>
  <c r="G17" i="55" s="1"/>
  <c r="G18" i="55" s="1"/>
  <c r="G24" i="53"/>
  <c r="F24" i="53"/>
  <c r="E24" i="53"/>
  <c r="D16" i="55" s="1"/>
  <c r="D17" i="55" s="1"/>
  <c r="D18" i="55" s="1"/>
  <c r="D24" i="53"/>
  <c r="C16" i="55" s="1"/>
  <c r="M14" i="55"/>
  <c r="L14" i="55"/>
  <c r="K14" i="55"/>
  <c r="J14" i="55"/>
  <c r="I14" i="55"/>
  <c r="H14" i="55"/>
  <c r="G14" i="55"/>
  <c r="F14" i="55"/>
  <c r="E14" i="55"/>
  <c r="D14" i="55"/>
  <c r="C14" i="55"/>
  <c r="N13" i="55"/>
  <c r="N12" i="55"/>
  <c r="N11" i="55"/>
  <c r="N10" i="55"/>
  <c r="N14" i="55" s="1"/>
  <c r="M8" i="55"/>
  <c r="I132" i="50" s="1"/>
  <c r="E138" i="50" s="1"/>
  <c r="L8" i="55"/>
  <c r="K8" i="55"/>
  <c r="I106" i="50" s="1"/>
  <c r="J8" i="55"/>
  <c r="I8" i="55"/>
  <c r="I80" i="50" s="1"/>
  <c r="G8" i="55"/>
  <c r="G31" i="58" s="1"/>
  <c r="F8" i="55"/>
  <c r="E8" i="55"/>
  <c r="I28" i="50" s="1"/>
  <c r="E35" i="50" s="1"/>
  <c r="E38" i="57" s="1"/>
  <c r="D8" i="55"/>
  <c r="C8" i="55"/>
  <c r="I3" i="50" s="1"/>
  <c r="P7" i="55"/>
  <c r="P8" i="55" s="1"/>
  <c r="P9" i="55" s="1"/>
  <c r="H28" i="51"/>
  <c r="G28" i="51"/>
  <c r="G22" i="51"/>
  <c r="B9" i="51"/>
  <c r="B27" i="51" s="1"/>
  <c r="B8" i="51"/>
  <c r="B26" i="51" s="1"/>
  <c r="C57" i="56" s="1"/>
  <c r="C55" i="56" s="1"/>
  <c r="B7" i="51"/>
  <c r="B5" i="51"/>
  <c r="E38" i="58"/>
  <c r="F36" i="58"/>
  <c r="K32" i="58"/>
  <c r="G32" i="58"/>
  <c r="M31" i="58"/>
  <c r="M32" i="58" s="1"/>
  <c r="K31" i="58"/>
  <c r="J31" i="58"/>
  <c r="J32" i="58" s="1"/>
  <c r="I31" i="58"/>
  <c r="I32" i="58" s="1"/>
  <c r="F31" i="58"/>
  <c r="F32" i="58" s="1"/>
  <c r="E31" i="58"/>
  <c r="E32" i="58" s="1"/>
  <c r="C31" i="58"/>
  <c r="C32" i="58" s="1"/>
  <c r="J19" i="58"/>
  <c r="E13" i="58"/>
  <c r="F11" i="58"/>
  <c r="M7" i="58"/>
  <c r="L7" i="58"/>
  <c r="J7" i="58"/>
  <c r="H7" i="58"/>
  <c r="F7" i="58"/>
  <c r="E7" i="58"/>
  <c r="C6" i="58"/>
  <c r="J44" i="57"/>
  <c r="F36" i="57"/>
  <c r="K32" i="57"/>
  <c r="K34" i="57" s="1"/>
  <c r="J32" i="57"/>
  <c r="G32" i="57"/>
  <c r="F32" i="57"/>
  <c r="E32" i="57"/>
  <c r="C32" i="57"/>
  <c r="M31" i="57"/>
  <c r="M32" i="57" s="1"/>
  <c r="L31" i="57"/>
  <c r="L32" i="57" s="1"/>
  <c r="K31" i="57"/>
  <c r="J31" i="57"/>
  <c r="I31" i="57"/>
  <c r="I32" i="57" s="1"/>
  <c r="H31" i="57"/>
  <c r="H32" i="57" s="1"/>
  <c r="G31" i="57"/>
  <c r="F31" i="57"/>
  <c r="E31" i="57"/>
  <c r="D31" i="57"/>
  <c r="D32" i="57" s="1"/>
  <c r="C31" i="57"/>
  <c r="E13" i="57"/>
  <c r="M7" i="57"/>
  <c r="L7" i="57"/>
  <c r="E7" i="57"/>
  <c r="D7" i="57"/>
  <c r="D6" i="57"/>
  <c r="C6" i="57"/>
  <c r="F47" i="43"/>
  <c r="J44" i="43"/>
  <c r="M38" i="43"/>
  <c r="M13" i="43" s="1"/>
  <c r="E38" i="43"/>
  <c r="F36" i="43"/>
  <c r="M33" i="43"/>
  <c r="M10" i="43" s="1"/>
  <c r="L33" i="43"/>
  <c r="L10" i="43" s="1"/>
  <c r="K33" i="43"/>
  <c r="K10" i="43" s="1"/>
  <c r="J33" i="43"/>
  <c r="J10" i="43" s="1"/>
  <c r="I33" i="43"/>
  <c r="I10" i="43" s="1"/>
  <c r="H33" i="43"/>
  <c r="F33" i="43"/>
  <c r="F34" i="43" s="1"/>
  <c r="E33" i="43"/>
  <c r="E34" i="43" s="1"/>
  <c r="D33" i="43"/>
  <c r="D10" i="43" s="1"/>
  <c r="C33" i="43"/>
  <c r="C10" i="43" s="1"/>
  <c r="L32" i="43"/>
  <c r="H32" i="43"/>
  <c r="H34" i="43" s="1"/>
  <c r="D32" i="43"/>
  <c r="M31" i="43"/>
  <c r="M32" i="43" s="1"/>
  <c r="L31" i="43"/>
  <c r="K31" i="43"/>
  <c r="K32" i="43" s="1"/>
  <c r="K34" i="43" s="1"/>
  <c r="J31" i="43"/>
  <c r="J32" i="43" s="1"/>
  <c r="I31" i="43"/>
  <c r="I32" i="43" s="1"/>
  <c r="H31" i="43"/>
  <c r="G31" i="43"/>
  <c r="G32" i="43" s="1"/>
  <c r="F31" i="43"/>
  <c r="F32" i="43" s="1"/>
  <c r="E31" i="43"/>
  <c r="E32" i="43" s="1"/>
  <c r="D31" i="43"/>
  <c r="C31" i="43"/>
  <c r="C32" i="43" s="1"/>
  <c r="J19" i="43"/>
  <c r="H10" i="43"/>
  <c r="N8" i="43"/>
  <c r="M7" i="43"/>
  <c r="M9" i="43" s="1"/>
  <c r="L7" i="43"/>
  <c r="L9" i="43" s="1"/>
  <c r="K7" i="43"/>
  <c r="K9" i="43" s="1"/>
  <c r="J7" i="43"/>
  <c r="J9" i="43" s="1"/>
  <c r="I7" i="43"/>
  <c r="I9" i="43" s="1"/>
  <c r="H7" i="43"/>
  <c r="H9" i="43" s="1"/>
  <c r="E7" i="43"/>
  <c r="E9" i="43" s="1"/>
  <c r="D7" i="43"/>
  <c r="D9" i="43" s="1"/>
  <c r="C6" i="43"/>
  <c r="F60" i="56"/>
  <c r="C60" i="56"/>
  <c r="C56" i="56"/>
  <c r="F15" i="56"/>
  <c r="C5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M14" i="36" s="1"/>
  <c r="L13" i="36"/>
  <c r="K13" i="36"/>
  <c r="J13" i="36"/>
  <c r="I13" i="36"/>
  <c r="H13" i="36"/>
  <c r="G13" i="36"/>
  <c r="F13" i="36"/>
  <c r="E13" i="36"/>
  <c r="D13" i="36"/>
  <c r="C13" i="36"/>
  <c r="L12" i="36"/>
  <c r="K12" i="36"/>
  <c r="K10" i="36" s="1"/>
  <c r="J12" i="36"/>
  <c r="I12" i="36"/>
  <c r="H12" i="36"/>
  <c r="G12" i="36"/>
  <c r="F12" i="36"/>
  <c r="E12" i="36"/>
  <c r="D12" i="36"/>
  <c r="C12" i="36"/>
  <c r="C10" i="36" s="1"/>
  <c r="L11" i="36"/>
  <c r="K11" i="36"/>
  <c r="J11" i="36"/>
  <c r="J10" i="36" s="1"/>
  <c r="I11" i="36"/>
  <c r="H11" i="36"/>
  <c r="G11" i="36"/>
  <c r="F11" i="36"/>
  <c r="F10" i="36" s="1"/>
  <c r="E11" i="36"/>
  <c r="D11" i="36"/>
  <c r="C11" i="36"/>
  <c r="G10" i="36"/>
  <c r="M9" i="36"/>
  <c r="M8" i="36"/>
  <c r="L7" i="36"/>
  <c r="K7" i="36"/>
  <c r="J7" i="36"/>
  <c r="I7" i="36"/>
  <c r="H7" i="36"/>
  <c r="G7" i="36"/>
  <c r="F7" i="36"/>
  <c r="E7" i="36"/>
  <c r="L6" i="36"/>
  <c r="K6" i="36"/>
  <c r="K5" i="36" s="1"/>
  <c r="J6" i="36"/>
  <c r="I6" i="36"/>
  <c r="I5" i="36" s="1"/>
  <c r="H6" i="36"/>
  <c r="G6" i="36"/>
  <c r="G5" i="36" s="1"/>
  <c r="F6" i="36"/>
  <c r="E6" i="36"/>
  <c r="E5" i="36" s="1"/>
  <c r="L5" i="36"/>
  <c r="J5" i="36"/>
  <c r="H5" i="36"/>
  <c r="F5" i="36"/>
  <c r="F17" i="36" s="1"/>
  <c r="F19" i="36" s="1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B10" i="51" l="1"/>
  <c r="G33" i="43"/>
  <c r="G10" i="43" s="1"/>
  <c r="G34" i="57"/>
  <c r="G34" i="58"/>
  <c r="K34" i="58"/>
  <c r="L34" i="57"/>
  <c r="J34" i="57"/>
  <c r="D34" i="43"/>
  <c r="F16" i="55"/>
  <c r="F17" i="55" s="1"/>
  <c r="F18" i="55" s="1"/>
  <c r="M34" i="43"/>
  <c r="D34" i="57"/>
  <c r="F34" i="57"/>
  <c r="C10" i="58"/>
  <c r="L10" i="58"/>
  <c r="J34" i="58"/>
  <c r="J16" i="55"/>
  <c r="J17" i="55" s="1"/>
  <c r="J18" i="55" s="1"/>
  <c r="C17" i="55"/>
  <c r="C34" i="43"/>
  <c r="I34" i="43"/>
  <c r="J34" i="43"/>
  <c r="L34" i="43"/>
  <c r="H34" i="57"/>
  <c r="C10" i="57"/>
  <c r="D10" i="58"/>
  <c r="E34" i="57"/>
  <c r="E16" i="55"/>
  <c r="E17" i="55" s="1"/>
  <c r="E18" i="55" s="1"/>
  <c r="H10" i="58"/>
  <c r="E17" i="36"/>
  <c r="E19" i="36" s="1"/>
  <c r="M7" i="36"/>
  <c r="M11" i="36"/>
  <c r="E10" i="36"/>
  <c r="I10" i="36"/>
  <c r="I17" i="36" s="1"/>
  <c r="I19" i="36" s="1"/>
  <c r="M13" i="36"/>
  <c r="M15" i="36"/>
  <c r="C17" i="36"/>
  <c r="E23" i="36" s="1"/>
  <c r="G17" i="36"/>
  <c r="G19" i="36" s="1"/>
  <c r="K17" i="36"/>
  <c r="K19" i="36" s="1"/>
  <c r="D10" i="36"/>
  <c r="D17" i="36" s="1"/>
  <c r="D19" i="36" s="1"/>
  <c r="H10" i="36"/>
  <c r="H17" i="36" s="1"/>
  <c r="H19" i="36" s="1"/>
  <c r="L10" i="36"/>
  <c r="L17" i="36" s="1"/>
  <c r="L19" i="36" s="1"/>
  <c r="E22" i="36"/>
  <c r="M17" i="36"/>
  <c r="J17" i="36"/>
  <c r="J19" i="36" s="1"/>
  <c r="F19" i="43"/>
  <c r="F11" i="43"/>
  <c r="F10" i="43"/>
  <c r="F7" i="43"/>
  <c r="F9" i="43" s="1"/>
  <c r="C7" i="43"/>
  <c r="N6" i="43"/>
  <c r="C3" i="56" s="1"/>
  <c r="G7" i="43"/>
  <c r="G9" i="43" s="1"/>
  <c r="F44" i="58"/>
  <c r="F44" i="57"/>
  <c r="F44" i="43"/>
  <c r="M6" i="36"/>
  <c r="M12" i="36"/>
  <c r="K45" i="58"/>
  <c r="K45" i="43"/>
  <c r="K20" i="43" s="1"/>
  <c r="F22" i="57"/>
  <c r="L8" i="57"/>
  <c r="L9" i="57" s="1"/>
  <c r="K37" i="58"/>
  <c r="K37" i="57"/>
  <c r="K37" i="43"/>
  <c r="K12" i="43" s="1"/>
  <c r="M5" i="36"/>
  <c r="F22" i="43"/>
  <c r="E8" i="57"/>
  <c r="E9" i="57" s="1"/>
  <c r="E10" i="43"/>
  <c r="E13" i="43"/>
  <c r="N6" i="57"/>
  <c r="D3" i="56" s="1"/>
  <c r="H7" i="57"/>
  <c r="D10" i="57"/>
  <c r="L10" i="57"/>
  <c r="N6" i="58"/>
  <c r="E3" i="56" s="1"/>
  <c r="C7" i="58"/>
  <c r="G7" i="58"/>
  <c r="K20" i="58"/>
  <c r="K12" i="58"/>
  <c r="K10" i="58"/>
  <c r="K7" i="58"/>
  <c r="I34" i="58"/>
  <c r="I10" i="57"/>
  <c r="M10" i="58"/>
  <c r="M34" i="57"/>
  <c r="I7" i="57"/>
  <c r="E10" i="57"/>
  <c r="M10" i="57"/>
  <c r="D27" i="51"/>
  <c r="M44" i="58"/>
  <c r="M44" i="57"/>
  <c r="M19" i="57" s="1"/>
  <c r="M44" i="43"/>
  <c r="M19" i="43" s="1"/>
  <c r="F7" i="57"/>
  <c r="J7" i="57"/>
  <c r="J10" i="57"/>
  <c r="F11" i="57"/>
  <c r="F19" i="57"/>
  <c r="J19" i="57"/>
  <c r="E10" i="58"/>
  <c r="I7" i="58"/>
  <c r="M19" i="58"/>
  <c r="E34" i="58"/>
  <c r="J26" i="51"/>
  <c r="D26" i="51"/>
  <c r="Q9" i="55"/>
  <c r="P10" i="55"/>
  <c r="Q10" i="55" s="1"/>
  <c r="Q8" i="55"/>
  <c r="L8" i="58" s="1"/>
  <c r="L9" i="58" s="1"/>
  <c r="M38" i="58"/>
  <c r="M38" i="57"/>
  <c r="M13" i="57" s="1"/>
  <c r="C7" i="57"/>
  <c r="G7" i="57"/>
  <c r="K7" i="57"/>
  <c r="G10" i="57"/>
  <c r="K10" i="57"/>
  <c r="K12" i="57"/>
  <c r="K20" i="57"/>
  <c r="M13" i="58"/>
  <c r="F47" i="57"/>
  <c r="F47" i="58"/>
  <c r="F19" i="58"/>
  <c r="F22" i="58"/>
  <c r="E29" i="50"/>
  <c r="E98" i="50"/>
  <c r="E96" i="50"/>
  <c r="E100" i="50"/>
  <c r="E95" i="50"/>
  <c r="E94" i="50"/>
  <c r="E101" i="50"/>
  <c r="E134" i="50"/>
  <c r="E46" i="50"/>
  <c r="E44" i="50"/>
  <c r="E36" i="50"/>
  <c r="E32" i="50"/>
  <c r="E48" i="50"/>
  <c r="E43" i="50"/>
  <c r="E33" i="50"/>
  <c r="E31" i="50"/>
  <c r="E34" i="50"/>
  <c r="E30" i="50"/>
  <c r="E88" i="50"/>
  <c r="E84" i="50"/>
  <c r="E85" i="50"/>
  <c r="E83" i="50"/>
  <c r="E86" i="50"/>
  <c r="E82" i="50"/>
  <c r="E140" i="50"/>
  <c r="E136" i="50"/>
  <c r="E137" i="50"/>
  <c r="E135" i="50"/>
  <c r="E133" i="50"/>
  <c r="E81" i="50"/>
  <c r="E87" i="50"/>
  <c r="D7" i="58"/>
  <c r="E10" i="50"/>
  <c r="E5" i="50"/>
  <c r="E9" i="50"/>
  <c r="E4" i="50"/>
  <c r="E113" i="50"/>
  <c r="E108" i="50"/>
  <c r="E112" i="50"/>
  <c r="E107" i="50"/>
  <c r="E114" i="50"/>
  <c r="E6" i="50"/>
  <c r="E8" i="50"/>
  <c r="I54" i="50"/>
  <c r="I15" i="50"/>
  <c r="D31" i="58"/>
  <c r="D32" i="58" s="1"/>
  <c r="I67" i="50"/>
  <c r="H31" i="58"/>
  <c r="H32" i="58" s="1"/>
  <c r="H34" i="58" s="1"/>
  <c r="I119" i="50"/>
  <c r="L31" i="58"/>
  <c r="L32" i="58" s="1"/>
  <c r="Q7" i="55"/>
  <c r="D8" i="57" s="1"/>
  <c r="D9" i="57" s="1"/>
  <c r="G34" i="43" l="1"/>
  <c r="G10" i="58"/>
  <c r="D34" i="58"/>
  <c r="J10" i="58"/>
  <c r="I10" i="58"/>
  <c r="C34" i="57"/>
  <c r="C34" i="58"/>
  <c r="L34" i="58"/>
  <c r="F10" i="57"/>
  <c r="N10" i="57" s="1"/>
  <c r="D7" i="56" s="1"/>
  <c r="D30" i="56" s="1"/>
  <c r="C18" i="55"/>
  <c r="N17" i="55"/>
  <c r="N18" i="55" s="1"/>
  <c r="M34" i="58"/>
  <c r="N16" i="55"/>
  <c r="F34" i="58"/>
  <c r="F10" i="58"/>
  <c r="M10" i="36"/>
  <c r="C18" i="36"/>
  <c r="D18" i="36" s="1"/>
  <c r="E18" i="36" s="1"/>
  <c r="F18" i="36" s="1"/>
  <c r="G18" i="36" s="1"/>
  <c r="H18" i="36" s="1"/>
  <c r="E24" i="36" s="1"/>
  <c r="C19" i="36"/>
  <c r="N10" i="43"/>
  <c r="C7" i="56" s="1"/>
  <c r="E21" i="50"/>
  <c r="E16" i="50"/>
  <c r="E23" i="50"/>
  <c r="E19" i="50"/>
  <c r="E18" i="50"/>
  <c r="E22" i="50"/>
  <c r="E20" i="50"/>
  <c r="E17" i="50"/>
  <c r="K38" i="58"/>
  <c r="K13" i="58" s="1"/>
  <c r="K38" i="43"/>
  <c r="K13" i="43" s="1"/>
  <c r="K38" i="57"/>
  <c r="K13" i="57" s="1"/>
  <c r="M47" i="58"/>
  <c r="M22" i="58" s="1"/>
  <c r="M47" i="57"/>
  <c r="M22" i="57" s="1"/>
  <c r="M47" i="43"/>
  <c r="M22" i="43" s="1"/>
  <c r="E44" i="58"/>
  <c r="E19" i="58" s="1"/>
  <c r="E44" i="57"/>
  <c r="E19" i="57" s="1"/>
  <c r="E44" i="43"/>
  <c r="E19" i="43" s="1"/>
  <c r="F45" i="58"/>
  <c r="F20" i="58" s="1"/>
  <c r="F45" i="43"/>
  <c r="F20" i="43" s="1"/>
  <c r="F45" i="57"/>
  <c r="F20" i="57" s="1"/>
  <c r="E36" i="58"/>
  <c r="E11" i="58" s="1"/>
  <c r="E36" i="43"/>
  <c r="E36" i="57"/>
  <c r="J8" i="58"/>
  <c r="J9" i="58" s="1"/>
  <c r="E61" i="50"/>
  <c r="E56" i="50"/>
  <c r="E60" i="50"/>
  <c r="E55" i="50"/>
  <c r="E58" i="50"/>
  <c r="E59" i="50"/>
  <c r="E57" i="50"/>
  <c r="E62" i="50"/>
  <c r="K36" i="57"/>
  <c r="K36" i="58"/>
  <c r="K36" i="43"/>
  <c r="C47" i="57"/>
  <c r="C22" i="57" s="1"/>
  <c r="C47" i="58"/>
  <c r="C22" i="58" s="1"/>
  <c r="C47" i="43"/>
  <c r="C22" i="43" s="1"/>
  <c r="C38" i="58"/>
  <c r="C13" i="58" s="1"/>
  <c r="C38" i="43"/>
  <c r="C13" i="43" s="1"/>
  <c r="C38" i="57"/>
  <c r="C13" i="57" s="1"/>
  <c r="D8" i="58"/>
  <c r="D9" i="58" s="1"/>
  <c r="M37" i="58"/>
  <c r="M12" i="58" s="1"/>
  <c r="M37" i="57"/>
  <c r="M12" i="57" s="1"/>
  <c r="M37" i="43"/>
  <c r="M12" i="43" s="1"/>
  <c r="I43" i="58"/>
  <c r="I43" i="43"/>
  <c r="I43" i="57"/>
  <c r="E37" i="58"/>
  <c r="E12" i="58" s="1"/>
  <c r="E37" i="43"/>
  <c r="E12" i="43" s="1"/>
  <c r="E37" i="57"/>
  <c r="E12" i="57" s="1"/>
  <c r="M43" i="58"/>
  <c r="M43" i="43"/>
  <c r="M43" i="57"/>
  <c r="J38" i="58"/>
  <c r="J13" i="58" s="1"/>
  <c r="J38" i="43"/>
  <c r="J13" i="43" s="1"/>
  <c r="J38" i="57"/>
  <c r="J13" i="57" s="1"/>
  <c r="I8" i="58"/>
  <c r="I9" i="58" s="1"/>
  <c r="J8" i="57"/>
  <c r="J9" i="57" s="1"/>
  <c r="I8" i="57"/>
  <c r="I9" i="57" s="1"/>
  <c r="M8" i="58"/>
  <c r="M9" i="58" s="1"/>
  <c r="G8" i="58"/>
  <c r="G9" i="58" s="1"/>
  <c r="I34" i="57"/>
  <c r="M8" i="57"/>
  <c r="M9" i="57" s="1"/>
  <c r="C37" i="58"/>
  <c r="C12" i="58" s="1"/>
  <c r="C37" i="57"/>
  <c r="C12" i="57" s="1"/>
  <c r="C37" i="43"/>
  <c r="C12" i="43" s="1"/>
  <c r="K43" i="58"/>
  <c r="K43" i="57"/>
  <c r="K43" i="43"/>
  <c r="C44" i="58"/>
  <c r="C19" i="58" s="1"/>
  <c r="C44" i="57"/>
  <c r="C19" i="57" s="1"/>
  <c r="C44" i="43"/>
  <c r="C19" i="43" s="1"/>
  <c r="I36" i="58"/>
  <c r="I11" i="58" s="1"/>
  <c r="I36" i="43"/>
  <c r="I36" i="57"/>
  <c r="I11" i="57" s="1"/>
  <c r="I37" i="58"/>
  <c r="I12" i="58" s="1"/>
  <c r="I37" i="43"/>
  <c r="I12" i="43" s="1"/>
  <c r="I37" i="57"/>
  <c r="I12" i="57" s="1"/>
  <c r="E43" i="58"/>
  <c r="E43" i="43"/>
  <c r="E43" i="57"/>
  <c r="F43" i="58"/>
  <c r="F43" i="57"/>
  <c r="F43" i="43"/>
  <c r="F37" i="58"/>
  <c r="F37" i="43"/>
  <c r="F37" i="57"/>
  <c r="J36" i="58"/>
  <c r="J36" i="43"/>
  <c r="J36" i="57"/>
  <c r="J45" i="58"/>
  <c r="J20" i="58" s="1"/>
  <c r="J45" i="57"/>
  <c r="J20" i="57" s="1"/>
  <c r="J45" i="43"/>
  <c r="J20" i="43" s="1"/>
  <c r="G8" i="57"/>
  <c r="G9" i="57" s="1"/>
  <c r="E27" i="51"/>
  <c r="N21" i="43"/>
  <c r="E8" i="58"/>
  <c r="E9" i="58" s="1"/>
  <c r="N7" i="43"/>
  <c r="C4" i="56" s="1"/>
  <c r="C9" i="43"/>
  <c r="E125" i="50"/>
  <c r="E120" i="50"/>
  <c r="E127" i="50"/>
  <c r="E123" i="50"/>
  <c r="E124" i="50"/>
  <c r="E121" i="50"/>
  <c r="E126" i="50"/>
  <c r="E122" i="50"/>
  <c r="K47" i="58"/>
  <c r="K22" i="58" s="1"/>
  <c r="K47" i="57"/>
  <c r="K22" i="57" s="1"/>
  <c r="K47" i="43"/>
  <c r="K22" i="43" s="1"/>
  <c r="C43" i="57"/>
  <c r="C43" i="43"/>
  <c r="C43" i="58"/>
  <c r="M36" i="58"/>
  <c r="M11" i="58" s="1"/>
  <c r="M14" i="58" s="1"/>
  <c r="M36" i="57"/>
  <c r="M11" i="57" s="1"/>
  <c r="M36" i="43"/>
  <c r="I45" i="57"/>
  <c r="I20" i="57" s="1"/>
  <c r="I45" i="58"/>
  <c r="I20" i="58" s="1"/>
  <c r="I45" i="43"/>
  <c r="I20" i="43" s="1"/>
  <c r="F38" i="58"/>
  <c r="F13" i="58" s="1"/>
  <c r="F38" i="57"/>
  <c r="F13" i="57" s="1"/>
  <c r="F38" i="43"/>
  <c r="F13" i="43" s="1"/>
  <c r="J43" i="58"/>
  <c r="J43" i="57"/>
  <c r="J43" i="43"/>
  <c r="H8" i="58"/>
  <c r="H9" i="58" s="1"/>
  <c r="C8" i="57"/>
  <c r="N7" i="57"/>
  <c r="D4" i="56" s="1"/>
  <c r="E40" i="58"/>
  <c r="K8" i="58"/>
  <c r="K9" i="58" s="1"/>
  <c r="H8" i="57"/>
  <c r="H9" i="57" s="1"/>
  <c r="E73" i="50"/>
  <c r="E68" i="50"/>
  <c r="E75" i="50"/>
  <c r="E71" i="50"/>
  <c r="E70" i="50"/>
  <c r="E69" i="50"/>
  <c r="E72" i="50"/>
  <c r="E74" i="50"/>
  <c r="C45" i="58"/>
  <c r="C20" i="58" s="1"/>
  <c r="C45" i="57"/>
  <c r="C20" i="57" s="1"/>
  <c r="C45" i="43"/>
  <c r="C20" i="43" s="1"/>
  <c r="K44" i="58"/>
  <c r="K19" i="58" s="1"/>
  <c r="K44" i="57"/>
  <c r="K19" i="57" s="1"/>
  <c r="K44" i="43"/>
  <c r="K19" i="43" s="1"/>
  <c r="C36" i="58"/>
  <c r="C36" i="57"/>
  <c r="C36" i="43"/>
  <c r="I38" i="57"/>
  <c r="I13" i="57" s="1"/>
  <c r="I38" i="43"/>
  <c r="I13" i="43" s="1"/>
  <c r="I38" i="58"/>
  <c r="I13" i="58" s="1"/>
  <c r="M45" i="58"/>
  <c r="M20" i="58" s="1"/>
  <c r="M45" i="57"/>
  <c r="M20" i="57" s="1"/>
  <c r="M45" i="43"/>
  <c r="M20" i="43" s="1"/>
  <c r="I44" i="58"/>
  <c r="I19" i="58" s="1"/>
  <c r="I44" i="57"/>
  <c r="I19" i="57" s="1"/>
  <c r="I44" i="43"/>
  <c r="I19" i="43" s="1"/>
  <c r="I47" i="58"/>
  <c r="I22" i="58" s="1"/>
  <c r="I47" i="57"/>
  <c r="I22" i="57" s="1"/>
  <c r="I47" i="43"/>
  <c r="I22" i="43" s="1"/>
  <c r="E45" i="58"/>
  <c r="E20" i="58" s="1"/>
  <c r="E45" i="57"/>
  <c r="E20" i="57" s="1"/>
  <c r="E45" i="43"/>
  <c r="E20" i="43" s="1"/>
  <c r="E47" i="58"/>
  <c r="E22" i="58" s="1"/>
  <c r="E47" i="43"/>
  <c r="E22" i="43" s="1"/>
  <c r="E47" i="57"/>
  <c r="E22" i="57" s="1"/>
  <c r="J47" i="58"/>
  <c r="J22" i="58" s="1"/>
  <c r="J47" i="57"/>
  <c r="J22" i="57" s="1"/>
  <c r="J47" i="43"/>
  <c r="J22" i="43" s="1"/>
  <c r="J37" i="58"/>
  <c r="J12" i="58" s="1"/>
  <c r="J37" i="43"/>
  <c r="J12" i="43" s="1"/>
  <c r="J37" i="57"/>
  <c r="J12" i="57" s="1"/>
  <c r="K8" i="57"/>
  <c r="K9" i="57" s="1"/>
  <c r="E26" i="51"/>
  <c r="D28" i="51"/>
  <c r="N18" i="43"/>
  <c r="F8" i="57"/>
  <c r="F9" i="57" s="1"/>
  <c r="I40" i="58"/>
  <c r="F8" i="58"/>
  <c r="F9" i="58" s="1"/>
  <c r="C8" i="58"/>
  <c r="N7" i="58"/>
  <c r="E4" i="56" s="1"/>
  <c r="F3" i="56"/>
  <c r="I22" i="36"/>
  <c r="C20" i="36"/>
  <c r="D20" i="36" s="1"/>
  <c r="E20" i="36" s="1"/>
  <c r="F20" i="36" s="1"/>
  <c r="G20" i="36" s="1"/>
  <c r="H20" i="36" s="1"/>
  <c r="I23" i="36"/>
  <c r="M19" i="36"/>
  <c r="N10" i="58" l="1"/>
  <c r="E7" i="56" s="1"/>
  <c r="E30" i="56" s="1"/>
  <c r="I18" i="36"/>
  <c r="J18" i="36" s="1"/>
  <c r="K18" i="36" s="1"/>
  <c r="L18" i="36" s="1"/>
  <c r="J18" i="43"/>
  <c r="J17" i="43" s="1"/>
  <c r="F18" i="43"/>
  <c r="F17" i="43" s="1"/>
  <c r="M18" i="43"/>
  <c r="M17" i="43" s="1"/>
  <c r="I18" i="43"/>
  <c r="I17" i="43" s="1"/>
  <c r="E18" i="43"/>
  <c r="E17" i="43" s="1"/>
  <c r="G18" i="43"/>
  <c r="L18" i="43"/>
  <c r="D18" i="43"/>
  <c r="K18" i="43"/>
  <c r="K17" i="43" s="1"/>
  <c r="C18" i="43"/>
  <c r="C17" i="43" s="1"/>
  <c r="H18" i="43"/>
  <c r="C40" i="58"/>
  <c r="C11" i="58"/>
  <c r="H45" i="58"/>
  <c r="H20" i="58" s="1"/>
  <c r="H45" i="57"/>
  <c r="H20" i="57" s="1"/>
  <c r="H45" i="43"/>
  <c r="H20" i="43" s="1"/>
  <c r="H47" i="58"/>
  <c r="H22" i="58" s="1"/>
  <c r="H47" i="57"/>
  <c r="H22" i="57" s="1"/>
  <c r="H47" i="43"/>
  <c r="H22" i="43" s="1"/>
  <c r="L45" i="58"/>
  <c r="L20" i="58" s="1"/>
  <c r="L45" i="57"/>
  <c r="L20" i="57" s="1"/>
  <c r="L45" i="43"/>
  <c r="L20" i="43" s="1"/>
  <c r="L44" i="58"/>
  <c r="L19" i="58" s="1"/>
  <c r="L44" i="57"/>
  <c r="L19" i="57" s="1"/>
  <c r="L44" i="43"/>
  <c r="L19" i="43" s="1"/>
  <c r="M21" i="43"/>
  <c r="M46" i="43" s="1"/>
  <c r="I21" i="43"/>
  <c r="I46" i="43" s="1"/>
  <c r="E21" i="43"/>
  <c r="E46" i="43" s="1"/>
  <c r="L21" i="43"/>
  <c r="L46" i="43" s="1"/>
  <c r="H21" i="43"/>
  <c r="H46" i="43" s="1"/>
  <c r="D21" i="43"/>
  <c r="D46" i="43" s="1"/>
  <c r="F21" i="43"/>
  <c r="K21" i="43"/>
  <c r="K46" i="43" s="1"/>
  <c r="C21" i="43"/>
  <c r="C46" i="43" s="1"/>
  <c r="G21" i="43"/>
  <c r="G46" i="43" s="1"/>
  <c r="J21" i="43"/>
  <c r="J46" i="43" s="1"/>
  <c r="C18" i="56"/>
  <c r="F12" i="57"/>
  <c r="F14" i="57" s="1"/>
  <c r="F15" i="57" s="1"/>
  <c r="F40" i="57"/>
  <c r="I14" i="57"/>
  <c r="I15" i="57" s="1"/>
  <c r="G47" i="58"/>
  <c r="G22" i="58" s="1"/>
  <c r="G47" i="57"/>
  <c r="G22" i="57" s="1"/>
  <c r="G47" i="43"/>
  <c r="G22" i="43" s="1"/>
  <c r="G36" i="57"/>
  <c r="G36" i="43"/>
  <c r="G36" i="58"/>
  <c r="E11" i="57"/>
  <c r="E14" i="57" s="1"/>
  <c r="E15" i="57" s="1"/>
  <c r="E40" i="57"/>
  <c r="D45" i="57"/>
  <c r="D20" i="57" s="1"/>
  <c r="D45" i="43"/>
  <c r="D20" i="43" s="1"/>
  <c r="D45" i="58"/>
  <c r="D20" i="58" s="1"/>
  <c r="D47" i="58"/>
  <c r="D22" i="58" s="1"/>
  <c r="D47" i="43"/>
  <c r="D22" i="43" s="1"/>
  <c r="D47" i="57"/>
  <c r="D22" i="57" s="1"/>
  <c r="F7" i="56"/>
  <c r="F30" i="56" s="1"/>
  <c r="C30" i="56"/>
  <c r="M40" i="57"/>
  <c r="I24" i="36"/>
  <c r="I20" i="36"/>
  <c r="J20" i="36" s="1"/>
  <c r="K20" i="36" s="1"/>
  <c r="L20" i="36" s="1"/>
  <c r="L43" i="58"/>
  <c r="L43" i="57"/>
  <c r="L43" i="43"/>
  <c r="L36" i="58"/>
  <c r="L36" i="57"/>
  <c r="L36" i="43"/>
  <c r="J40" i="58"/>
  <c r="J11" i="58"/>
  <c r="J14" i="58" s="1"/>
  <c r="J15" i="58" s="1"/>
  <c r="K40" i="57"/>
  <c r="K11" i="57"/>
  <c r="K14" i="57" s="1"/>
  <c r="K15" i="57" s="1"/>
  <c r="G38" i="58"/>
  <c r="G13" i="58" s="1"/>
  <c r="G38" i="57"/>
  <c r="G13" i="57" s="1"/>
  <c r="G38" i="43"/>
  <c r="G13" i="43" s="1"/>
  <c r="D43" i="58"/>
  <c r="D43" i="43"/>
  <c r="D17" i="43" s="1"/>
  <c r="D43" i="57"/>
  <c r="N8" i="58"/>
  <c r="E5" i="56" s="1"/>
  <c r="H43" i="58"/>
  <c r="H43" i="43"/>
  <c r="H43" i="57"/>
  <c r="H36" i="58"/>
  <c r="H36" i="57"/>
  <c r="H36" i="43"/>
  <c r="N8" i="57"/>
  <c r="D5" i="56" s="1"/>
  <c r="F5" i="56" s="1"/>
  <c r="M11" i="43"/>
  <c r="M14" i="43" s="1"/>
  <c r="M15" i="43" s="1"/>
  <c r="M40" i="43"/>
  <c r="C9" i="58"/>
  <c r="C11" i="43"/>
  <c r="C40" i="43"/>
  <c r="N20" i="58"/>
  <c r="E17" i="56" s="1"/>
  <c r="H37" i="57"/>
  <c r="H12" i="57" s="1"/>
  <c r="H37" i="58"/>
  <c r="H12" i="58" s="1"/>
  <c r="H37" i="43"/>
  <c r="H12" i="43" s="1"/>
  <c r="H44" i="58"/>
  <c r="H19" i="58" s="1"/>
  <c r="H44" i="43"/>
  <c r="H19" i="43" s="1"/>
  <c r="H44" i="57"/>
  <c r="H19" i="57" s="1"/>
  <c r="C9" i="57"/>
  <c r="M14" i="57"/>
  <c r="L37" i="58"/>
  <c r="L12" i="58" s="1"/>
  <c r="L37" i="57"/>
  <c r="L12" i="57" s="1"/>
  <c r="L37" i="43"/>
  <c r="L12" i="43" s="1"/>
  <c r="N9" i="43"/>
  <c r="F27" i="51"/>
  <c r="N21" i="57"/>
  <c r="M40" i="58"/>
  <c r="J40" i="57"/>
  <c r="J11" i="57"/>
  <c r="J14" i="57" s="1"/>
  <c r="J15" i="57" s="1"/>
  <c r="F40" i="43"/>
  <c r="F12" i="43"/>
  <c r="F14" i="43" s="1"/>
  <c r="F15" i="43" s="1"/>
  <c r="I11" i="43"/>
  <c r="I14" i="43" s="1"/>
  <c r="I15" i="43" s="1"/>
  <c r="I40" i="43"/>
  <c r="M15" i="57"/>
  <c r="M15" i="58"/>
  <c r="K11" i="43"/>
  <c r="K14" i="43" s="1"/>
  <c r="K15" i="43" s="1"/>
  <c r="K40" i="43"/>
  <c r="K48" i="43" s="1"/>
  <c r="G37" i="58"/>
  <c r="G12" i="58" s="1"/>
  <c r="G37" i="57"/>
  <c r="G12" i="57" s="1"/>
  <c r="G37" i="43"/>
  <c r="G12" i="43" s="1"/>
  <c r="G44" i="57"/>
  <c r="G19" i="57" s="1"/>
  <c r="G44" i="58"/>
  <c r="G19" i="58" s="1"/>
  <c r="G44" i="43"/>
  <c r="G19" i="43" s="1"/>
  <c r="E11" i="43"/>
  <c r="E14" i="43" s="1"/>
  <c r="E15" i="43" s="1"/>
  <c r="E40" i="43"/>
  <c r="D38" i="58"/>
  <c r="D13" i="58" s="1"/>
  <c r="D38" i="57"/>
  <c r="D13" i="57" s="1"/>
  <c r="D38" i="43"/>
  <c r="D13" i="43" s="1"/>
  <c r="D36" i="58"/>
  <c r="D36" i="43"/>
  <c r="D36" i="57"/>
  <c r="E28" i="51"/>
  <c r="F26" i="51"/>
  <c r="N18" i="57"/>
  <c r="C40" i="57"/>
  <c r="C11" i="57"/>
  <c r="H38" i="58"/>
  <c r="H13" i="58" s="1"/>
  <c r="H38" i="43"/>
  <c r="H13" i="43" s="1"/>
  <c r="H38" i="57"/>
  <c r="H13" i="57" s="1"/>
  <c r="L38" i="58"/>
  <c r="L13" i="58" s="1"/>
  <c r="L38" i="57"/>
  <c r="L13" i="57" s="1"/>
  <c r="L38" i="43"/>
  <c r="L13" i="43" s="1"/>
  <c r="L47" i="58"/>
  <c r="L22" i="58" s="1"/>
  <c r="L47" i="43"/>
  <c r="L22" i="43" s="1"/>
  <c r="L47" i="57"/>
  <c r="L22" i="57" s="1"/>
  <c r="F4" i="56"/>
  <c r="C6" i="56"/>
  <c r="J11" i="43"/>
  <c r="J14" i="43" s="1"/>
  <c r="J15" i="43" s="1"/>
  <c r="J40" i="43"/>
  <c r="F12" i="58"/>
  <c r="F14" i="58" s="1"/>
  <c r="F15" i="58" s="1"/>
  <c r="F40" i="58"/>
  <c r="I14" i="58"/>
  <c r="I15" i="58" s="1"/>
  <c r="I40" i="57"/>
  <c r="K11" i="58"/>
  <c r="K14" i="58" s="1"/>
  <c r="K15" i="58" s="1"/>
  <c r="K40" i="58"/>
  <c r="G45" i="58"/>
  <c r="G20" i="58" s="1"/>
  <c r="G45" i="43"/>
  <c r="G20" i="43" s="1"/>
  <c r="G45" i="57"/>
  <c r="G20" i="57" s="1"/>
  <c r="N20" i="57" s="1"/>
  <c r="D17" i="56" s="1"/>
  <c r="G43" i="57"/>
  <c r="G43" i="58"/>
  <c r="G43" i="43"/>
  <c r="E14" i="58"/>
  <c r="E15" i="58" s="1"/>
  <c r="D37" i="58"/>
  <c r="D12" i="58" s="1"/>
  <c r="D37" i="57"/>
  <c r="D12" i="57" s="1"/>
  <c r="D37" i="43"/>
  <c r="D12" i="43" s="1"/>
  <c r="D44" i="58"/>
  <c r="D19" i="58" s="1"/>
  <c r="D44" i="57"/>
  <c r="D19" i="57" s="1"/>
  <c r="N19" i="57" s="1"/>
  <c r="D16" i="56" s="1"/>
  <c r="D42" i="56" s="1"/>
  <c r="D44" i="43"/>
  <c r="D19" i="43" s="1"/>
  <c r="N13" i="58" l="1"/>
  <c r="E10" i="56" s="1"/>
  <c r="N12" i="58"/>
  <c r="E9" i="56" s="1"/>
  <c r="E35" i="56" s="1"/>
  <c r="N12" i="43"/>
  <c r="C9" i="56" s="1"/>
  <c r="H17" i="43"/>
  <c r="N22" i="43"/>
  <c r="N20" i="43"/>
  <c r="C17" i="56" s="1"/>
  <c r="I23" i="43"/>
  <c r="J23" i="43"/>
  <c r="N19" i="43"/>
  <c r="C16" i="56" s="1"/>
  <c r="K23" i="43"/>
  <c r="G17" i="43"/>
  <c r="G23" i="43" s="1"/>
  <c r="J48" i="43"/>
  <c r="E48" i="43"/>
  <c r="I48" i="43"/>
  <c r="E23" i="43"/>
  <c r="E24" i="43" s="1"/>
  <c r="L17" i="43"/>
  <c r="L23" i="43" s="1"/>
  <c r="N13" i="43"/>
  <c r="C10" i="56" s="1"/>
  <c r="C36" i="56" s="1"/>
  <c r="N12" i="57"/>
  <c r="D9" i="56" s="1"/>
  <c r="D35" i="56" s="1"/>
  <c r="N19" i="58"/>
  <c r="E16" i="56" s="1"/>
  <c r="E42" i="56" s="1"/>
  <c r="N13" i="57"/>
  <c r="D10" i="56" s="1"/>
  <c r="C35" i="56"/>
  <c r="F10" i="56"/>
  <c r="I16" i="57"/>
  <c r="C42" i="56"/>
  <c r="F16" i="58"/>
  <c r="D36" i="56"/>
  <c r="C19" i="56"/>
  <c r="E36" i="56"/>
  <c r="F16" i="57"/>
  <c r="E16" i="58"/>
  <c r="D43" i="56"/>
  <c r="K16" i="58"/>
  <c r="J16" i="57"/>
  <c r="K16" i="57"/>
  <c r="J16" i="58"/>
  <c r="F28" i="51"/>
  <c r="N18" i="58"/>
  <c r="I26" i="51"/>
  <c r="I24" i="43"/>
  <c r="I16" i="43"/>
  <c r="N21" i="58"/>
  <c r="I27" i="51"/>
  <c r="E43" i="56"/>
  <c r="G11" i="58"/>
  <c r="G14" i="58" s="1"/>
  <c r="G15" i="58" s="1"/>
  <c r="G40" i="58"/>
  <c r="C29" i="56"/>
  <c r="C31" i="56" s="1"/>
  <c r="C32" i="56" s="1"/>
  <c r="D11" i="58"/>
  <c r="D14" i="58" s="1"/>
  <c r="D15" i="58" s="1"/>
  <c r="D40" i="58"/>
  <c r="M23" i="43"/>
  <c r="M24" i="43" s="1"/>
  <c r="N9" i="57"/>
  <c r="D6" i="56" s="1"/>
  <c r="D29" i="56" s="1"/>
  <c r="D31" i="56" s="1"/>
  <c r="D32" i="56" s="1"/>
  <c r="C48" i="43"/>
  <c r="M48" i="43"/>
  <c r="H11" i="43"/>
  <c r="H14" i="43" s="1"/>
  <c r="H15" i="43" s="1"/>
  <c r="H40" i="43"/>
  <c r="H48" i="43" s="1"/>
  <c r="L11" i="58"/>
  <c r="L14" i="58" s="1"/>
  <c r="L15" i="58" s="1"/>
  <c r="L40" i="58"/>
  <c r="D23" i="43"/>
  <c r="G40" i="43"/>
  <c r="G48" i="43" s="1"/>
  <c r="G11" i="43"/>
  <c r="G14" i="43" s="1"/>
  <c r="G15" i="43" s="1"/>
  <c r="C44" i="56"/>
  <c r="C50" i="56"/>
  <c r="L11" i="57"/>
  <c r="L14" i="57" s="1"/>
  <c r="L15" i="57" s="1"/>
  <c r="L40" i="57"/>
  <c r="C23" i="43"/>
  <c r="F16" i="43"/>
  <c r="C14" i="43"/>
  <c r="N9" i="58"/>
  <c r="E6" i="56" s="1"/>
  <c r="E29" i="56" s="1"/>
  <c r="E31" i="56" s="1"/>
  <c r="E32" i="56" s="1"/>
  <c r="M16" i="43"/>
  <c r="H40" i="57"/>
  <c r="H11" i="57"/>
  <c r="H14" i="57" s="1"/>
  <c r="H15" i="57" s="1"/>
  <c r="N22" i="58"/>
  <c r="G40" i="57"/>
  <c r="G11" i="57"/>
  <c r="G14" i="57" s="1"/>
  <c r="G15" i="57" s="1"/>
  <c r="N22" i="57"/>
  <c r="F46" i="43"/>
  <c r="F48" i="43" s="1"/>
  <c r="F23" i="43"/>
  <c r="F24" i="43" s="1"/>
  <c r="C14" i="58"/>
  <c r="J24" i="43"/>
  <c r="J16" i="43"/>
  <c r="D11" i="43"/>
  <c r="D14" i="43" s="1"/>
  <c r="D15" i="43" s="1"/>
  <c r="D40" i="43"/>
  <c r="D48" i="43" s="1"/>
  <c r="M16" i="57"/>
  <c r="C43" i="56"/>
  <c r="C49" i="56"/>
  <c r="F17" i="56"/>
  <c r="H23" i="43"/>
  <c r="I16" i="58"/>
  <c r="C14" i="57"/>
  <c r="N14" i="57" s="1"/>
  <c r="K18" i="57"/>
  <c r="K17" i="57" s="1"/>
  <c r="G18" i="57"/>
  <c r="G17" i="57" s="1"/>
  <c r="C18" i="57"/>
  <c r="C17" i="57" s="1"/>
  <c r="J18" i="57"/>
  <c r="J17" i="57" s="1"/>
  <c r="F18" i="57"/>
  <c r="F17" i="57" s="1"/>
  <c r="M18" i="57"/>
  <c r="M17" i="57" s="1"/>
  <c r="E18" i="57"/>
  <c r="E17" i="57" s="1"/>
  <c r="L18" i="57"/>
  <c r="L17" i="57" s="1"/>
  <c r="D18" i="57"/>
  <c r="H18" i="57"/>
  <c r="H17" i="57" s="1"/>
  <c r="I18" i="57"/>
  <c r="I17" i="57" s="1"/>
  <c r="D11" i="57"/>
  <c r="D14" i="57" s="1"/>
  <c r="D15" i="57" s="1"/>
  <c r="D40" i="57"/>
  <c r="E16" i="43"/>
  <c r="K24" i="43"/>
  <c r="K16" i="43"/>
  <c r="M16" i="58"/>
  <c r="K21" i="57"/>
  <c r="G21" i="57"/>
  <c r="G46" i="57" s="1"/>
  <c r="C21" i="57"/>
  <c r="J21" i="57"/>
  <c r="F21" i="57"/>
  <c r="I21" i="57"/>
  <c r="H21" i="57"/>
  <c r="H46" i="57" s="1"/>
  <c r="D18" i="56"/>
  <c r="M21" i="57"/>
  <c r="L21" i="57"/>
  <c r="L46" i="57" s="1"/>
  <c r="E21" i="57"/>
  <c r="D21" i="57"/>
  <c r="D46" i="57" s="1"/>
  <c r="H11" i="58"/>
  <c r="H14" i="58" s="1"/>
  <c r="H15" i="58" s="1"/>
  <c r="H40" i="58"/>
  <c r="D17" i="57"/>
  <c r="L11" i="43"/>
  <c r="L14" i="43" s="1"/>
  <c r="L15" i="43" s="1"/>
  <c r="L40" i="43"/>
  <c r="L48" i="43" s="1"/>
  <c r="E16" i="57"/>
  <c r="F9" i="56" l="1"/>
  <c r="F35" i="56" s="1"/>
  <c r="F16" i="56"/>
  <c r="F42" i="56" s="1"/>
  <c r="C47" i="56"/>
  <c r="N11" i="43"/>
  <c r="C8" i="56" s="1"/>
  <c r="C34" i="56" s="1"/>
  <c r="N17" i="43"/>
  <c r="C14" i="56" s="1"/>
  <c r="C20" i="56" s="1"/>
  <c r="G48" i="57"/>
  <c r="E47" i="56"/>
  <c r="D47" i="56"/>
  <c r="F25" i="43"/>
  <c r="F26" i="43" s="1"/>
  <c r="F27" i="43" s="1"/>
  <c r="E46" i="57"/>
  <c r="E48" i="57" s="1"/>
  <c r="E23" i="57"/>
  <c r="E24" i="57" s="1"/>
  <c r="C46" i="57"/>
  <c r="C48" i="57" s="1"/>
  <c r="C23" i="57"/>
  <c r="N17" i="57"/>
  <c r="D14" i="56" s="1"/>
  <c r="D41" i="56" s="1"/>
  <c r="H23" i="57"/>
  <c r="H24" i="57" s="1"/>
  <c r="E25" i="43"/>
  <c r="E26" i="43" s="1"/>
  <c r="E27" i="43" s="1"/>
  <c r="J25" i="43"/>
  <c r="J26" i="43" s="1"/>
  <c r="J27" i="43" s="1"/>
  <c r="M25" i="43"/>
  <c r="M26" i="43" s="1"/>
  <c r="M27" i="43" s="1"/>
  <c r="L16" i="57"/>
  <c r="G16" i="58"/>
  <c r="I46" i="57"/>
  <c r="I48" i="57" s="1"/>
  <c r="I23" i="57"/>
  <c r="I24" i="57" s="1"/>
  <c r="C41" i="56"/>
  <c r="G24" i="43"/>
  <c r="G16" i="43"/>
  <c r="F6" i="56"/>
  <c r="F29" i="56" s="1"/>
  <c r="F31" i="56" s="1"/>
  <c r="F32" i="56" s="1"/>
  <c r="D23" i="57"/>
  <c r="D24" i="57" s="1"/>
  <c r="E49" i="56"/>
  <c r="I25" i="43"/>
  <c r="I26" i="43" s="1"/>
  <c r="I27" i="43" s="1"/>
  <c r="C51" i="56"/>
  <c r="C45" i="56"/>
  <c r="F36" i="56"/>
  <c r="H16" i="58"/>
  <c r="M46" i="57"/>
  <c r="M48" i="57" s="1"/>
  <c r="M23" i="57"/>
  <c r="M24" i="57" s="1"/>
  <c r="F46" i="57"/>
  <c r="F48" i="57" s="1"/>
  <c r="F23" i="57"/>
  <c r="F24" i="57" s="1"/>
  <c r="K46" i="57"/>
  <c r="K48" i="57" s="1"/>
  <c r="K23" i="57"/>
  <c r="K24" i="57" s="1"/>
  <c r="D48" i="57"/>
  <c r="D24" i="43"/>
  <c r="D16" i="43"/>
  <c r="N14" i="58"/>
  <c r="D19" i="56"/>
  <c r="H48" i="57"/>
  <c r="C15" i="58"/>
  <c r="G23" i="57"/>
  <c r="G24" i="57" s="1"/>
  <c r="L16" i="58"/>
  <c r="H24" i="43"/>
  <c r="H16" i="43"/>
  <c r="C15" i="57"/>
  <c r="D16" i="58"/>
  <c r="D49" i="56"/>
  <c r="L23" i="57"/>
  <c r="L24" i="57" s="1"/>
  <c r="N11" i="58"/>
  <c r="E8" i="56" s="1"/>
  <c r="H16" i="57"/>
  <c r="L24" i="43"/>
  <c r="L16" i="43"/>
  <c r="D44" i="56"/>
  <c r="D50" i="56"/>
  <c r="J46" i="57"/>
  <c r="J48" i="57" s="1"/>
  <c r="J23" i="57"/>
  <c r="J24" i="57" s="1"/>
  <c r="K25" i="43"/>
  <c r="K26" i="43" s="1"/>
  <c r="K27" i="43" s="1"/>
  <c r="D16" i="57"/>
  <c r="N11" i="57"/>
  <c r="D8" i="56" s="1"/>
  <c r="F43" i="56"/>
  <c r="G16" i="57"/>
  <c r="E19" i="56"/>
  <c r="N14" i="43"/>
  <c r="C15" i="43"/>
  <c r="L48" i="57"/>
  <c r="K21" i="58"/>
  <c r="G21" i="58"/>
  <c r="C21" i="58"/>
  <c r="L21" i="58"/>
  <c r="F21" i="58"/>
  <c r="J21" i="58"/>
  <c r="D21" i="58"/>
  <c r="M21" i="58"/>
  <c r="I21" i="58"/>
  <c r="E18" i="56"/>
  <c r="H21" i="58"/>
  <c r="E21" i="58"/>
  <c r="K18" i="58"/>
  <c r="K17" i="58" s="1"/>
  <c r="G18" i="58"/>
  <c r="G17" i="58" s="1"/>
  <c r="C18" i="58"/>
  <c r="C17" i="58" s="1"/>
  <c r="J18" i="58"/>
  <c r="J17" i="58" s="1"/>
  <c r="E18" i="58"/>
  <c r="E17" i="58" s="1"/>
  <c r="L18" i="58"/>
  <c r="L17" i="58" s="1"/>
  <c r="D18" i="58"/>
  <c r="D17" i="58" s="1"/>
  <c r="I18" i="58"/>
  <c r="I17" i="58" s="1"/>
  <c r="H18" i="58"/>
  <c r="H17" i="58" s="1"/>
  <c r="M18" i="58"/>
  <c r="M17" i="58" s="1"/>
  <c r="F18" i="58"/>
  <c r="F17" i="58" s="1"/>
  <c r="C11" i="56" l="1"/>
  <c r="C48" i="56"/>
  <c r="N23" i="43"/>
  <c r="L25" i="57"/>
  <c r="L26" i="57" s="1"/>
  <c r="L27" i="57" s="1"/>
  <c r="E50" i="56"/>
  <c r="E44" i="56"/>
  <c r="G46" i="58"/>
  <c r="G48" i="58" s="1"/>
  <c r="G23" i="58"/>
  <c r="G24" i="58" s="1"/>
  <c r="D34" i="56"/>
  <c r="D48" i="56"/>
  <c r="D11" i="56"/>
  <c r="F25" i="57"/>
  <c r="F26" i="57" s="1"/>
  <c r="F27" i="57" s="1"/>
  <c r="I46" i="58"/>
  <c r="I48" i="58" s="1"/>
  <c r="I23" i="58"/>
  <c r="I24" i="58" s="1"/>
  <c r="F46" i="58"/>
  <c r="F48" i="58" s="1"/>
  <c r="F23" i="58"/>
  <c r="F24" i="58" s="1"/>
  <c r="K46" i="58"/>
  <c r="K48" i="58" s="1"/>
  <c r="K23" i="58"/>
  <c r="K24" i="58" s="1"/>
  <c r="G25" i="57"/>
  <c r="G26" i="57" s="1"/>
  <c r="G27" i="57" s="1"/>
  <c r="J25" i="57"/>
  <c r="J26" i="57" s="1"/>
  <c r="J27" i="57" s="1"/>
  <c r="E34" i="56"/>
  <c r="E11" i="56"/>
  <c r="N23" i="57"/>
  <c r="J46" i="58"/>
  <c r="J48" i="58" s="1"/>
  <c r="J23" i="58"/>
  <c r="J24" i="58" s="1"/>
  <c r="N15" i="43"/>
  <c r="C24" i="43"/>
  <c r="C16" i="43"/>
  <c r="H25" i="57"/>
  <c r="H26" i="57" s="1"/>
  <c r="H27" i="57" s="1"/>
  <c r="C24" i="57"/>
  <c r="C16" i="57"/>
  <c r="N15" i="57"/>
  <c r="D20" i="56"/>
  <c r="D51" i="56"/>
  <c r="D45" i="56"/>
  <c r="D25" i="43"/>
  <c r="D26" i="43" s="1"/>
  <c r="D27" i="43" s="1"/>
  <c r="E46" i="58"/>
  <c r="E48" i="58" s="1"/>
  <c r="E23" i="58"/>
  <c r="E24" i="58" s="1"/>
  <c r="M46" i="58"/>
  <c r="M48" i="58" s="1"/>
  <c r="M23" i="58"/>
  <c r="M24" i="58" s="1"/>
  <c r="L46" i="58"/>
  <c r="L48" i="58" s="1"/>
  <c r="L23" i="58"/>
  <c r="L24" i="58" s="1"/>
  <c r="E51" i="56"/>
  <c r="E45" i="56"/>
  <c r="D25" i="57"/>
  <c r="D26" i="57" s="1"/>
  <c r="D27" i="57" s="1"/>
  <c r="L25" i="43"/>
  <c r="L26" i="43" s="1"/>
  <c r="L27" i="43" s="1"/>
  <c r="H25" i="43"/>
  <c r="H26" i="43" s="1"/>
  <c r="H27" i="43" s="1"/>
  <c r="C16" i="58"/>
  <c r="N15" i="58"/>
  <c r="K25" i="57"/>
  <c r="K26" i="57" s="1"/>
  <c r="K27" i="57" s="1"/>
  <c r="M25" i="57"/>
  <c r="M26" i="57" s="1"/>
  <c r="M27" i="57" s="1"/>
  <c r="I25" i="57"/>
  <c r="I26" i="57" s="1"/>
  <c r="I27" i="57" s="1"/>
  <c r="N17" i="58"/>
  <c r="H46" i="58"/>
  <c r="H48" i="58" s="1"/>
  <c r="H23" i="58"/>
  <c r="H24" i="58" s="1"/>
  <c r="D46" i="58"/>
  <c r="D48" i="58" s="1"/>
  <c r="D23" i="58"/>
  <c r="D24" i="58" s="1"/>
  <c r="C46" i="58"/>
  <c r="C48" i="58" s="1"/>
  <c r="C23" i="58"/>
  <c r="C24" i="58" s="1"/>
  <c r="F49" i="56"/>
  <c r="F47" i="56"/>
  <c r="F19" i="56"/>
  <c r="G25" i="43"/>
  <c r="G26" i="43" s="1"/>
  <c r="G27" i="43" s="1"/>
  <c r="F8" i="56"/>
  <c r="E25" i="57"/>
  <c r="E26" i="57" s="1"/>
  <c r="E27" i="57" s="1"/>
  <c r="F18" i="56"/>
  <c r="F51" i="56" l="1"/>
  <c r="F45" i="56"/>
  <c r="C25" i="58"/>
  <c r="C26" i="58" s="1"/>
  <c r="E25" i="58"/>
  <c r="E26" i="58" s="1"/>
  <c r="E27" i="58" s="1"/>
  <c r="F34" i="56"/>
  <c r="F11" i="56"/>
  <c r="E14" i="56"/>
  <c r="N23" i="58"/>
  <c r="N24" i="58" s="1"/>
  <c r="N16" i="58"/>
  <c r="E12" i="56"/>
  <c r="F25" i="58"/>
  <c r="F26" i="58" s="1"/>
  <c r="F27" i="58" s="1"/>
  <c r="M25" i="58"/>
  <c r="M26" i="58" s="1"/>
  <c r="M27" i="58" s="1"/>
  <c r="N16" i="43"/>
  <c r="N24" i="43"/>
  <c r="C12" i="56"/>
  <c r="G25" i="58"/>
  <c r="G26" i="58" s="1"/>
  <c r="G27" i="58" s="1"/>
  <c r="L25" i="58"/>
  <c r="L26" i="58" s="1"/>
  <c r="L27" i="58" s="1"/>
  <c r="D25" i="58"/>
  <c r="D26" i="58" s="1"/>
  <c r="D27" i="58" s="1"/>
  <c r="C25" i="57"/>
  <c r="C26" i="57" s="1"/>
  <c r="C25" i="43"/>
  <c r="C26" i="43" s="1"/>
  <c r="F50" i="56"/>
  <c r="F44" i="56"/>
  <c r="H25" i="58"/>
  <c r="H26" i="58" s="1"/>
  <c r="H27" i="58" s="1"/>
  <c r="N24" i="57"/>
  <c r="N16" i="57"/>
  <c r="D12" i="56"/>
  <c r="J25" i="58"/>
  <c r="J26" i="58" s="1"/>
  <c r="J27" i="58" s="1"/>
  <c r="K25" i="58"/>
  <c r="K26" i="58" s="1"/>
  <c r="K27" i="58" s="1"/>
  <c r="I25" i="58"/>
  <c r="I26" i="58" s="1"/>
  <c r="I27" i="58" s="1"/>
  <c r="C27" i="43" l="1"/>
  <c r="N26" i="43"/>
  <c r="C27" i="57"/>
  <c r="N26" i="57"/>
  <c r="N25" i="58"/>
  <c r="E22" i="56" s="1"/>
  <c r="E21" i="56"/>
  <c r="E53" i="56" s="1"/>
  <c r="D38" i="56"/>
  <c r="D39" i="56" s="1"/>
  <c r="D13" i="56"/>
  <c r="N26" i="58"/>
  <c r="C27" i="58"/>
  <c r="E41" i="56"/>
  <c r="E20" i="56"/>
  <c r="E48" i="56"/>
  <c r="F14" i="56"/>
  <c r="N25" i="57"/>
  <c r="D22" i="56" s="1"/>
  <c r="D21" i="56"/>
  <c r="D53" i="56" s="1"/>
  <c r="N25" i="43"/>
  <c r="C22" i="56" s="1"/>
  <c r="C21" i="56"/>
  <c r="F12" i="56"/>
  <c r="C38" i="56"/>
  <c r="C39" i="56" s="1"/>
  <c r="C13" i="56"/>
  <c r="E38" i="56"/>
  <c r="E13" i="56"/>
  <c r="E39" i="56" l="1"/>
  <c r="N27" i="57"/>
  <c r="D23" i="56"/>
  <c r="C53" i="56"/>
  <c r="F21" i="56"/>
  <c r="F53" i="56" s="1"/>
  <c r="F41" i="56"/>
  <c r="F20" i="56"/>
  <c r="F48" i="56"/>
  <c r="N27" i="43"/>
  <c r="C23" i="56"/>
  <c r="F38" i="56"/>
  <c r="F13" i="56"/>
  <c r="N27" i="58"/>
  <c r="E23" i="56"/>
  <c r="F39" i="56" l="1"/>
  <c r="D59" i="56"/>
  <c r="D58" i="56" s="1"/>
  <c r="D52" i="56"/>
  <c r="D24" i="56"/>
  <c r="E52" i="56"/>
  <c r="E24" i="56"/>
  <c r="E59" i="56"/>
  <c r="E58" i="56" s="1"/>
  <c r="C59" i="56"/>
  <c r="C58" i="56" s="1"/>
  <c r="F23" i="56"/>
  <c r="C24" i="56"/>
  <c r="C52" i="56"/>
  <c r="F52" i="56" l="1"/>
  <c r="F24" i="56"/>
  <c r="F59" i="56"/>
  <c r="F58" i="56" s="1"/>
</calcChain>
</file>

<file path=xl/comments1.xml><?xml version="1.0" encoding="utf-8"?>
<comments xmlns="http://schemas.openxmlformats.org/spreadsheetml/2006/main">
  <authors>
    <author>作者</author>
  </authors>
  <commentList>
    <comment ref="O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<sst xmlns="http://schemas.openxmlformats.org/spreadsheetml/2006/main" count="1347" uniqueCount="305">
  <si>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</si>
  <si>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</si>
  <si>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</si>
  <si>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</si>
  <si>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</si>
  <si>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</si>
  <si>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</si>
  <si>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</si>
  <si>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</si>
  <si>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</si>
  <si>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</si>
  <si>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</si>
  <si>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</si>
  <si>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</si>
  <si>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</si>
  <si>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</si>
  <si>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</si>
  <si>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</si>
  <si>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</si>
  <si>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</si>
  <si>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</si>
  <si>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</si>
  <si>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</si>
  <si>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</si>
  <si>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</si>
  <si>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</si>
  <si>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</si>
  <si>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</si>
  <si>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</si>
  <si>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</si>
  <si>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</si>
  <si>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</si>
  <si>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</si>
  <si>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</si>
  <si>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</si>
  <si>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</si>
  <si>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</si>
  <si>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</si>
  <si>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</si>
  <si>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</si>
  <si>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</si>
  <si>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</si>
  <si>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</si>
  <si>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</si>
  <si>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</si>
  <si>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</si>
  <si>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</si>
  <si>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北京福田戴姆勒A6座椅项目可行性分析            单位：元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</si>
  <si>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</si>
  <si>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</si>
  <si>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</si>
  <si>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</si>
  <si>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</si>
  <si>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</si>
  <si>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</si>
  <si>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</si>
  <si>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</si>
  <si>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</si>
  <si>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</si>
  <si>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</si>
  <si>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</si>
  <si>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</si>
  <si>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</si>
  <si>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</si>
  <si>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</si>
  <si>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</si>
  <si>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</si>
  <si>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</si>
  <si>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</si>
  <si>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</si>
  <si>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</si>
  <si>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</si>
  <si>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</si>
  <si>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</si>
  <si>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</si>
  <si>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</si>
  <si>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</si>
  <si>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</si>
  <si>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</si>
  <si>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</si>
  <si>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</si>
  <si>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</si>
  <si>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</si>
  <si>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</si>
  <si>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</si>
  <si>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</si>
  <si>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</si>
  <si>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</si>
  <si>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</si>
  <si>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</si>
  <si>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</si>
  <si>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</si>
  <si>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</si>
  <si>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</si>
  <si>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</si>
  <si>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</si>
  <si>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</si>
  <si>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</si>
  <si>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</si>
  <si>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</si>
  <si>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</si>
  <si>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</si>
  <si>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</si>
  <si>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</si>
  <si>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</si>
  <si>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</si>
  <si>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</si>
  <si>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</si>
  <si>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</si>
  <si>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</si>
  <si>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</si>
  <si>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</si>
  <si>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</si>
  <si>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</si>
  <si>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</si>
  <si>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</si>
  <si>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</si>
  <si>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</si>
  <si>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</si>
  <si>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</si>
  <si>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</si>
  <si>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</si>
  <si>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</si>
  <si>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</si>
  <si>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</si>
  <si>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</si>
  <si>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</si>
  <si>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</si>
  <si>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</si>
  <si>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</si>
  <si>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</si>
  <si>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</si>
  <si>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</si>
  <si>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</si>
  <si>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</si>
  <si>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</si>
  <si>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</si>
  <si>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</si>
  <si>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</si>
  <si>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</si>
  <si>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</si>
  <si>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</si>
  <si>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</si>
  <si>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</si>
  <si>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</si>
  <si>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北京福田戴姆勒</t>
  </si>
  <si>
    <t>产品名称</t>
  </si>
  <si>
    <t>驾驶员座椅</t>
  </si>
  <si>
    <t>副驾驶员座椅</t>
  </si>
  <si>
    <t>副驾驶员座椅安装支架</t>
  </si>
  <si>
    <t>产品图号</t>
  </si>
  <si>
    <t>A668100000010</t>
  </si>
  <si>
    <t>A668100000023</t>
  </si>
  <si>
    <t>A668100000004</t>
  </si>
  <si>
    <t>A668100000026</t>
  </si>
  <si>
    <t>A668100000011</t>
  </si>
  <si>
    <t>A668100000024</t>
  </si>
  <si>
    <t>A668100000006</t>
  </si>
  <si>
    <t>A668100000025</t>
  </si>
  <si>
    <t>A668100000012</t>
  </si>
  <si>
    <t>A668100000007</t>
  </si>
  <si>
    <t>A668100000022</t>
  </si>
  <si>
    <t>车型</t>
  </si>
  <si>
    <t>舒适</t>
  </si>
  <si>
    <t>标准</t>
  </si>
  <si>
    <t>精英</t>
  </si>
  <si>
    <t>通用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</si>
  <si>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</si>
  <si>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</si>
  <si>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</si>
  <si>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</si>
  <si>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</si>
  <si>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</si>
  <si>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</si>
  <si>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</si>
  <si>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</si>
  <si>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北京福田戴姆勒驾驶员座椅项目研发费用预算表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</si>
  <si>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</si>
  <si>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</si>
  <si>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</si>
  <si>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</si>
  <si>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</si>
  <si>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</si>
  <si>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</si>
  <si>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</si>
  <si>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</si>
  <si>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</si>
  <si>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</si>
  <si>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</si>
  <si>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</si>
  <si>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</si>
  <si>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</si>
  <si>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</si>
  <si>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</si>
  <si>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</si>
  <si>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</si>
  <si>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</si>
  <si>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</si>
  <si>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</si>
  <si>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</si>
  <si>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</si>
  <si>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</si>
  <si>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</si>
  <si>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</si>
  <si>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</si>
  <si>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</si>
  <si>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</si>
  <si>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</si>
  <si>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</si>
  <si>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</si>
  <si>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</si>
  <si>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</si>
  <si>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</si>
  <si>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</si>
  <si>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</si>
  <si>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</si>
  <si>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</si>
  <si>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</si>
  <si>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</si>
  <si>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</si>
  <si>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</si>
  <si>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</si>
  <si>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</si>
  <si>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供应商年降：       年5 %</t>
  </si>
  <si>
    <t>模块</t>
  </si>
  <si>
    <t>项目名称</t>
  </si>
  <si>
    <t>A6</t>
  </si>
  <si>
    <t>项目编号</t>
  </si>
  <si>
    <t>ZY2248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</si>
  <si>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</si>
  <si>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</si>
  <si>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</si>
  <si>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</si>
  <si>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</si>
  <si>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</si>
  <si>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</si>
  <si>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</si>
  <si>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</si>
  <si>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</si>
  <si>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</si>
  <si>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</si>
  <si>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</si>
  <si>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</si>
  <si>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</si>
  <si>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</si>
  <si>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</si>
  <si>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</si>
  <si>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</si>
  <si>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</si>
  <si>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</si>
  <si>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</si>
  <si>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</si>
  <si>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</si>
  <si>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</si>
  <si>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</si>
  <si>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</si>
  <si>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</si>
  <si>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</si>
  <si>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</si>
  <si>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</si>
  <si>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</si>
  <si>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</si>
  <si>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</si>
  <si>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</si>
  <si>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</si>
  <si>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</si>
  <si>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</si>
  <si>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</si>
  <si>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</si>
  <si>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</si>
  <si>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</si>
  <si>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</si>
  <si>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</si>
  <si>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</si>
  <si>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</si>
  <si>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</si>
  <si>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</si>
  <si>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</si>
  <si>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</si>
  <si>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</si>
  <si>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</si>
  <si>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</si>
  <si>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</si>
  <si>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</si>
  <si>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</si>
  <si>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</si>
  <si>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</si>
  <si>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</si>
  <si>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</si>
  <si>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</si>
  <si>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</si>
  <si>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原材料成本</t>
    <phoneticPr fontId="40" type="noConversion"/>
  </si>
  <si>
    <t>附加值</t>
    <phoneticPr fontId="40" type="noConversion"/>
  </si>
  <si>
    <t>附加值率</t>
    <phoneticPr fontId="40" type="noConversion"/>
  </si>
  <si>
    <t>成本预估由项目经理提供。供应商年度降价与销价降价同步。</t>
    <phoneticPr fontId="40" type="noConversion"/>
  </si>
  <si>
    <t>单台材料成本为未税价格，面套、骨架、底支架自制。</t>
    <phoneticPr fontId="40" type="noConversion"/>
  </si>
  <si>
    <t>变动费用参考河北工厂2022年实际及2023预算暂估。</t>
    <phoneticPr fontId="40" type="noConversion"/>
  </si>
  <si>
    <t>财务费用按集团综合。</t>
    <phoneticPr fontId="40" type="noConversion"/>
  </si>
  <si>
    <t>第一次</t>
    <phoneticPr fontId="40" type="noConversion"/>
  </si>
  <si>
    <t>面套、骨架、底支架自制</t>
  </si>
  <si>
    <t>面套、骨架、底支架自制</t>
    <phoneticPr fontId="40" type="noConversion"/>
  </si>
  <si>
    <r>
      <t xml:space="preserve">直接材料  </t>
    </r>
    <r>
      <rPr>
        <b/>
        <sz val="10"/>
        <color rgb="FFFF0000"/>
        <rFont val="微软雅黑"/>
        <family val="2"/>
        <charset val="134"/>
      </rPr>
      <t>面套、骨架、底支架自制</t>
    </r>
    <phoneticPr fontId="40" type="noConversion"/>
  </si>
  <si>
    <t>2026年</t>
    <phoneticPr fontId="40" type="noConversion"/>
  </si>
  <si>
    <t>2027年</t>
    <phoneticPr fontId="40" type="noConversion"/>
  </si>
  <si>
    <t>取消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</si>
</sst>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_ "/>
    <numFmt numFmtId="179" formatCode="0.00_ "/>
    <numFmt numFmtId="180" formatCode="&quot;$&quot;#,##0.00_);[Red]\(&quot;$&quot;#,##0.00\)"/>
    <numFmt numFmtId="181" formatCode="0.0%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0"/>
      <name val="MS Sans Serif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31" fillId="0" borderId="0"/>
    <xf numFmtId="9" fontId="39" fillId="0" borderId="0" applyFont="0" applyFill="0" applyBorder="0" applyAlignment="0" applyProtection="0">
      <alignment vertical="center"/>
    </xf>
    <xf numFmtId="0" fontId="32" fillId="0" borderId="0"/>
    <xf numFmtId="0" fontId="39" fillId="0" borderId="0">
      <alignment vertical="center"/>
    </xf>
    <xf numFmtId="0" fontId="33" fillId="0" borderId="0"/>
    <xf numFmtId="1" fontId="34" fillId="0" borderId="2" applyBorder="0"/>
    <xf numFmtId="43" fontId="35" fillId="0" borderId="0" applyFont="0" applyFill="0" applyBorder="0" applyAlignment="0" applyProtection="0">
      <alignment vertical="center"/>
    </xf>
    <xf numFmtId="0" fontId="33" fillId="0" borderId="0"/>
  </cellStyleXfs>
  <cellXfs count="2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vertical="center" wrapText="1"/>
    </xf>
    <xf numFmtId="43" fontId="9" fillId="0" borderId="2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0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0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readingOrder="1"/>
    </xf>
    <xf numFmtId="176" fontId="11" fillId="0" borderId="2" xfId="0" applyNumberFormat="1" applyFont="1" applyFill="1" applyBorder="1" applyAlignment="1">
      <alignment horizontal="center" vertical="center" wrapText="1" readingOrder="1"/>
    </xf>
    <xf numFmtId="176" fontId="12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177" fontId="11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8" fontId="14" fillId="6" borderId="2" xfId="4" applyNumberFormat="1" applyFont="1" applyFill="1" applyBorder="1" applyAlignment="1">
      <alignment horizontal="center" vertical="center" wrapText="1"/>
    </xf>
    <xf numFmtId="43" fontId="14" fillId="6" borderId="2" xfId="1" applyFont="1" applyFill="1" applyBorder="1" applyAlignment="1">
      <alignment horizontal="center" vertical="center" wrapText="1"/>
    </xf>
    <xf numFmtId="0" fontId="14" fillId="6" borderId="2" xfId="2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8" fontId="15" fillId="0" borderId="2" xfId="4" applyNumberFormat="1" applyFont="1" applyFill="1" applyBorder="1" applyAlignment="1">
      <alignment horizontal="left" vertical="center"/>
    </xf>
    <xf numFmtId="43" fontId="15" fillId="4" borderId="2" xfId="1" applyFont="1" applyFill="1" applyBorder="1" applyAlignment="1">
      <alignment horizontal="center" vertical="center"/>
    </xf>
    <xf numFmtId="0" fontId="16" fillId="5" borderId="2" xfId="2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17" fillId="5" borderId="2" xfId="2" applyNumberFormat="1" applyFont="1" applyFill="1" applyBorder="1" applyAlignment="1" applyProtection="1">
      <alignment horizontal="center" vertical="center"/>
    </xf>
    <xf numFmtId="43" fontId="15" fillId="0" borderId="2" xfId="1" applyFont="1" applyFill="1" applyBorder="1" applyAlignment="1">
      <alignment horizontal="center" vertical="center"/>
    </xf>
    <xf numFmtId="0" fontId="0" fillId="7" borderId="2" xfId="0" applyFill="1" applyBorder="1">
      <alignment vertical="center"/>
    </xf>
    <xf numFmtId="178" fontId="15" fillId="0" borderId="3" xfId="4" applyNumberFormat="1" applyFont="1" applyFill="1" applyBorder="1" applyAlignment="1">
      <alignment horizontal="center" vertical="center"/>
    </xf>
    <xf numFmtId="178" fontId="15" fillId="0" borderId="3" xfId="4" applyNumberFormat="1" applyFont="1" applyFill="1" applyBorder="1" applyAlignment="1">
      <alignment horizontal="left" vertical="center" wrapText="1"/>
    </xf>
    <xf numFmtId="0" fontId="16" fillId="5" borderId="2" xfId="2" applyNumberFormat="1" applyFont="1" applyFill="1" applyBorder="1" applyAlignment="1" applyProtection="1">
      <alignment horizontal="center" vertical="center" wrapText="1"/>
    </xf>
    <xf numFmtId="43" fontId="15" fillId="3" borderId="2" xfId="1" applyFont="1" applyFill="1" applyBorder="1" applyAlignment="1" applyProtection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43" fontId="8" fillId="0" borderId="2" xfId="0" applyNumberFormat="1" applyFont="1" applyBorder="1">
      <alignment vertical="center"/>
    </xf>
    <xf numFmtId="43" fontId="8" fillId="0" borderId="2" xfId="1" applyNumberFormat="1" applyFont="1" applyBorder="1">
      <alignment vertical="center"/>
    </xf>
    <xf numFmtId="43" fontId="8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21" fillId="0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10" fontId="20" fillId="0" borderId="2" xfId="3" applyNumberFormat="1" applyFont="1" applyFill="1" applyBorder="1" applyAlignment="1">
      <alignment horizontal="center" vertical="center"/>
    </xf>
    <xf numFmtId="0" fontId="18" fillId="0" borderId="2" xfId="0" applyFont="1" applyFill="1" applyBorder="1">
      <alignment vertical="center"/>
    </xf>
    <xf numFmtId="43" fontId="18" fillId="0" borderId="2" xfId="1" applyFont="1" applyFill="1" applyBorder="1">
      <alignment vertical="center"/>
    </xf>
    <xf numFmtId="43" fontId="20" fillId="0" borderId="2" xfId="1" applyFont="1" applyFill="1" applyBorder="1">
      <alignment vertical="center"/>
    </xf>
    <xf numFmtId="0" fontId="19" fillId="0" borderId="2" xfId="0" applyFont="1" applyFill="1" applyBorder="1">
      <alignment vertical="center"/>
    </xf>
    <xf numFmtId="9" fontId="20" fillId="0" borderId="2" xfId="3" applyFont="1" applyFill="1" applyBorder="1">
      <alignment vertical="center"/>
    </xf>
    <xf numFmtId="43" fontId="18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19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43" fontId="20" fillId="0" borderId="0" xfId="0" applyNumberFormat="1" applyFont="1" applyFill="1">
      <alignment vertical="center"/>
    </xf>
    <xf numFmtId="10" fontId="20" fillId="0" borderId="0" xfId="0" applyNumberFormat="1" applyFont="1" applyFill="1">
      <alignment vertical="center"/>
    </xf>
    <xf numFmtId="0" fontId="23" fillId="0" borderId="0" xfId="0" applyFont="1" applyFill="1">
      <alignment vertical="center"/>
    </xf>
    <xf numFmtId="179" fontId="20" fillId="0" borderId="0" xfId="0" applyNumberFormat="1" applyFont="1" applyFill="1">
      <alignment vertical="center"/>
    </xf>
    <xf numFmtId="10" fontId="20" fillId="0" borderId="2" xfId="3" applyNumberFormat="1" applyFont="1" applyFill="1" applyBorder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Border="1">
      <alignment vertical="center"/>
    </xf>
    <xf numFmtId="43" fontId="20" fillId="0" borderId="0" xfId="1" applyFont="1">
      <alignment vertical="center"/>
    </xf>
    <xf numFmtId="43" fontId="25" fillId="0" borderId="2" xfId="1" applyFont="1" applyFill="1" applyBorder="1" applyAlignment="1">
      <alignment horizontal="center" vertical="center" wrapText="1"/>
    </xf>
    <xf numFmtId="43" fontId="22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19" fillId="0" borderId="2" xfId="1" applyNumberFormat="1" applyFont="1" applyFill="1" applyBorder="1" applyAlignment="1">
      <alignment horizontal="center" vertical="center"/>
    </xf>
    <xf numFmtId="0" fontId="21" fillId="8" borderId="2" xfId="0" applyFont="1" applyFill="1" applyBorder="1">
      <alignment vertical="center"/>
    </xf>
    <xf numFmtId="177" fontId="19" fillId="8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19" fillId="0" borderId="2" xfId="3" applyNumberFormat="1" applyFont="1" applyBorder="1" applyAlignment="1">
      <alignment vertical="center"/>
    </xf>
    <xf numFmtId="177" fontId="19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26" fillId="8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3" applyNumberFormat="1" applyFont="1" applyBorder="1">
      <alignment vertical="center"/>
    </xf>
    <xf numFmtId="10" fontId="20" fillId="0" borderId="0" xfId="3" applyNumberFormat="1" applyFont="1" applyBorder="1">
      <alignment vertical="center"/>
    </xf>
    <xf numFmtId="43" fontId="20" fillId="0" borderId="0" xfId="0" applyNumberFormat="1" applyFont="1" applyFill="1" applyBorder="1">
      <alignment vertical="center"/>
    </xf>
    <xf numFmtId="43" fontId="20" fillId="0" borderId="0" xfId="1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0" fontId="19" fillId="0" borderId="2" xfId="0" applyFont="1" applyBorder="1">
      <alignment vertical="center"/>
    </xf>
    <xf numFmtId="0" fontId="26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5" fillId="5" borderId="0" xfId="2" applyNumberFormat="1" applyFont="1" applyFill="1" applyProtection="1"/>
    <xf numFmtId="0" fontId="15" fillId="5" borderId="0" xfId="2" applyFont="1" applyFill="1" applyProtection="1"/>
    <xf numFmtId="0" fontId="27" fillId="5" borderId="0" xfId="2" applyFont="1" applyFill="1" applyAlignment="1" applyProtection="1">
      <alignment horizontal="centerContinuous"/>
    </xf>
    <xf numFmtId="0" fontId="15" fillId="5" borderId="0" xfId="2" applyFont="1" applyFill="1" applyAlignment="1">
      <alignment horizontal="centerContinuous"/>
    </xf>
    <xf numFmtId="0" fontId="15" fillId="5" borderId="0" xfId="2" applyFont="1" applyFill="1" applyAlignment="1" applyProtection="1">
      <alignment horizontal="centerContinuous"/>
    </xf>
    <xf numFmtId="9" fontId="15" fillId="5" borderId="0" xfId="2" applyNumberFormat="1" applyFont="1" applyFill="1" applyProtection="1"/>
    <xf numFmtId="0" fontId="15" fillId="5" borderId="6" xfId="2" applyFont="1" applyFill="1" applyBorder="1" applyAlignment="1" applyProtection="1">
      <alignment horizontal="center"/>
    </xf>
    <xf numFmtId="0" fontId="17" fillId="5" borderId="2" xfId="2" applyFont="1" applyFill="1" applyBorder="1" applyAlignment="1" applyProtection="1">
      <alignment horizontal="center"/>
    </xf>
    <xf numFmtId="0" fontId="17" fillId="5" borderId="4" xfId="2" applyFont="1" applyFill="1" applyBorder="1" applyAlignment="1" applyProtection="1">
      <alignment horizontal="center"/>
    </xf>
    <xf numFmtId="1" fontId="17" fillId="5" borderId="4" xfId="7" applyFont="1" applyFill="1" applyBorder="1"/>
    <xf numFmtId="1" fontId="15" fillId="5" borderId="4" xfId="7" applyFont="1" applyFill="1" applyBorder="1"/>
    <xf numFmtId="0" fontId="15" fillId="5" borderId="7" xfId="2" applyFont="1" applyFill="1" applyBorder="1" applyProtection="1"/>
    <xf numFmtId="0" fontId="15" fillId="5" borderId="2" xfId="2" applyFont="1" applyFill="1" applyBorder="1" applyAlignment="1" applyProtection="1">
      <alignment horizontal="center"/>
    </xf>
    <xf numFmtId="0" fontId="15" fillId="5" borderId="2" xfId="2" applyFont="1" applyFill="1" applyBorder="1" applyAlignment="1" applyProtection="1">
      <alignment horizontal="left"/>
    </xf>
    <xf numFmtId="0" fontId="15" fillId="8" borderId="2" xfId="2" applyFont="1" applyFill="1" applyBorder="1" applyProtection="1"/>
    <xf numFmtId="177" fontId="15" fillId="8" borderId="2" xfId="1" applyNumberFormat="1" applyFont="1" applyFill="1" applyBorder="1" applyAlignment="1" applyProtection="1"/>
    <xf numFmtId="0" fontId="15" fillId="5" borderId="2" xfId="2" applyFont="1" applyFill="1" applyBorder="1" applyProtection="1"/>
    <xf numFmtId="177" fontId="15" fillId="5" borderId="2" xfId="1" applyNumberFormat="1" applyFont="1" applyFill="1" applyBorder="1" applyAlignment="1" applyProtection="1"/>
    <xf numFmtId="0" fontId="15" fillId="5" borderId="2" xfId="2" applyNumberFormat="1" applyFont="1" applyFill="1" applyBorder="1" applyAlignment="1" applyProtection="1">
      <alignment horizontal="left"/>
    </xf>
    <xf numFmtId="1" fontId="15" fillId="5" borderId="2" xfId="2" applyNumberFormat="1" applyFont="1" applyFill="1" applyBorder="1" applyProtection="1"/>
    <xf numFmtId="1" fontId="15" fillId="5" borderId="2" xfId="2" applyNumberFormat="1" applyFont="1" applyFill="1" applyBorder="1" applyAlignment="1" applyProtection="1">
      <alignment horizontal="left"/>
    </xf>
    <xf numFmtId="0" fontId="15" fillId="5" borderId="9" xfId="2" applyFont="1" applyFill="1" applyBorder="1" applyProtection="1"/>
    <xf numFmtId="0" fontId="15" fillId="5" borderId="11" xfId="2" applyFont="1" applyFill="1" applyBorder="1" applyProtection="1"/>
    <xf numFmtId="0" fontId="15" fillId="5" borderId="12" xfId="2" applyFont="1" applyFill="1" applyBorder="1" applyProtection="1"/>
    <xf numFmtId="0" fontId="15" fillId="5" borderId="0" xfId="2" applyFont="1" applyFill="1" applyBorder="1" applyProtection="1"/>
    <xf numFmtId="180" fontId="15" fillId="5" borderId="0" xfId="2" applyNumberFormat="1" applyFont="1" applyFill="1" applyBorder="1" applyProtection="1"/>
    <xf numFmtId="10" fontId="15" fillId="5" borderId="0" xfId="2" applyNumberFormat="1" applyFont="1" applyFill="1" applyBorder="1" applyProtection="1"/>
    <xf numFmtId="1" fontId="15" fillId="5" borderId="0" xfId="2" applyNumberFormat="1" applyFont="1" applyFill="1" applyBorder="1" applyProtection="1"/>
    <xf numFmtId="0" fontId="15" fillId="5" borderId="13" xfId="2" applyFont="1" applyFill="1" applyBorder="1" applyProtection="1"/>
    <xf numFmtId="0" fontId="15" fillId="5" borderId="1" xfId="2" applyFont="1" applyFill="1" applyBorder="1" applyProtection="1"/>
    <xf numFmtId="2" fontId="15" fillId="5" borderId="1" xfId="2" applyNumberFormat="1" applyFont="1" applyFill="1" applyBorder="1" applyProtection="1"/>
    <xf numFmtId="0" fontId="15" fillId="5" borderId="5" xfId="2" applyFont="1" applyFill="1" applyBorder="1"/>
    <xf numFmtId="1" fontId="15" fillId="5" borderId="7" xfId="7" applyFont="1" applyFill="1" applyBorder="1" applyAlignment="1">
      <alignment horizontal="center"/>
    </xf>
    <xf numFmtId="0" fontId="15" fillId="5" borderId="8" xfId="2" applyFont="1" applyFill="1" applyBorder="1" applyProtection="1"/>
    <xf numFmtId="0" fontId="15" fillId="5" borderId="14" xfId="2" applyFont="1" applyFill="1" applyBorder="1" applyProtection="1"/>
    <xf numFmtId="0" fontId="15" fillId="5" borderId="15" xfId="2" applyFont="1" applyFill="1" applyBorder="1" applyProtection="1"/>
    <xf numFmtId="0" fontId="28" fillId="0" borderId="0" xfId="0" applyFont="1">
      <alignment vertical="center"/>
    </xf>
    <xf numFmtId="0" fontId="29" fillId="0" borderId="2" xfId="0" applyFont="1" applyBorder="1" applyAlignment="1">
      <alignment horizontal="center" vertical="center" wrapText="1" readingOrder="1"/>
    </xf>
    <xf numFmtId="0" fontId="28" fillId="0" borderId="0" xfId="0" applyFont="1" applyFill="1">
      <alignment vertical="center"/>
    </xf>
    <xf numFmtId="0" fontId="11" fillId="0" borderId="2" xfId="0" applyFont="1" applyBorder="1" applyAlignment="1">
      <alignment horizontal="center" vertical="center" wrapText="1" readingOrder="1"/>
    </xf>
    <xf numFmtId="0" fontId="30" fillId="0" borderId="2" xfId="0" applyFont="1" applyBorder="1" applyAlignment="1">
      <alignment horizontal="left" vertical="center" wrapText="1" readingOrder="1"/>
    </xf>
    <xf numFmtId="0" fontId="30" fillId="0" borderId="2" xfId="0" applyFont="1" applyFill="1" applyBorder="1" applyAlignment="1">
      <alignment horizontal="left" vertical="center" wrapText="1" readingOrder="1"/>
    </xf>
    <xf numFmtId="0" fontId="30" fillId="0" borderId="2" xfId="0" applyFont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horizontal="left" vertical="center" wrapText="1" readingOrder="1"/>
    </xf>
    <xf numFmtId="43" fontId="3" fillId="0" borderId="0" xfId="0" applyNumberFormat="1" applyFont="1" applyFill="1">
      <alignment vertical="center"/>
    </xf>
    <xf numFmtId="181" fontId="3" fillId="0" borderId="0" xfId="3" applyNumberFormat="1" applyFont="1" applyFill="1">
      <alignment vertical="center"/>
    </xf>
    <xf numFmtId="181" fontId="3" fillId="9" borderId="0" xfId="3" applyNumberFormat="1" applyFont="1" applyFill="1">
      <alignment vertical="center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7" fillId="5" borderId="2" xfId="2" applyFont="1" applyFill="1" applyBorder="1" applyAlignment="1" applyProtection="1">
      <alignment horizontal="center"/>
    </xf>
    <xf numFmtId="0" fontId="24" fillId="0" borderId="1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2" fillId="0" borderId="6" xfId="1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center" vertical="center" wrapText="1"/>
    </xf>
    <xf numFmtId="43" fontId="22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3" fillId="5" borderId="1" xfId="2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 readingOrder="1"/>
    </xf>
    <xf numFmtId="0" fontId="11" fillId="0" borderId="10" xfId="0" applyFont="1" applyFill="1" applyBorder="1" applyAlignment="1">
      <alignment horizontal="center" vertical="center" wrapText="1" readingOrder="1"/>
    </xf>
    <xf numFmtId="0" fontId="11" fillId="0" borderId="7" xfId="0" applyFont="1" applyFill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43" fontId="5" fillId="0" borderId="2" xfId="1" applyFont="1" applyFill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18" fillId="0" borderId="0" xfId="0" applyNumberFormat="1" applyFont="1" applyFill="1">
      <alignment vertical="center"/>
    </xf>
  </cellXfs>
  <cellStyles count="10">
    <cellStyle name="_x000a_mouse.drv=lm" xfId="2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6" sqref="C6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7" customFormat="1" ht="35.25" customHeight="1">
      <c r="A2" s="178" t="s">
        <v>0</v>
      </c>
      <c r="B2" s="178" t="s">
        <v>1</v>
      </c>
      <c r="C2" s="178" t="s">
        <v>2</v>
      </c>
      <c r="D2" s="179"/>
    </row>
    <row r="3" spans="1:4" s="177" customFormat="1" ht="33.75" customHeight="1">
      <c r="A3" s="180">
        <v>1</v>
      </c>
      <c r="B3" s="180" t="s">
        <v>3</v>
      </c>
      <c r="C3" s="181" t="s">
        <v>4</v>
      </c>
      <c r="D3" s="179"/>
    </row>
    <row r="4" spans="1:4" s="177" customFormat="1" ht="33.75" customHeight="1">
      <c r="A4" s="180">
        <v>2</v>
      </c>
      <c r="B4" s="180" t="s">
        <v>5</v>
      </c>
      <c r="C4" s="181" t="s">
        <v>6</v>
      </c>
    </row>
    <row r="5" spans="1:4" s="177" customFormat="1" ht="33.75" customHeight="1">
      <c r="A5" s="180">
        <v>3</v>
      </c>
      <c r="B5" s="188" t="s">
        <v>7</v>
      </c>
      <c r="C5" s="182" t="s">
        <v>294</v>
      </c>
    </row>
    <row r="6" spans="1:4" s="177" customFormat="1" ht="33.75" customHeight="1">
      <c r="A6" s="180">
        <v>4</v>
      </c>
      <c r="B6" s="189"/>
      <c r="C6" s="181" t="s">
        <v>295</v>
      </c>
    </row>
    <row r="7" spans="1:4" s="177" customFormat="1" ht="33.75" customHeight="1">
      <c r="A7" s="180">
        <v>5</v>
      </c>
      <c r="B7" s="183" t="s">
        <v>8</v>
      </c>
      <c r="C7" s="181" t="s">
        <v>296</v>
      </c>
    </row>
    <row r="8" spans="1:4" s="177" customFormat="1" ht="33.75" customHeight="1">
      <c r="A8" s="180">
        <v>6</v>
      </c>
      <c r="B8" s="188" t="s">
        <v>9</v>
      </c>
      <c r="C8" s="181" t="s">
        <v>10</v>
      </c>
    </row>
    <row r="9" spans="1:4" s="177" customFormat="1" ht="33.75" customHeight="1">
      <c r="A9" s="180">
        <v>7</v>
      </c>
      <c r="B9" s="189"/>
      <c r="C9" s="181" t="s">
        <v>11</v>
      </c>
    </row>
    <row r="10" spans="1:4" s="177" customFormat="1" ht="33.75" customHeight="1">
      <c r="A10" s="180">
        <v>8</v>
      </c>
      <c r="B10" s="189"/>
      <c r="C10" s="182" t="s">
        <v>297</v>
      </c>
    </row>
    <row r="11" spans="1:4" s="177" customFormat="1" ht="33.75" customHeight="1">
      <c r="A11" s="180">
        <v>9</v>
      </c>
      <c r="B11" s="189"/>
      <c r="C11" s="181" t="s">
        <v>12</v>
      </c>
    </row>
    <row r="12" spans="1:4" s="177" customFormat="1" ht="33.75" customHeight="1">
      <c r="A12" s="180">
        <v>10</v>
      </c>
      <c r="B12" s="183" t="s">
        <v>13</v>
      </c>
      <c r="C12" s="181" t="s">
        <v>14</v>
      </c>
    </row>
    <row r="13" spans="1:4" ht="33.75" customHeight="1"/>
    <row r="14" spans="1:4" ht="33.75" customHeight="1"/>
    <row r="15" spans="1:4" ht="33.75" customHeight="1">
      <c r="C15" s="184"/>
    </row>
  </sheetData>
  <mergeCells count="2">
    <mergeCell ref="B5:B6"/>
    <mergeCell ref="B8:B11"/>
  </mergeCells>
  <phoneticPr fontId="40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9" style="17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27" customHeight="1">
      <c r="A1" s="18" t="s">
        <v>17</v>
      </c>
      <c r="B1" s="18" t="s">
        <v>247</v>
      </c>
      <c r="C1" s="18" t="s">
        <v>248</v>
      </c>
      <c r="D1" s="18" t="s">
        <v>249</v>
      </c>
    </row>
    <row r="2" spans="1:4" ht="19.5" customHeight="1">
      <c r="A2" s="18">
        <v>1</v>
      </c>
      <c r="B2" s="19" t="s">
        <v>250</v>
      </c>
      <c r="C2" s="20" t="s">
        <v>251</v>
      </c>
      <c r="D2" s="18"/>
    </row>
    <row r="3" spans="1:4" ht="36" customHeight="1">
      <c r="A3" s="18">
        <v>2</v>
      </c>
      <c r="B3" s="19" t="s">
        <v>252</v>
      </c>
      <c r="C3" s="21" t="s">
        <v>253</v>
      </c>
      <c r="D3" s="18" t="s">
        <v>254</v>
      </c>
    </row>
    <row r="4" spans="1:4" ht="19.5" customHeight="1">
      <c r="A4" s="18">
        <v>3</v>
      </c>
      <c r="B4" s="19" t="s">
        <v>255</v>
      </c>
      <c r="C4" s="20" t="s">
        <v>256</v>
      </c>
      <c r="D4" s="18"/>
    </row>
    <row r="5" spans="1:4" ht="42.75" customHeight="1">
      <c r="A5" s="18">
        <v>4</v>
      </c>
      <c r="B5" s="19" t="s">
        <v>257</v>
      </c>
      <c r="C5" s="20"/>
      <c r="D5" s="18"/>
    </row>
    <row r="6" spans="1:4" ht="39" customHeight="1">
      <c r="A6" s="18">
        <v>5</v>
      </c>
      <c r="B6" s="19" t="s">
        <v>258</v>
      </c>
      <c r="C6" s="20"/>
      <c r="D6" s="18"/>
    </row>
    <row r="7" spans="1:4" ht="27.75" customHeight="1">
      <c r="A7" s="18">
        <v>6</v>
      </c>
      <c r="B7" s="18" t="s">
        <v>259</v>
      </c>
      <c r="C7" s="21" t="s">
        <v>260</v>
      </c>
    </row>
    <row r="8" spans="1:4" ht="36" customHeight="1">
      <c r="A8" s="18">
        <v>7</v>
      </c>
      <c r="B8" s="19" t="s">
        <v>261</v>
      </c>
      <c r="C8" s="22" t="s">
        <v>262</v>
      </c>
      <c r="D8" s="18"/>
    </row>
    <row r="9" spans="1:4" ht="34.5" customHeight="1">
      <c r="A9" s="18">
        <v>8</v>
      </c>
      <c r="B9" s="18" t="s">
        <v>263</v>
      </c>
      <c r="C9" s="23">
        <v>3.0000000000000001E-3</v>
      </c>
      <c r="D9" s="18"/>
    </row>
    <row r="10" spans="1:4" ht="34.5" customHeight="1">
      <c r="A10" s="18">
        <v>9</v>
      </c>
      <c r="B10" s="18" t="s">
        <v>264</v>
      </c>
      <c r="C10" s="22" t="s">
        <v>265</v>
      </c>
      <c r="D10" s="18"/>
    </row>
    <row r="11" spans="1:4" ht="34.5" customHeight="1">
      <c r="A11" s="18">
        <v>10</v>
      </c>
      <c r="B11" s="18" t="s">
        <v>266</v>
      </c>
      <c r="C11" s="22"/>
      <c r="D11" s="18" t="s">
        <v>267</v>
      </c>
    </row>
    <row r="12" spans="1:4" ht="34.5" customHeight="1">
      <c r="A12" s="18">
        <v>11</v>
      </c>
      <c r="B12" s="18" t="s">
        <v>268</v>
      </c>
      <c r="C12" s="22"/>
      <c r="D12" s="18"/>
    </row>
    <row r="13" spans="1:4" ht="24" customHeight="1">
      <c r="A13" s="18">
        <v>12</v>
      </c>
      <c r="B13" s="19" t="s">
        <v>269</v>
      </c>
      <c r="C13" s="22" t="s">
        <v>270</v>
      </c>
      <c r="D13" s="18"/>
    </row>
    <row r="14" spans="1:4" ht="24" customHeight="1">
      <c r="A14" s="18">
        <v>13</v>
      </c>
      <c r="B14" s="19" t="s">
        <v>271</v>
      </c>
      <c r="C14" s="22" t="s">
        <v>272</v>
      </c>
      <c r="D14" s="18"/>
    </row>
    <row r="15" spans="1:4" ht="24" customHeight="1">
      <c r="A15" s="18">
        <v>14</v>
      </c>
      <c r="B15" s="19" t="s">
        <v>273</v>
      </c>
      <c r="C15" s="22"/>
      <c r="D15" s="18"/>
    </row>
    <row r="16" spans="1:4" ht="24" customHeight="1">
      <c r="A16" s="18">
        <v>15</v>
      </c>
      <c r="B16" s="18" t="s">
        <v>35</v>
      </c>
      <c r="C16" s="18"/>
      <c r="D16" s="18"/>
    </row>
    <row r="17" spans="2:2" ht="16.5">
      <c r="B17" s="24" t="s">
        <v>274</v>
      </c>
    </row>
  </sheetData>
  <phoneticPr fontId="4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0"/>
  <sheetViews>
    <sheetView zoomScale="85" zoomScaleNormal="85" workbookViewId="0">
      <selection activeCell="J8" sqref="J8"/>
    </sheetView>
  </sheetViews>
  <sheetFormatPr defaultColWidth="9" defaultRowHeight="13.5"/>
  <cols>
    <col min="1" max="2" width="9" style="2"/>
    <col min="3" max="5" width="15.75" style="2" customWidth="1"/>
    <col min="6" max="8" width="11.125" style="2" customWidth="1"/>
    <col min="9" max="9" width="18.5" style="3" customWidth="1"/>
    <col min="10" max="16384" width="9" style="2"/>
  </cols>
  <sheetData>
    <row r="1" spans="1:9" s="1" customFormat="1" ht="18.75" customHeight="1">
      <c r="G1" s="244" t="s">
        <v>275</v>
      </c>
      <c r="H1" s="244"/>
      <c r="I1" s="14" t="s">
        <v>151</v>
      </c>
    </row>
    <row r="2" spans="1:9" ht="39" customHeight="1">
      <c r="A2" s="242" t="s">
        <v>276</v>
      </c>
      <c r="B2" s="242"/>
      <c r="C2" s="245" t="s">
        <v>277</v>
      </c>
      <c r="D2" s="246"/>
      <c r="E2" s="246"/>
      <c r="F2" s="246"/>
      <c r="G2" s="246"/>
      <c r="H2" s="247"/>
      <c r="I2" s="3" t="s">
        <v>278</v>
      </c>
    </row>
    <row r="3" spans="1:9" ht="34.5" customHeight="1">
      <c r="A3" s="242"/>
      <c r="B3" s="242"/>
      <c r="C3" s="4" t="s">
        <v>279</v>
      </c>
      <c r="D3" s="4" t="s">
        <v>280</v>
      </c>
      <c r="E3" s="4" t="s">
        <v>281</v>
      </c>
      <c r="F3" s="5" t="s">
        <v>282</v>
      </c>
      <c r="G3" s="5" t="s">
        <v>283</v>
      </c>
      <c r="H3" s="5" t="s">
        <v>284</v>
      </c>
      <c r="I3" s="15">
        <f>销量!C8</f>
        <v>2283.1858407079649</v>
      </c>
    </row>
    <row r="4" spans="1:9" ht="24" customHeight="1">
      <c r="A4" s="243" t="s">
        <v>285</v>
      </c>
      <c r="B4" s="243"/>
      <c r="C4" s="7"/>
      <c r="D4" s="8"/>
      <c r="E4" s="9">
        <f>I3*I4</f>
        <v>98.405309734513281</v>
      </c>
      <c r="F4" s="9"/>
      <c r="G4" s="9"/>
      <c r="H4" s="10">
        <v>4.48E-2</v>
      </c>
      <c r="I4" s="3">
        <v>4.3099999999999999E-2</v>
      </c>
    </row>
    <row r="5" spans="1:9" ht="24" customHeight="1">
      <c r="A5" s="243" t="s">
        <v>286</v>
      </c>
      <c r="B5" s="6" t="s">
        <v>287</v>
      </c>
      <c r="C5" s="7"/>
      <c r="D5" s="8"/>
      <c r="E5" s="9">
        <f>$I$3*I5</f>
        <v>93.61061946902656</v>
      </c>
      <c r="F5" s="9"/>
      <c r="G5" s="9"/>
      <c r="H5" s="10">
        <v>4.0399999999999998E-2</v>
      </c>
      <c r="I5" s="3">
        <v>4.1000000000000002E-2</v>
      </c>
    </row>
    <row r="6" spans="1:9" ht="24" customHeight="1">
      <c r="A6" s="243"/>
      <c r="B6" s="6" t="s">
        <v>288</v>
      </c>
      <c r="C6" s="7"/>
      <c r="D6" s="8"/>
      <c r="E6" s="9">
        <f>$I$3*I6</f>
        <v>49.545132743362842</v>
      </c>
      <c r="F6" s="9"/>
      <c r="G6" s="9"/>
      <c r="H6" s="10">
        <v>1.66E-2</v>
      </c>
      <c r="I6" s="3">
        <v>2.1700000000000001E-2</v>
      </c>
    </row>
    <row r="7" spans="1:9" ht="24" customHeight="1">
      <c r="A7" s="245" t="s">
        <v>289</v>
      </c>
      <c r="B7" s="247"/>
      <c r="C7" s="11"/>
      <c r="D7" s="12"/>
      <c r="E7" s="9">
        <f t="shared" ref="E7:E11" si="0">$I$3*I7</f>
        <v>241.5610619469027</v>
      </c>
      <c r="F7" s="9"/>
      <c r="G7" s="9"/>
      <c r="H7" s="13">
        <f>SUM(H4:H6)</f>
        <v>0.1018</v>
      </c>
      <c r="I7" s="3">
        <f>SUM(I4:I6)</f>
        <v>0.10580000000000001</v>
      </c>
    </row>
    <row r="8" spans="1:9" ht="24" customHeight="1">
      <c r="A8" s="243" t="s">
        <v>81</v>
      </c>
      <c r="B8" s="243"/>
      <c r="C8" s="7"/>
      <c r="D8" s="8"/>
      <c r="E8" s="9">
        <f t="shared" si="0"/>
        <v>77.628318584070811</v>
      </c>
      <c r="F8" s="9"/>
      <c r="G8" s="9"/>
      <c r="H8" s="10">
        <f>1.97%+0.75%</f>
        <v>2.7199999999999998E-2</v>
      </c>
      <c r="I8" s="3">
        <v>3.4000000000000002E-2</v>
      </c>
    </row>
    <row r="9" spans="1:9" ht="24" customHeight="1">
      <c r="A9" s="240" t="s">
        <v>290</v>
      </c>
      <c r="B9" s="6" t="s">
        <v>287</v>
      </c>
      <c r="C9" s="7"/>
      <c r="D9" s="8"/>
      <c r="E9" s="9">
        <f t="shared" si="0"/>
        <v>15.982300884955755</v>
      </c>
      <c r="F9" s="9"/>
      <c r="G9" s="9"/>
      <c r="H9" s="10">
        <v>5.3E-3</v>
      </c>
      <c r="I9" s="3">
        <v>7.0000000000000001E-3</v>
      </c>
    </row>
    <row r="10" spans="1:9" ht="24" customHeight="1">
      <c r="A10" s="241"/>
      <c r="B10" s="6" t="s">
        <v>288</v>
      </c>
      <c r="C10" s="7"/>
      <c r="D10" s="8"/>
      <c r="E10" s="9">
        <f t="shared" si="0"/>
        <v>100.46017699115045</v>
      </c>
      <c r="F10" s="9"/>
      <c r="G10" s="9"/>
      <c r="H10" s="10">
        <v>3.4099999999999998E-2</v>
      </c>
      <c r="I10" s="3">
        <f>2.8%+1.6%</f>
        <v>4.3999999999999997E-2</v>
      </c>
    </row>
    <row r="11" spans="1:9" ht="24" customHeight="1">
      <c r="A11" s="243" t="s">
        <v>84</v>
      </c>
      <c r="B11" s="243"/>
      <c r="C11" s="7"/>
      <c r="D11" s="8"/>
      <c r="E11" s="9">
        <f t="shared" si="0"/>
        <v>68.495575221238937</v>
      </c>
      <c r="F11" s="9"/>
      <c r="G11" s="9"/>
      <c r="H11" s="10">
        <v>1.0999999999999999E-2</v>
      </c>
      <c r="I11" s="3">
        <v>0.03</v>
      </c>
    </row>
    <row r="13" spans="1:9" s="1" customFormat="1" ht="18.75" customHeight="1">
      <c r="G13" s="244" t="s">
        <v>275</v>
      </c>
      <c r="H13" s="244"/>
      <c r="I13" s="16" t="s">
        <v>152</v>
      </c>
    </row>
    <row r="14" spans="1:9" ht="39" customHeight="1">
      <c r="A14" s="242" t="s">
        <v>276</v>
      </c>
      <c r="B14" s="242"/>
      <c r="C14" s="245" t="s">
        <v>277</v>
      </c>
      <c r="D14" s="246"/>
      <c r="E14" s="246"/>
      <c r="F14" s="246"/>
      <c r="G14" s="246"/>
      <c r="H14" s="247"/>
      <c r="I14" s="3" t="s">
        <v>278</v>
      </c>
    </row>
    <row r="15" spans="1:9" ht="34.5" customHeight="1">
      <c r="A15" s="242"/>
      <c r="B15" s="242"/>
      <c r="C15" s="4" t="s">
        <v>279</v>
      </c>
      <c r="D15" s="4" t="s">
        <v>280</v>
      </c>
      <c r="E15" s="4" t="s">
        <v>281</v>
      </c>
      <c r="F15" s="5" t="s">
        <v>282</v>
      </c>
      <c r="G15" s="5" t="s">
        <v>283</v>
      </c>
      <c r="H15" s="5" t="s">
        <v>284</v>
      </c>
      <c r="I15" s="15">
        <f>销量!D8</f>
        <v>2283.1858407079649</v>
      </c>
    </row>
    <row r="16" spans="1:9" ht="24" customHeight="1">
      <c r="A16" s="243" t="s">
        <v>285</v>
      </c>
      <c r="B16" s="243"/>
      <c r="C16" s="7"/>
      <c r="D16" s="8"/>
      <c r="E16" s="9">
        <f>I15*I16</f>
        <v>98.405309734513281</v>
      </c>
      <c r="F16" s="9"/>
      <c r="G16" s="9"/>
      <c r="H16" s="10">
        <v>4.48E-2</v>
      </c>
      <c r="I16" s="3">
        <v>4.3099999999999999E-2</v>
      </c>
    </row>
    <row r="17" spans="1:9" ht="24" customHeight="1">
      <c r="A17" s="243" t="s">
        <v>286</v>
      </c>
      <c r="B17" s="6" t="s">
        <v>287</v>
      </c>
      <c r="C17" s="7"/>
      <c r="D17" s="8"/>
      <c r="E17" s="9">
        <f>$I$15*I17</f>
        <v>93.61061946902656</v>
      </c>
      <c r="F17" s="9"/>
      <c r="G17" s="9"/>
      <c r="H17" s="10">
        <v>4.0399999999999998E-2</v>
      </c>
      <c r="I17" s="3">
        <v>4.1000000000000002E-2</v>
      </c>
    </row>
    <row r="18" spans="1:9" ht="24" customHeight="1">
      <c r="A18" s="243"/>
      <c r="B18" s="6" t="s">
        <v>288</v>
      </c>
      <c r="C18" s="7"/>
      <c r="D18" s="8"/>
      <c r="E18" s="9">
        <f t="shared" ref="E18:E23" si="1">$I$15*I18</f>
        <v>49.545132743362842</v>
      </c>
      <c r="F18" s="9"/>
      <c r="G18" s="9"/>
      <c r="H18" s="10">
        <v>1.66E-2</v>
      </c>
      <c r="I18" s="3">
        <v>2.1700000000000001E-2</v>
      </c>
    </row>
    <row r="19" spans="1:9" ht="24" customHeight="1">
      <c r="A19" s="245" t="s">
        <v>289</v>
      </c>
      <c r="B19" s="247"/>
      <c r="C19" s="11"/>
      <c r="D19" s="12"/>
      <c r="E19" s="9">
        <f t="shared" si="1"/>
        <v>241.5610619469027</v>
      </c>
      <c r="F19" s="9"/>
      <c r="G19" s="9"/>
      <c r="H19" s="13">
        <f>SUM(H16:H18)</f>
        <v>0.1018</v>
      </c>
      <c r="I19" s="3">
        <f>SUM(I16:I18)</f>
        <v>0.10580000000000001</v>
      </c>
    </row>
    <row r="20" spans="1:9" ht="24" customHeight="1">
      <c r="A20" s="243" t="s">
        <v>81</v>
      </c>
      <c r="B20" s="243"/>
      <c r="C20" s="7"/>
      <c r="D20" s="8"/>
      <c r="E20" s="9">
        <f t="shared" si="1"/>
        <v>77.628318584070811</v>
      </c>
      <c r="F20" s="9"/>
      <c r="G20" s="9"/>
      <c r="H20" s="10">
        <f>1.97%+0.75%</f>
        <v>2.7199999999999998E-2</v>
      </c>
      <c r="I20" s="3">
        <v>3.4000000000000002E-2</v>
      </c>
    </row>
    <row r="21" spans="1:9" ht="24" customHeight="1">
      <c r="A21" s="240" t="s">
        <v>290</v>
      </c>
      <c r="B21" s="6" t="s">
        <v>287</v>
      </c>
      <c r="C21" s="7"/>
      <c r="D21" s="8"/>
      <c r="E21" s="9">
        <f t="shared" si="1"/>
        <v>15.982300884955755</v>
      </c>
      <c r="F21" s="9"/>
      <c r="G21" s="9"/>
      <c r="H21" s="10">
        <v>5.3E-3</v>
      </c>
      <c r="I21" s="3">
        <v>7.0000000000000001E-3</v>
      </c>
    </row>
    <row r="22" spans="1:9" ht="24" customHeight="1">
      <c r="A22" s="241"/>
      <c r="B22" s="6" t="s">
        <v>288</v>
      </c>
      <c r="C22" s="7"/>
      <c r="D22" s="8"/>
      <c r="E22" s="9">
        <f t="shared" si="1"/>
        <v>100.46017699115045</v>
      </c>
      <c r="F22" s="9"/>
      <c r="G22" s="9"/>
      <c r="H22" s="10">
        <v>3.4099999999999998E-2</v>
      </c>
      <c r="I22" s="3">
        <f>2.8%+1.6%</f>
        <v>4.3999999999999997E-2</v>
      </c>
    </row>
    <row r="23" spans="1:9" ht="24" customHeight="1">
      <c r="A23" s="243" t="s">
        <v>84</v>
      </c>
      <c r="B23" s="243"/>
      <c r="C23" s="7"/>
      <c r="D23" s="8"/>
      <c r="E23" s="9">
        <f t="shared" si="1"/>
        <v>68.495575221238937</v>
      </c>
      <c r="F23" s="9"/>
      <c r="G23" s="9"/>
      <c r="H23" s="10">
        <v>1.0999999999999999E-2</v>
      </c>
      <c r="I23" s="3">
        <v>0.03</v>
      </c>
    </row>
    <row r="26" spans="1:9" s="1" customFormat="1" ht="18.75" customHeight="1">
      <c r="G26" s="244" t="s">
        <v>275</v>
      </c>
      <c r="H26" s="244"/>
      <c r="I26" s="16" t="s">
        <v>153</v>
      </c>
    </row>
    <row r="27" spans="1:9" ht="39" customHeight="1">
      <c r="A27" s="242" t="s">
        <v>276</v>
      </c>
      <c r="B27" s="242"/>
      <c r="C27" s="245" t="s">
        <v>277</v>
      </c>
      <c r="D27" s="246"/>
      <c r="E27" s="246"/>
      <c r="F27" s="246"/>
      <c r="G27" s="246"/>
      <c r="H27" s="247"/>
      <c r="I27" s="3" t="s">
        <v>278</v>
      </c>
    </row>
    <row r="28" spans="1:9" ht="34.5" customHeight="1">
      <c r="A28" s="242"/>
      <c r="B28" s="242"/>
      <c r="C28" s="4" t="s">
        <v>279</v>
      </c>
      <c r="D28" s="4" t="s">
        <v>280</v>
      </c>
      <c r="E28" s="4" t="s">
        <v>281</v>
      </c>
      <c r="F28" s="5" t="s">
        <v>282</v>
      </c>
      <c r="G28" s="5" t="s">
        <v>283</v>
      </c>
      <c r="H28" s="5" t="s">
        <v>284</v>
      </c>
      <c r="I28" s="15">
        <f>销量!E8</f>
        <v>1818.5840707964603</v>
      </c>
    </row>
    <row r="29" spans="1:9" ht="24" customHeight="1">
      <c r="A29" s="243" t="s">
        <v>285</v>
      </c>
      <c r="B29" s="243"/>
      <c r="C29" s="7"/>
      <c r="D29" s="8"/>
      <c r="E29" s="9">
        <f>I28*I29</f>
        <v>78.380973451327435</v>
      </c>
      <c r="F29" s="9"/>
      <c r="G29" s="9"/>
      <c r="H29" s="10">
        <v>4.48E-2</v>
      </c>
      <c r="I29" s="3">
        <v>4.3099999999999999E-2</v>
      </c>
    </row>
    <row r="30" spans="1:9" ht="24" customHeight="1">
      <c r="A30" s="243" t="s">
        <v>286</v>
      </c>
      <c r="B30" s="6" t="s">
        <v>287</v>
      </c>
      <c r="C30" s="7"/>
      <c r="D30" s="8"/>
      <c r="E30" s="9">
        <f t="shared" ref="E30:E36" si="2">$I$28*I30</f>
        <v>74.561946902654881</v>
      </c>
      <c r="F30" s="9"/>
      <c r="G30" s="9"/>
      <c r="H30" s="10">
        <v>4.0399999999999998E-2</v>
      </c>
      <c r="I30" s="3">
        <v>4.1000000000000002E-2</v>
      </c>
    </row>
    <row r="31" spans="1:9" ht="24" customHeight="1">
      <c r="A31" s="243"/>
      <c r="B31" s="6" t="s">
        <v>288</v>
      </c>
      <c r="C31" s="7"/>
      <c r="D31" s="8"/>
      <c r="E31" s="9">
        <f t="shared" si="2"/>
        <v>39.463274336283192</v>
      </c>
      <c r="F31" s="9"/>
      <c r="G31" s="9"/>
      <c r="H31" s="10">
        <v>1.66E-2</v>
      </c>
      <c r="I31" s="3">
        <v>2.1700000000000001E-2</v>
      </c>
    </row>
    <row r="32" spans="1:9" ht="24" customHeight="1">
      <c r="A32" s="245" t="s">
        <v>289</v>
      </c>
      <c r="B32" s="247"/>
      <c r="C32" s="11"/>
      <c r="D32" s="12"/>
      <c r="E32" s="9">
        <f t="shared" si="2"/>
        <v>192.40619469026552</v>
      </c>
      <c r="F32" s="9"/>
      <c r="G32" s="9"/>
      <c r="H32" s="13">
        <f>SUM(H29:H31)</f>
        <v>0.1018</v>
      </c>
      <c r="I32" s="3">
        <f>SUM(I29:I31)</f>
        <v>0.10580000000000001</v>
      </c>
    </row>
    <row r="33" spans="1:9" ht="24" customHeight="1">
      <c r="A33" s="243" t="s">
        <v>81</v>
      </c>
      <c r="B33" s="243"/>
      <c r="C33" s="7"/>
      <c r="D33" s="8"/>
      <c r="E33" s="9">
        <f t="shared" si="2"/>
        <v>61.831858407079658</v>
      </c>
      <c r="F33" s="9"/>
      <c r="G33" s="9"/>
      <c r="H33" s="10">
        <f>1.97%+0.75%</f>
        <v>2.7199999999999998E-2</v>
      </c>
      <c r="I33" s="3">
        <v>3.4000000000000002E-2</v>
      </c>
    </row>
    <row r="34" spans="1:9" ht="24" customHeight="1">
      <c r="A34" s="240" t="s">
        <v>290</v>
      </c>
      <c r="B34" s="6" t="s">
        <v>287</v>
      </c>
      <c r="C34" s="7"/>
      <c r="D34" s="8"/>
      <c r="E34" s="9">
        <f t="shared" si="2"/>
        <v>12.730088495575222</v>
      </c>
      <c r="F34" s="9"/>
      <c r="G34" s="9"/>
      <c r="H34" s="10">
        <v>5.3E-3</v>
      </c>
      <c r="I34" s="3">
        <v>7.0000000000000001E-3</v>
      </c>
    </row>
    <row r="35" spans="1:9" ht="24" customHeight="1">
      <c r="A35" s="241"/>
      <c r="B35" s="6" t="s">
        <v>288</v>
      </c>
      <c r="C35" s="7"/>
      <c r="D35" s="8"/>
      <c r="E35" s="9">
        <f t="shared" si="2"/>
        <v>80.017699115044252</v>
      </c>
      <c r="F35" s="9"/>
      <c r="G35" s="9"/>
      <c r="H35" s="10">
        <v>3.4099999999999998E-2</v>
      </c>
      <c r="I35" s="3">
        <f>2.8%+1.6%</f>
        <v>4.3999999999999997E-2</v>
      </c>
    </row>
    <row r="36" spans="1:9" ht="24" customHeight="1">
      <c r="A36" s="243" t="s">
        <v>84</v>
      </c>
      <c r="B36" s="243"/>
      <c r="C36" s="7"/>
      <c r="D36" s="8"/>
      <c r="E36" s="9">
        <f t="shared" si="2"/>
        <v>54.557522123893804</v>
      </c>
      <c r="F36" s="9"/>
      <c r="G36" s="9"/>
      <c r="H36" s="10">
        <v>1.0999999999999999E-2</v>
      </c>
      <c r="I36" s="3">
        <v>0.03</v>
      </c>
    </row>
    <row r="39" spans="1:9" s="1" customFormat="1" ht="18.75" customHeight="1">
      <c r="G39" s="244" t="s">
        <v>275</v>
      </c>
      <c r="H39" s="244"/>
      <c r="I39" s="16" t="s">
        <v>154</v>
      </c>
    </row>
    <row r="40" spans="1:9" ht="39" customHeight="1">
      <c r="A40" s="242" t="s">
        <v>276</v>
      </c>
      <c r="B40" s="242"/>
      <c r="C40" s="245" t="s">
        <v>277</v>
      </c>
      <c r="D40" s="246"/>
      <c r="E40" s="246"/>
      <c r="F40" s="246"/>
      <c r="G40" s="246"/>
      <c r="H40" s="247"/>
      <c r="I40" s="3" t="s">
        <v>278</v>
      </c>
    </row>
    <row r="41" spans="1:9" ht="34.5" customHeight="1">
      <c r="A41" s="242"/>
      <c r="B41" s="242"/>
      <c r="C41" s="4" t="s">
        <v>279</v>
      </c>
      <c r="D41" s="4" t="s">
        <v>280</v>
      </c>
      <c r="E41" s="4" t="s">
        <v>281</v>
      </c>
      <c r="F41" s="5" t="s">
        <v>282</v>
      </c>
      <c r="G41" s="5" t="s">
        <v>283</v>
      </c>
      <c r="H41" s="5" t="s">
        <v>284</v>
      </c>
      <c r="I41" s="15">
        <f>销量!F8</f>
        <v>1818.5840707964603</v>
      </c>
    </row>
    <row r="42" spans="1:9" ht="24" customHeight="1">
      <c r="A42" s="243" t="s">
        <v>285</v>
      </c>
      <c r="B42" s="243"/>
      <c r="C42" s="7"/>
      <c r="D42" s="8"/>
      <c r="E42" s="9">
        <f>I41*I42</f>
        <v>78.380973451327435</v>
      </c>
      <c r="F42" s="9"/>
      <c r="G42" s="9"/>
      <c r="H42" s="10">
        <v>4.48E-2</v>
      </c>
      <c r="I42" s="3">
        <v>4.3099999999999999E-2</v>
      </c>
    </row>
    <row r="43" spans="1:9" ht="24" customHeight="1">
      <c r="A43" s="243" t="s">
        <v>286</v>
      </c>
      <c r="B43" s="6" t="s">
        <v>287</v>
      </c>
      <c r="C43" s="7"/>
      <c r="D43" s="8"/>
      <c r="E43" s="9">
        <f>$I$28*I43</f>
        <v>74.561946902654881</v>
      </c>
      <c r="F43" s="9"/>
      <c r="G43" s="9"/>
      <c r="H43" s="10">
        <v>4.0399999999999998E-2</v>
      </c>
      <c r="I43" s="3">
        <v>4.1000000000000002E-2</v>
      </c>
    </row>
    <row r="44" spans="1:9" ht="24" customHeight="1">
      <c r="A44" s="243"/>
      <c r="B44" s="6" t="s">
        <v>288</v>
      </c>
      <c r="C44" s="7"/>
      <c r="D44" s="8"/>
      <c r="E44" s="9">
        <f t="shared" ref="E44:E49" si="3">$I$28*I44</f>
        <v>39.463274336283192</v>
      </c>
      <c r="F44" s="9"/>
      <c r="G44" s="9"/>
      <c r="H44" s="10">
        <v>1.66E-2</v>
      </c>
      <c r="I44" s="3">
        <v>2.1700000000000001E-2</v>
      </c>
    </row>
    <row r="45" spans="1:9" ht="24" customHeight="1">
      <c r="A45" s="245" t="s">
        <v>289</v>
      </c>
      <c r="B45" s="247"/>
      <c r="C45" s="11"/>
      <c r="D45" s="12"/>
      <c r="E45" s="9">
        <f t="shared" si="3"/>
        <v>192.40619469026552</v>
      </c>
      <c r="F45" s="9"/>
      <c r="G45" s="9"/>
      <c r="H45" s="13">
        <f>SUM(H42:H44)</f>
        <v>0.1018</v>
      </c>
      <c r="I45" s="3">
        <f>SUM(I42:I44)</f>
        <v>0.10580000000000001</v>
      </c>
    </row>
    <row r="46" spans="1:9" ht="24" customHeight="1">
      <c r="A46" s="243" t="s">
        <v>81</v>
      </c>
      <c r="B46" s="243"/>
      <c r="C46" s="7"/>
      <c r="D46" s="8"/>
      <c r="E46" s="9">
        <f t="shared" si="3"/>
        <v>61.831858407079658</v>
      </c>
      <c r="F46" s="9"/>
      <c r="G46" s="9"/>
      <c r="H46" s="10">
        <f>1.97%+0.75%</f>
        <v>2.7199999999999998E-2</v>
      </c>
      <c r="I46" s="3">
        <v>3.4000000000000002E-2</v>
      </c>
    </row>
    <row r="47" spans="1:9" ht="24" customHeight="1">
      <c r="A47" s="240" t="s">
        <v>290</v>
      </c>
      <c r="B47" s="6" t="s">
        <v>287</v>
      </c>
      <c r="C47" s="7"/>
      <c r="D47" s="8"/>
      <c r="E47" s="9">
        <f t="shared" si="3"/>
        <v>12.730088495575222</v>
      </c>
      <c r="F47" s="9"/>
      <c r="G47" s="9"/>
      <c r="H47" s="10">
        <v>5.3E-3</v>
      </c>
      <c r="I47" s="3">
        <v>7.0000000000000001E-3</v>
      </c>
    </row>
    <row r="48" spans="1:9" ht="24" customHeight="1">
      <c r="A48" s="241"/>
      <c r="B48" s="6" t="s">
        <v>288</v>
      </c>
      <c r="C48" s="7"/>
      <c r="D48" s="8"/>
      <c r="E48" s="9">
        <f t="shared" si="3"/>
        <v>80.017699115044252</v>
      </c>
      <c r="F48" s="9"/>
      <c r="G48" s="9"/>
      <c r="H48" s="10">
        <v>3.4099999999999998E-2</v>
      </c>
      <c r="I48" s="3">
        <f>2.8%+1.6%</f>
        <v>4.3999999999999997E-2</v>
      </c>
    </row>
    <row r="49" spans="1:9" ht="24" customHeight="1">
      <c r="A49" s="243" t="s">
        <v>84</v>
      </c>
      <c r="B49" s="243"/>
      <c r="C49" s="7"/>
      <c r="D49" s="8"/>
      <c r="E49" s="9">
        <f t="shared" si="3"/>
        <v>54.557522123893804</v>
      </c>
      <c r="F49" s="9"/>
      <c r="G49" s="9"/>
      <c r="H49" s="10">
        <v>1.0999999999999999E-2</v>
      </c>
      <c r="I49" s="3">
        <v>0.03</v>
      </c>
    </row>
    <row r="52" spans="1:9" s="1" customFormat="1" ht="18.75" customHeight="1">
      <c r="G52" s="244" t="s">
        <v>275</v>
      </c>
      <c r="H52" s="244"/>
      <c r="I52" s="16" t="s">
        <v>155</v>
      </c>
    </row>
    <row r="53" spans="1:9" ht="39" customHeight="1">
      <c r="A53" s="242" t="s">
        <v>276</v>
      </c>
      <c r="B53" s="242"/>
      <c r="C53" s="245" t="s">
        <v>277</v>
      </c>
      <c r="D53" s="246"/>
      <c r="E53" s="246"/>
      <c r="F53" s="246"/>
      <c r="G53" s="246"/>
      <c r="H53" s="247"/>
      <c r="I53" s="3" t="s">
        <v>278</v>
      </c>
    </row>
    <row r="54" spans="1:9" ht="34.5" customHeight="1">
      <c r="A54" s="242"/>
      <c r="B54" s="242"/>
      <c r="C54" s="4" t="s">
        <v>279</v>
      </c>
      <c r="D54" s="4" t="s">
        <v>280</v>
      </c>
      <c r="E54" s="4" t="s">
        <v>281</v>
      </c>
      <c r="F54" s="5" t="s">
        <v>282</v>
      </c>
      <c r="G54" s="5" t="s">
        <v>283</v>
      </c>
      <c r="H54" s="5" t="s">
        <v>284</v>
      </c>
      <c r="I54" s="15">
        <f>销量!G8</f>
        <v>699.11504424778764</v>
      </c>
    </row>
    <row r="55" spans="1:9" ht="24" customHeight="1">
      <c r="A55" s="243" t="s">
        <v>285</v>
      </c>
      <c r="B55" s="243"/>
      <c r="C55" s="7"/>
      <c r="D55" s="8"/>
      <c r="E55" s="9">
        <f>I54*I55</f>
        <v>30.131858407079648</v>
      </c>
      <c r="F55" s="9"/>
      <c r="G55" s="9"/>
      <c r="H55" s="10">
        <v>4.48E-2</v>
      </c>
      <c r="I55" s="3">
        <v>4.3099999999999999E-2</v>
      </c>
    </row>
    <row r="56" spans="1:9" ht="24" customHeight="1">
      <c r="A56" s="243" t="s">
        <v>286</v>
      </c>
      <c r="B56" s="6" t="s">
        <v>287</v>
      </c>
      <c r="C56" s="7"/>
      <c r="D56" s="8"/>
      <c r="E56" s="9">
        <f>$I$54*I56</f>
        <v>28.663716814159294</v>
      </c>
      <c r="F56" s="9"/>
      <c r="G56" s="9"/>
      <c r="H56" s="10">
        <v>4.0399999999999998E-2</v>
      </c>
      <c r="I56" s="3">
        <v>4.1000000000000002E-2</v>
      </c>
    </row>
    <row r="57" spans="1:9" ht="24" customHeight="1">
      <c r="A57" s="243"/>
      <c r="B57" s="6" t="s">
        <v>288</v>
      </c>
      <c r="C57" s="7"/>
      <c r="D57" s="8"/>
      <c r="E57" s="9">
        <f t="shared" ref="E57:E62" si="4">$I$54*I57</f>
        <v>15.170796460176993</v>
      </c>
      <c r="F57" s="9"/>
      <c r="G57" s="9"/>
      <c r="H57" s="10">
        <v>1.66E-2</v>
      </c>
      <c r="I57" s="3">
        <v>2.1700000000000001E-2</v>
      </c>
    </row>
    <row r="58" spans="1:9" ht="24" customHeight="1">
      <c r="A58" s="245" t="s">
        <v>289</v>
      </c>
      <c r="B58" s="247"/>
      <c r="C58" s="11"/>
      <c r="D58" s="12"/>
      <c r="E58" s="9">
        <f t="shared" si="4"/>
        <v>73.966371681415936</v>
      </c>
      <c r="F58" s="9"/>
      <c r="G58" s="9"/>
      <c r="H58" s="13">
        <f>SUM(H55:H57)</f>
        <v>0.1018</v>
      </c>
      <c r="I58" s="3">
        <f>SUM(I55:I57)</f>
        <v>0.10580000000000001</v>
      </c>
    </row>
    <row r="59" spans="1:9" ht="24" customHeight="1">
      <c r="A59" s="243" t="s">
        <v>81</v>
      </c>
      <c r="B59" s="243"/>
      <c r="C59" s="7"/>
      <c r="D59" s="8"/>
      <c r="E59" s="9">
        <f t="shared" si="4"/>
        <v>23.76991150442478</v>
      </c>
      <c r="F59" s="9"/>
      <c r="G59" s="9"/>
      <c r="H59" s="10">
        <f>1.97%+0.75%</f>
        <v>2.7199999999999998E-2</v>
      </c>
      <c r="I59" s="3">
        <v>3.4000000000000002E-2</v>
      </c>
    </row>
    <row r="60" spans="1:9" ht="24" customHeight="1">
      <c r="A60" s="240" t="s">
        <v>290</v>
      </c>
      <c r="B60" s="6" t="s">
        <v>287</v>
      </c>
      <c r="C60" s="7"/>
      <c r="D60" s="8"/>
      <c r="E60" s="9">
        <f t="shared" si="4"/>
        <v>4.893805309734514</v>
      </c>
      <c r="F60" s="9"/>
      <c r="G60" s="9"/>
      <c r="H60" s="10">
        <v>5.3E-3</v>
      </c>
      <c r="I60" s="3">
        <v>7.0000000000000001E-3</v>
      </c>
    </row>
    <row r="61" spans="1:9" ht="24" customHeight="1">
      <c r="A61" s="241"/>
      <c r="B61" s="6" t="s">
        <v>288</v>
      </c>
      <c r="C61" s="7"/>
      <c r="D61" s="8"/>
      <c r="E61" s="9">
        <f t="shared" si="4"/>
        <v>30.761061946902654</v>
      </c>
      <c r="F61" s="9"/>
      <c r="G61" s="9"/>
      <c r="H61" s="10">
        <v>3.4099999999999998E-2</v>
      </c>
      <c r="I61" s="3">
        <f>2.8%+1.6%</f>
        <v>4.3999999999999997E-2</v>
      </c>
    </row>
    <row r="62" spans="1:9" ht="24" customHeight="1">
      <c r="A62" s="243" t="s">
        <v>84</v>
      </c>
      <c r="B62" s="243"/>
      <c r="C62" s="7"/>
      <c r="D62" s="8"/>
      <c r="E62" s="9">
        <f t="shared" si="4"/>
        <v>20.973451327433629</v>
      </c>
      <c r="F62" s="9"/>
      <c r="G62" s="9"/>
      <c r="H62" s="10">
        <v>1.0999999999999999E-2</v>
      </c>
      <c r="I62" s="3">
        <v>0.03</v>
      </c>
    </row>
    <row r="65" spans="1:9" s="1" customFormat="1" ht="18.75" customHeight="1">
      <c r="G65" s="244" t="s">
        <v>275</v>
      </c>
      <c r="H65" s="244"/>
      <c r="I65" s="16" t="s">
        <v>156</v>
      </c>
    </row>
    <row r="66" spans="1:9" ht="39" customHeight="1">
      <c r="A66" s="242" t="s">
        <v>276</v>
      </c>
      <c r="B66" s="242"/>
      <c r="C66" s="245" t="s">
        <v>277</v>
      </c>
      <c r="D66" s="246"/>
      <c r="E66" s="246"/>
      <c r="F66" s="246"/>
      <c r="G66" s="246"/>
      <c r="H66" s="247"/>
      <c r="I66" s="3" t="s">
        <v>278</v>
      </c>
    </row>
    <row r="67" spans="1:9" ht="34.5" customHeight="1">
      <c r="A67" s="242"/>
      <c r="B67" s="242"/>
      <c r="C67" s="4" t="s">
        <v>279</v>
      </c>
      <c r="D67" s="4" t="s">
        <v>280</v>
      </c>
      <c r="E67" s="4" t="s">
        <v>281</v>
      </c>
      <c r="F67" s="5" t="s">
        <v>282</v>
      </c>
      <c r="G67" s="5" t="s">
        <v>283</v>
      </c>
      <c r="H67" s="5" t="s">
        <v>284</v>
      </c>
      <c r="I67" s="15">
        <f>销量!H8</f>
        <v>0</v>
      </c>
    </row>
    <row r="68" spans="1:9" ht="24" customHeight="1">
      <c r="A68" s="243" t="s">
        <v>285</v>
      </c>
      <c r="B68" s="243"/>
      <c r="C68" s="7"/>
      <c r="D68" s="8"/>
      <c r="E68" s="9">
        <f>I67*I68</f>
        <v>0</v>
      </c>
      <c r="F68" s="9"/>
      <c r="G68" s="9"/>
      <c r="H68" s="10">
        <v>4.48E-2</v>
      </c>
      <c r="I68" s="3">
        <v>4.3099999999999999E-2</v>
      </c>
    </row>
    <row r="69" spans="1:9" ht="24" customHeight="1">
      <c r="A69" s="243" t="s">
        <v>286</v>
      </c>
      <c r="B69" s="6" t="s">
        <v>287</v>
      </c>
      <c r="C69" s="7"/>
      <c r="D69" s="8"/>
      <c r="E69" s="9">
        <f t="shared" ref="E69:E75" si="5">$I$67*I69</f>
        <v>0</v>
      </c>
      <c r="F69" s="9"/>
      <c r="G69" s="9"/>
      <c r="H69" s="10">
        <v>4.0399999999999998E-2</v>
      </c>
      <c r="I69" s="3">
        <v>4.1000000000000002E-2</v>
      </c>
    </row>
    <row r="70" spans="1:9" ht="24" customHeight="1">
      <c r="A70" s="243"/>
      <c r="B70" s="6" t="s">
        <v>288</v>
      </c>
      <c r="C70" s="7"/>
      <c r="D70" s="8"/>
      <c r="E70" s="9">
        <f t="shared" si="5"/>
        <v>0</v>
      </c>
      <c r="F70" s="9"/>
      <c r="G70" s="9"/>
      <c r="H70" s="10">
        <v>1.66E-2</v>
      </c>
      <c r="I70" s="3">
        <v>2.1700000000000001E-2</v>
      </c>
    </row>
    <row r="71" spans="1:9" ht="24" customHeight="1">
      <c r="A71" s="245" t="s">
        <v>289</v>
      </c>
      <c r="B71" s="247"/>
      <c r="C71" s="11"/>
      <c r="D71" s="12"/>
      <c r="E71" s="9">
        <f t="shared" si="5"/>
        <v>0</v>
      </c>
      <c r="F71" s="9"/>
      <c r="G71" s="9"/>
      <c r="H71" s="13">
        <f>SUM(H68:H70)</f>
        <v>0.1018</v>
      </c>
      <c r="I71" s="3">
        <f>SUM(I68:I70)</f>
        <v>0.10580000000000001</v>
      </c>
    </row>
    <row r="72" spans="1:9" ht="24" customHeight="1">
      <c r="A72" s="243" t="s">
        <v>81</v>
      </c>
      <c r="B72" s="243"/>
      <c r="C72" s="7"/>
      <c r="D72" s="8"/>
      <c r="E72" s="9">
        <f t="shared" si="5"/>
        <v>0</v>
      </c>
      <c r="F72" s="9"/>
      <c r="G72" s="9"/>
      <c r="H72" s="10">
        <f>1.97%+0.75%</f>
        <v>2.7199999999999998E-2</v>
      </c>
      <c r="I72" s="3">
        <v>3.4000000000000002E-2</v>
      </c>
    </row>
    <row r="73" spans="1:9" ht="24" customHeight="1">
      <c r="A73" s="240" t="s">
        <v>290</v>
      </c>
      <c r="B73" s="6" t="s">
        <v>287</v>
      </c>
      <c r="C73" s="7"/>
      <c r="D73" s="8"/>
      <c r="E73" s="9">
        <f t="shared" si="5"/>
        <v>0</v>
      </c>
      <c r="F73" s="9"/>
      <c r="G73" s="9"/>
      <c r="H73" s="10">
        <v>5.3E-3</v>
      </c>
      <c r="I73" s="3">
        <v>7.0000000000000001E-3</v>
      </c>
    </row>
    <row r="74" spans="1:9" ht="24" customHeight="1">
      <c r="A74" s="241"/>
      <c r="B74" s="6" t="s">
        <v>288</v>
      </c>
      <c r="C74" s="7"/>
      <c r="D74" s="8"/>
      <c r="E74" s="9">
        <f t="shared" si="5"/>
        <v>0</v>
      </c>
      <c r="F74" s="9"/>
      <c r="G74" s="9"/>
      <c r="H74" s="10">
        <v>3.4099999999999998E-2</v>
      </c>
      <c r="I74" s="3">
        <f>2.8%+1.6%</f>
        <v>4.3999999999999997E-2</v>
      </c>
    </row>
    <row r="75" spans="1:9" ht="24" customHeight="1">
      <c r="A75" s="243" t="s">
        <v>84</v>
      </c>
      <c r="B75" s="243"/>
      <c r="C75" s="7"/>
      <c r="D75" s="8"/>
      <c r="E75" s="9">
        <f t="shared" si="5"/>
        <v>0</v>
      </c>
      <c r="F75" s="9"/>
      <c r="G75" s="9"/>
      <c r="H75" s="10">
        <v>1.0999999999999999E-2</v>
      </c>
      <c r="I75" s="3">
        <v>0.03</v>
      </c>
    </row>
    <row r="78" spans="1:9" s="1" customFormat="1" ht="18.75" customHeight="1">
      <c r="G78" s="244" t="s">
        <v>275</v>
      </c>
      <c r="H78" s="244"/>
      <c r="I78" s="16" t="s">
        <v>157</v>
      </c>
    </row>
    <row r="79" spans="1:9" ht="39" customHeight="1">
      <c r="A79" s="242" t="s">
        <v>276</v>
      </c>
      <c r="B79" s="242"/>
      <c r="C79" s="245" t="s">
        <v>277</v>
      </c>
      <c r="D79" s="246"/>
      <c r="E79" s="246"/>
      <c r="F79" s="246"/>
      <c r="G79" s="246"/>
      <c r="H79" s="247"/>
      <c r="I79" s="3" t="s">
        <v>278</v>
      </c>
    </row>
    <row r="80" spans="1:9" ht="34.5" customHeight="1">
      <c r="A80" s="242"/>
      <c r="B80" s="242"/>
      <c r="C80" s="4" t="s">
        <v>279</v>
      </c>
      <c r="D80" s="4" t="s">
        <v>280</v>
      </c>
      <c r="E80" s="4" t="s">
        <v>281</v>
      </c>
      <c r="F80" s="5" t="s">
        <v>282</v>
      </c>
      <c r="G80" s="5" t="s">
        <v>283</v>
      </c>
      <c r="H80" s="5" t="s">
        <v>284</v>
      </c>
      <c r="I80" s="15">
        <f>销量!I8</f>
        <v>575.22123893805315</v>
      </c>
    </row>
    <row r="81" spans="1:9" ht="24" customHeight="1">
      <c r="A81" s="243" t="s">
        <v>285</v>
      </c>
      <c r="B81" s="243"/>
      <c r="C81" s="7"/>
      <c r="D81" s="8"/>
      <c r="E81" s="9">
        <f>I80*I81</f>
        <v>24.792035398230091</v>
      </c>
      <c r="F81" s="9"/>
      <c r="G81" s="9"/>
      <c r="H81" s="10">
        <v>4.48E-2</v>
      </c>
      <c r="I81" s="3">
        <v>4.3099999999999999E-2</v>
      </c>
    </row>
    <row r="82" spans="1:9" ht="24" customHeight="1">
      <c r="A82" s="243" t="s">
        <v>286</v>
      </c>
      <c r="B82" s="6" t="s">
        <v>287</v>
      </c>
      <c r="C82" s="7"/>
      <c r="D82" s="8"/>
      <c r="E82" s="9">
        <f t="shared" ref="E82:E88" si="6">$I$80*I82</f>
        <v>23.584070796460178</v>
      </c>
      <c r="F82" s="9"/>
      <c r="G82" s="9"/>
      <c r="H82" s="10">
        <v>4.0399999999999998E-2</v>
      </c>
      <c r="I82" s="3">
        <v>4.1000000000000002E-2</v>
      </c>
    </row>
    <row r="83" spans="1:9" ht="24" customHeight="1">
      <c r="A83" s="243"/>
      <c r="B83" s="6" t="s">
        <v>288</v>
      </c>
      <c r="C83" s="7"/>
      <c r="D83" s="8"/>
      <c r="E83" s="9">
        <f t="shared" si="6"/>
        <v>12.482300884955754</v>
      </c>
      <c r="F83" s="9"/>
      <c r="G83" s="9"/>
      <c r="H83" s="10">
        <v>1.66E-2</v>
      </c>
      <c r="I83" s="3">
        <v>2.1700000000000001E-2</v>
      </c>
    </row>
    <row r="84" spans="1:9" ht="24" customHeight="1">
      <c r="A84" s="245" t="s">
        <v>289</v>
      </c>
      <c r="B84" s="247"/>
      <c r="C84" s="11"/>
      <c r="D84" s="12"/>
      <c r="E84" s="9">
        <f t="shared" si="6"/>
        <v>60.858407079646028</v>
      </c>
      <c r="F84" s="9"/>
      <c r="G84" s="9"/>
      <c r="H84" s="13">
        <f>SUM(H81:H83)</f>
        <v>0.1018</v>
      </c>
      <c r="I84" s="3">
        <f>SUM(I81:I83)</f>
        <v>0.10580000000000001</v>
      </c>
    </row>
    <row r="85" spans="1:9" ht="24" customHeight="1">
      <c r="A85" s="243" t="s">
        <v>81</v>
      </c>
      <c r="B85" s="243"/>
      <c r="C85" s="7"/>
      <c r="D85" s="8"/>
      <c r="E85" s="9">
        <f t="shared" si="6"/>
        <v>19.557522123893808</v>
      </c>
      <c r="F85" s="9"/>
      <c r="G85" s="9"/>
      <c r="H85" s="10">
        <f>1.97%+0.75%</f>
        <v>2.7199999999999998E-2</v>
      </c>
      <c r="I85" s="3">
        <v>3.4000000000000002E-2</v>
      </c>
    </row>
    <row r="86" spans="1:9" ht="24" customHeight="1">
      <c r="A86" s="240" t="s">
        <v>290</v>
      </c>
      <c r="B86" s="6" t="s">
        <v>287</v>
      </c>
      <c r="C86" s="7"/>
      <c r="D86" s="8"/>
      <c r="E86" s="9">
        <f t="shared" si="6"/>
        <v>4.0265486725663724</v>
      </c>
      <c r="F86" s="9"/>
      <c r="G86" s="9"/>
      <c r="H86" s="10">
        <v>5.3E-3</v>
      </c>
      <c r="I86" s="3">
        <v>7.0000000000000001E-3</v>
      </c>
    </row>
    <row r="87" spans="1:9" ht="24" customHeight="1">
      <c r="A87" s="241"/>
      <c r="B87" s="6" t="s">
        <v>288</v>
      </c>
      <c r="C87" s="7"/>
      <c r="D87" s="8"/>
      <c r="E87" s="9">
        <f t="shared" si="6"/>
        <v>25.309734513274336</v>
      </c>
      <c r="F87" s="9"/>
      <c r="G87" s="9"/>
      <c r="H87" s="10">
        <v>3.4099999999999998E-2</v>
      </c>
      <c r="I87" s="3">
        <f>2.8%+1.6%</f>
        <v>4.3999999999999997E-2</v>
      </c>
    </row>
    <row r="88" spans="1:9" ht="24" customHeight="1">
      <c r="A88" s="243" t="s">
        <v>84</v>
      </c>
      <c r="B88" s="243"/>
      <c r="C88" s="7"/>
      <c r="D88" s="8"/>
      <c r="E88" s="9">
        <f t="shared" si="6"/>
        <v>17.256637168141594</v>
      </c>
      <c r="F88" s="9"/>
      <c r="G88" s="9"/>
      <c r="H88" s="10">
        <v>1.0999999999999999E-2</v>
      </c>
      <c r="I88" s="3">
        <v>0.03</v>
      </c>
    </row>
    <row r="91" spans="1:9" s="1" customFormat="1" ht="18.75" customHeight="1">
      <c r="G91" s="244" t="s">
        <v>275</v>
      </c>
      <c r="H91" s="244"/>
      <c r="I91" s="16" t="s">
        <v>158</v>
      </c>
    </row>
    <row r="92" spans="1:9" ht="39" customHeight="1">
      <c r="A92" s="242" t="s">
        <v>276</v>
      </c>
      <c r="B92" s="242"/>
      <c r="C92" s="245" t="s">
        <v>277</v>
      </c>
      <c r="D92" s="246"/>
      <c r="E92" s="246"/>
      <c r="F92" s="246"/>
      <c r="G92" s="246"/>
      <c r="H92" s="247"/>
      <c r="I92" s="3" t="s">
        <v>278</v>
      </c>
    </row>
    <row r="93" spans="1:9" ht="34.5" customHeight="1">
      <c r="A93" s="242"/>
      <c r="B93" s="242"/>
      <c r="C93" s="4" t="s">
        <v>279</v>
      </c>
      <c r="D93" s="4" t="s">
        <v>280</v>
      </c>
      <c r="E93" s="4" t="s">
        <v>281</v>
      </c>
      <c r="F93" s="5" t="s">
        <v>282</v>
      </c>
      <c r="G93" s="5" t="s">
        <v>283</v>
      </c>
      <c r="H93" s="5" t="s">
        <v>284</v>
      </c>
      <c r="I93" s="15">
        <f>销量!J8</f>
        <v>575.22123893805315</v>
      </c>
    </row>
    <row r="94" spans="1:9" ht="24" customHeight="1">
      <c r="A94" s="243" t="s">
        <v>285</v>
      </c>
      <c r="B94" s="243"/>
      <c r="C94" s="7"/>
      <c r="D94" s="8"/>
      <c r="E94" s="9">
        <f>I93*I94</f>
        <v>24.792035398230091</v>
      </c>
      <c r="F94" s="9"/>
      <c r="G94" s="9"/>
      <c r="H94" s="10">
        <v>4.48E-2</v>
      </c>
      <c r="I94" s="3">
        <v>4.3099999999999999E-2</v>
      </c>
    </row>
    <row r="95" spans="1:9" ht="24" customHeight="1">
      <c r="A95" s="243" t="s">
        <v>286</v>
      </c>
      <c r="B95" s="6" t="s">
        <v>287</v>
      </c>
      <c r="C95" s="7"/>
      <c r="D95" s="8"/>
      <c r="E95" s="9">
        <f>$I$93*I95</f>
        <v>23.584070796460178</v>
      </c>
      <c r="F95" s="9"/>
      <c r="G95" s="9"/>
      <c r="H95" s="10">
        <v>4.0399999999999998E-2</v>
      </c>
      <c r="I95" s="3">
        <v>4.1000000000000002E-2</v>
      </c>
    </row>
    <row r="96" spans="1:9" ht="24" customHeight="1">
      <c r="A96" s="243"/>
      <c r="B96" s="6" t="s">
        <v>288</v>
      </c>
      <c r="C96" s="7"/>
      <c r="D96" s="8"/>
      <c r="E96" s="9">
        <f t="shared" ref="E96:E101" si="7">$I$93*I96</f>
        <v>12.482300884955754</v>
      </c>
      <c r="F96" s="9"/>
      <c r="G96" s="9"/>
      <c r="H96" s="10">
        <v>1.66E-2</v>
      </c>
      <c r="I96" s="3">
        <v>2.1700000000000001E-2</v>
      </c>
    </row>
    <row r="97" spans="1:9" ht="24" customHeight="1">
      <c r="A97" s="245" t="s">
        <v>289</v>
      </c>
      <c r="B97" s="247"/>
      <c r="C97" s="11"/>
      <c r="D97" s="12"/>
      <c r="E97" s="9">
        <f t="shared" si="7"/>
        <v>60.858407079646028</v>
      </c>
      <c r="F97" s="9"/>
      <c r="G97" s="9"/>
      <c r="H97" s="13">
        <f>SUM(H94:H96)</f>
        <v>0.1018</v>
      </c>
      <c r="I97" s="3">
        <f>SUM(I94:I96)</f>
        <v>0.10580000000000001</v>
      </c>
    </row>
    <row r="98" spans="1:9" ht="24" customHeight="1">
      <c r="A98" s="243" t="s">
        <v>81</v>
      </c>
      <c r="B98" s="243"/>
      <c r="C98" s="7"/>
      <c r="D98" s="8"/>
      <c r="E98" s="9">
        <f t="shared" si="7"/>
        <v>19.557522123893808</v>
      </c>
      <c r="F98" s="9"/>
      <c r="G98" s="9"/>
      <c r="H98" s="10">
        <f>1.97%+0.75%</f>
        <v>2.7199999999999998E-2</v>
      </c>
      <c r="I98" s="3">
        <v>3.4000000000000002E-2</v>
      </c>
    </row>
    <row r="99" spans="1:9" ht="24" customHeight="1">
      <c r="A99" s="240" t="s">
        <v>290</v>
      </c>
      <c r="B99" s="6" t="s">
        <v>287</v>
      </c>
      <c r="C99" s="7"/>
      <c r="D99" s="8"/>
      <c r="E99" s="9">
        <f t="shared" si="7"/>
        <v>4.0265486725663724</v>
      </c>
      <c r="F99" s="9"/>
      <c r="G99" s="9"/>
      <c r="H99" s="10">
        <v>5.3E-3</v>
      </c>
      <c r="I99" s="3">
        <v>7.0000000000000001E-3</v>
      </c>
    </row>
    <row r="100" spans="1:9" ht="24" customHeight="1">
      <c r="A100" s="241"/>
      <c r="B100" s="6" t="s">
        <v>288</v>
      </c>
      <c r="C100" s="7"/>
      <c r="D100" s="8"/>
      <c r="E100" s="9">
        <f t="shared" si="7"/>
        <v>25.309734513274336</v>
      </c>
      <c r="F100" s="9"/>
      <c r="G100" s="9"/>
      <c r="H100" s="10">
        <v>3.4099999999999998E-2</v>
      </c>
      <c r="I100" s="3">
        <f>2.8%+1.6%</f>
        <v>4.3999999999999997E-2</v>
      </c>
    </row>
    <row r="101" spans="1:9" ht="24" customHeight="1">
      <c r="A101" s="243" t="s">
        <v>84</v>
      </c>
      <c r="B101" s="243"/>
      <c r="C101" s="7"/>
      <c r="D101" s="8"/>
      <c r="E101" s="9">
        <f t="shared" si="7"/>
        <v>17.256637168141594</v>
      </c>
      <c r="F101" s="9"/>
      <c r="G101" s="9"/>
      <c r="H101" s="10">
        <v>1.0999999999999999E-2</v>
      </c>
      <c r="I101" s="3">
        <v>0.03</v>
      </c>
    </row>
    <row r="104" spans="1:9" s="1" customFormat="1" ht="18.75" customHeight="1">
      <c r="G104" s="244" t="s">
        <v>275</v>
      </c>
      <c r="H104" s="244"/>
      <c r="I104" s="16" t="s">
        <v>159</v>
      </c>
    </row>
    <row r="105" spans="1:9" ht="39" customHeight="1">
      <c r="A105" s="242" t="s">
        <v>276</v>
      </c>
      <c r="B105" s="242"/>
      <c r="C105" s="245" t="s">
        <v>277</v>
      </c>
      <c r="D105" s="246"/>
      <c r="E105" s="246"/>
      <c r="F105" s="246"/>
      <c r="G105" s="246"/>
      <c r="H105" s="247"/>
      <c r="I105" s="3" t="s">
        <v>278</v>
      </c>
    </row>
    <row r="106" spans="1:9" ht="34.5" customHeight="1">
      <c r="A106" s="242"/>
      <c r="B106" s="242"/>
      <c r="C106" s="4" t="s">
        <v>279</v>
      </c>
      <c r="D106" s="4" t="s">
        <v>280</v>
      </c>
      <c r="E106" s="4" t="s">
        <v>281</v>
      </c>
      <c r="F106" s="5" t="s">
        <v>282</v>
      </c>
      <c r="G106" s="5" t="s">
        <v>283</v>
      </c>
      <c r="H106" s="5" t="s">
        <v>284</v>
      </c>
      <c r="I106" s="15">
        <f>销量!K8</f>
        <v>1026.5486725663718</v>
      </c>
    </row>
    <row r="107" spans="1:9" ht="24" customHeight="1">
      <c r="A107" s="243" t="s">
        <v>285</v>
      </c>
      <c r="B107" s="243"/>
      <c r="C107" s="7"/>
      <c r="D107" s="8"/>
      <c r="E107" s="9">
        <f>I106*I107</f>
        <v>44.244247787610625</v>
      </c>
      <c r="F107" s="9"/>
      <c r="G107" s="9"/>
      <c r="H107" s="10">
        <v>4.48E-2</v>
      </c>
      <c r="I107" s="3">
        <v>4.3099999999999999E-2</v>
      </c>
    </row>
    <row r="108" spans="1:9" ht="24" customHeight="1">
      <c r="A108" s="243" t="s">
        <v>286</v>
      </c>
      <c r="B108" s="6" t="s">
        <v>287</v>
      </c>
      <c r="C108" s="7"/>
      <c r="D108" s="8"/>
      <c r="E108" s="9">
        <f t="shared" ref="E108:E114" si="8">$I$106*I108</f>
        <v>42.088495575221245</v>
      </c>
      <c r="F108" s="9"/>
      <c r="G108" s="9"/>
      <c r="H108" s="10">
        <v>4.0399999999999998E-2</v>
      </c>
      <c r="I108" s="3">
        <v>4.1000000000000002E-2</v>
      </c>
    </row>
    <row r="109" spans="1:9" ht="24" customHeight="1">
      <c r="A109" s="243"/>
      <c r="B109" s="6" t="s">
        <v>288</v>
      </c>
      <c r="C109" s="7"/>
      <c r="D109" s="8"/>
      <c r="E109" s="9">
        <f t="shared" si="8"/>
        <v>22.276106194690268</v>
      </c>
      <c r="F109" s="9"/>
      <c r="G109" s="9"/>
      <c r="H109" s="10">
        <v>1.66E-2</v>
      </c>
      <c r="I109" s="3">
        <v>2.1700000000000001E-2</v>
      </c>
    </row>
    <row r="110" spans="1:9" ht="24" customHeight="1">
      <c r="A110" s="245" t="s">
        <v>289</v>
      </c>
      <c r="B110" s="247"/>
      <c r="C110" s="11"/>
      <c r="D110" s="12"/>
      <c r="E110" s="9">
        <f t="shared" si="8"/>
        <v>108.60884955752215</v>
      </c>
      <c r="F110" s="9"/>
      <c r="G110" s="9"/>
      <c r="H110" s="13">
        <f>SUM(H107:H109)</f>
        <v>0.1018</v>
      </c>
      <c r="I110" s="3">
        <f>SUM(I107:I109)</f>
        <v>0.10580000000000001</v>
      </c>
    </row>
    <row r="111" spans="1:9" ht="24" customHeight="1">
      <c r="A111" s="243" t="s">
        <v>81</v>
      </c>
      <c r="B111" s="243"/>
      <c r="C111" s="7"/>
      <c r="D111" s="8"/>
      <c r="E111" s="9">
        <f t="shared" si="8"/>
        <v>34.902654867256643</v>
      </c>
      <c r="F111" s="9"/>
      <c r="G111" s="9"/>
      <c r="H111" s="10">
        <f>1.97%+0.75%</f>
        <v>2.7199999999999998E-2</v>
      </c>
      <c r="I111" s="3">
        <v>3.4000000000000002E-2</v>
      </c>
    </row>
    <row r="112" spans="1:9" ht="24" customHeight="1">
      <c r="A112" s="240" t="s">
        <v>290</v>
      </c>
      <c r="B112" s="6" t="s">
        <v>287</v>
      </c>
      <c r="C112" s="7"/>
      <c r="D112" s="8"/>
      <c r="E112" s="9">
        <f t="shared" si="8"/>
        <v>7.1858407079646032</v>
      </c>
      <c r="F112" s="9"/>
      <c r="G112" s="9"/>
      <c r="H112" s="10">
        <v>5.3E-3</v>
      </c>
      <c r="I112" s="3">
        <v>7.0000000000000001E-3</v>
      </c>
    </row>
    <row r="113" spans="1:9" ht="24" customHeight="1">
      <c r="A113" s="241"/>
      <c r="B113" s="6" t="s">
        <v>288</v>
      </c>
      <c r="C113" s="7"/>
      <c r="D113" s="8"/>
      <c r="E113" s="9">
        <f t="shared" si="8"/>
        <v>45.168141592920357</v>
      </c>
      <c r="F113" s="9"/>
      <c r="G113" s="9"/>
      <c r="H113" s="10">
        <v>3.4099999999999998E-2</v>
      </c>
      <c r="I113" s="3">
        <f>2.8%+1.6%</f>
        <v>4.3999999999999997E-2</v>
      </c>
    </row>
    <row r="114" spans="1:9" ht="24" customHeight="1">
      <c r="A114" s="243" t="s">
        <v>84</v>
      </c>
      <c r="B114" s="243"/>
      <c r="C114" s="7"/>
      <c r="D114" s="8"/>
      <c r="E114" s="9">
        <f t="shared" si="8"/>
        <v>30.796460176991154</v>
      </c>
      <c r="F114" s="9"/>
      <c r="G114" s="9"/>
      <c r="H114" s="10">
        <v>1.0999999999999999E-2</v>
      </c>
      <c r="I114" s="3">
        <v>0.03</v>
      </c>
    </row>
    <row r="117" spans="1:9" s="1" customFormat="1" ht="18.75" customHeight="1">
      <c r="G117" s="244" t="s">
        <v>275</v>
      </c>
      <c r="H117" s="244"/>
      <c r="I117" s="16" t="s">
        <v>160</v>
      </c>
    </row>
    <row r="118" spans="1:9" ht="39" customHeight="1">
      <c r="A118" s="242" t="s">
        <v>276</v>
      </c>
      <c r="B118" s="242"/>
      <c r="C118" s="245" t="s">
        <v>277</v>
      </c>
      <c r="D118" s="246"/>
      <c r="E118" s="246"/>
      <c r="F118" s="246"/>
      <c r="G118" s="246"/>
      <c r="H118" s="247"/>
      <c r="I118" s="3" t="s">
        <v>278</v>
      </c>
    </row>
    <row r="119" spans="1:9" ht="34.5" customHeight="1">
      <c r="A119" s="242"/>
      <c r="B119" s="242"/>
      <c r="C119" s="4" t="s">
        <v>279</v>
      </c>
      <c r="D119" s="4" t="s">
        <v>280</v>
      </c>
      <c r="E119" s="4" t="s">
        <v>281</v>
      </c>
      <c r="F119" s="5" t="s">
        <v>282</v>
      </c>
      <c r="G119" s="5" t="s">
        <v>283</v>
      </c>
      <c r="H119" s="5" t="s">
        <v>284</v>
      </c>
      <c r="I119" s="15">
        <f>销量!L8</f>
        <v>61.946902654867266</v>
      </c>
    </row>
    <row r="120" spans="1:9" ht="24" customHeight="1">
      <c r="A120" s="243" t="s">
        <v>285</v>
      </c>
      <c r="B120" s="243"/>
      <c r="C120" s="7"/>
      <c r="D120" s="8"/>
      <c r="E120" s="9">
        <f>I119*I120</f>
        <v>2.6699115044247792</v>
      </c>
      <c r="F120" s="9"/>
      <c r="G120" s="9"/>
      <c r="H120" s="10">
        <v>4.48E-2</v>
      </c>
      <c r="I120" s="3">
        <v>4.3099999999999999E-2</v>
      </c>
    </row>
    <row r="121" spans="1:9" ht="24" customHeight="1">
      <c r="A121" s="243" t="s">
        <v>286</v>
      </c>
      <c r="B121" s="6" t="s">
        <v>287</v>
      </c>
      <c r="C121" s="7"/>
      <c r="D121" s="8"/>
      <c r="E121" s="9">
        <f>$I$119*I121</f>
        <v>2.5398230088495581</v>
      </c>
      <c r="F121" s="9"/>
      <c r="G121" s="9"/>
      <c r="H121" s="10">
        <v>4.0399999999999998E-2</v>
      </c>
      <c r="I121" s="3">
        <v>4.1000000000000002E-2</v>
      </c>
    </row>
    <row r="122" spans="1:9" ht="24" customHeight="1">
      <c r="A122" s="243"/>
      <c r="B122" s="6" t="s">
        <v>288</v>
      </c>
      <c r="C122" s="7"/>
      <c r="D122" s="8"/>
      <c r="E122" s="9">
        <f t="shared" ref="E122:E127" si="9">$I$119*I122</f>
        <v>1.3442477876106198</v>
      </c>
      <c r="F122" s="9"/>
      <c r="G122" s="9"/>
      <c r="H122" s="10">
        <v>1.66E-2</v>
      </c>
      <c r="I122" s="3">
        <v>2.1700000000000001E-2</v>
      </c>
    </row>
    <row r="123" spans="1:9" ht="24" customHeight="1">
      <c r="A123" s="245" t="s">
        <v>289</v>
      </c>
      <c r="B123" s="247"/>
      <c r="C123" s="11"/>
      <c r="D123" s="12"/>
      <c r="E123" s="9">
        <f t="shared" si="9"/>
        <v>6.5539823008849574</v>
      </c>
      <c r="F123" s="9"/>
      <c r="G123" s="9"/>
      <c r="H123" s="13">
        <f>SUM(H120:H122)</f>
        <v>0.1018</v>
      </c>
      <c r="I123" s="3">
        <f>SUM(I120:I122)</f>
        <v>0.10580000000000001</v>
      </c>
    </row>
    <row r="124" spans="1:9" ht="24" customHeight="1">
      <c r="A124" s="243" t="s">
        <v>81</v>
      </c>
      <c r="B124" s="243"/>
      <c r="C124" s="7"/>
      <c r="D124" s="8"/>
      <c r="E124" s="9">
        <f t="shared" si="9"/>
        <v>2.1061946902654873</v>
      </c>
      <c r="F124" s="9"/>
      <c r="G124" s="9"/>
      <c r="H124" s="10">
        <f>1.97%+0.75%</f>
        <v>2.7199999999999998E-2</v>
      </c>
      <c r="I124" s="3">
        <v>3.4000000000000002E-2</v>
      </c>
    </row>
    <row r="125" spans="1:9" ht="24" customHeight="1">
      <c r="A125" s="240" t="s">
        <v>290</v>
      </c>
      <c r="B125" s="6" t="s">
        <v>287</v>
      </c>
      <c r="C125" s="7"/>
      <c r="D125" s="8"/>
      <c r="E125" s="9">
        <f t="shared" si="9"/>
        <v>0.43362831858407086</v>
      </c>
      <c r="F125" s="9"/>
      <c r="G125" s="9"/>
      <c r="H125" s="10">
        <v>5.3E-3</v>
      </c>
      <c r="I125" s="3">
        <v>7.0000000000000001E-3</v>
      </c>
    </row>
    <row r="126" spans="1:9" ht="24" customHeight="1">
      <c r="A126" s="241"/>
      <c r="B126" s="6" t="s">
        <v>288</v>
      </c>
      <c r="C126" s="7"/>
      <c r="D126" s="8"/>
      <c r="E126" s="9">
        <f t="shared" si="9"/>
        <v>2.7256637168141595</v>
      </c>
      <c r="F126" s="9"/>
      <c r="G126" s="9"/>
      <c r="H126" s="10">
        <v>3.4099999999999998E-2</v>
      </c>
      <c r="I126" s="3">
        <f>2.8%+1.6%</f>
        <v>4.3999999999999997E-2</v>
      </c>
    </row>
    <row r="127" spans="1:9" ht="24" customHeight="1">
      <c r="A127" s="243" t="s">
        <v>84</v>
      </c>
      <c r="B127" s="243"/>
      <c r="C127" s="7"/>
      <c r="D127" s="8"/>
      <c r="E127" s="9">
        <f t="shared" si="9"/>
        <v>1.8584070796460179</v>
      </c>
      <c r="F127" s="9"/>
      <c r="G127" s="9"/>
      <c r="H127" s="10">
        <v>1.0999999999999999E-2</v>
      </c>
      <c r="I127" s="3">
        <v>0.03</v>
      </c>
    </row>
    <row r="130" spans="1:9" s="1" customFormat="1" ht="18.75" customHeight="1">
      <c r="G130" s="244" t="s">
        <v>275</v>
      </c>
      <c r="H130" s="244"/>
      <c r="I130" s="16" t="s">
        <v>161</v>
      </c>
    </row>
    <row r="131" spans="1:9" ht="39" customHeight="1">
      <c r="A131" s="242" t="s">
        <v>276</v>
      </c>
      <c r="B131" s="242"/>
      <c r="C131" s="245" t="s">
        <v>277</v>
      </c>
      <c r="D131" s="246"/>
      <c r="E131" s="246"/>
      <c r="F131" s="246"/>
      <c r="G131" s="246"/>
      <c r="H131" s="247"/>
      <c r="I131" s="3" t="s">
        <v>278</v>
      </c>
    </row>
    <row r="132" spans="1:9" ht="34.5" customHeight="1">
      <c r="A132" s="242"/>
      <c r="B132" s="242"/>
      <c r="C132" s="4" t="s">
        <v>279</v>
      </c>
      <c r="D132" s="4" t="s">
        <v>280</v>
      </c>
      <c r="E132" s="4" t="s">
        <v>281</v>
      </c>
      <c r="F132" s="5" t="s">
        <v>282</v>
      </c>
      <c r="G132" s="5" t="s">
        <v>283</v>
      </c>
      <c r="H132" s="5" t="s">
        <v>284</v>
      </c>
      <c r="I132" s="15">
        <f>销量!M8</f>
        <v>61.946902654867266</v>
      </c>
    </row>
    <row r="133" spans="1:9" ht="24" customHeight="1">
      <c r="A133" s="243" t="s">
        <v>285</v>
      </c>
      <c r="B133" s="243"/>
      <c r="C133" s="7"/>
      <c r="D133" s="8"/>
      <c r="E133" s="9">
        <f>I132*I133</f>
        <v>2.6699115044247792</v>
      </c>
      <c r="F133" s="9"/>
      <c r="G133" s="9"/>
      <c r="H133" s="10">
        <v>4.48E-2</v>
      </c>
      <c r="I133" s="3">
        <v>4.3099999999999999E-2</v>
      </c>
    </row>
    <row r="134" spans="1:9" ht="24" customHeight="1">
      <c r="A134" s="243" t="s">
        <v>286</v>
      </c>
      <c r="B134" s="6" t="s">
        <v>287</v>
      </c>
      <c r="C134" s="7"/>
      <c r="D134" s="8"/>
      <c r="E134" s="9">
        <f>$I$132*I134</f>
        <v>2.5398230088495581</v>
      </c>
      <c r="F134" s="9"/>
      <c r="G134" s="9"/>
      <c r="H134" s="10">
        <v>4.0399999999999998E-2</v>
      </c>
      <c r="I134" s="3">
        <v>4.1000000000000002E-2</v>
      </c>
    </row>
    <row r="135" spans="1:9" ht="24" customHeight="1">
      <c r="A135" s="243"/>
      <c r="B135" s="6" t="s">
        <v>288</v>
      </c>
      <c r="C135" s="7"/>
      <c r="D135" s="8"/>
      <c r="E135" s="9">
        <f t="shared" ref="E135:E140" si="10">$I$132*I135</f>
        <v>1.3442477876106198</v>
      </c>
      <c r="F135" s="9"/>
      <c r="G135" s="9"/>
      <c r="H135" s="10">
        <v>1.66E-2</v>
      </c>
      <c r="I135" s="3">
        <v>2.1700000000000001E-2</v>
      </c>
    </row>
    <row r="136" spans="1:9" ht="24" customHeight="1">
      <c r="A136" s="245" t="s">
        <v>289</v>
      </c>
      <c r="B136" s="247"/>
      <c r="C136" s="11"/>
      <c r="D136" s="12"/>
      <c r="E136" s="9">
        <f t="shared" si="10"/>
        <v>6.5539823008849574</v>
      </c>
      <c r="F136" s="9"/>
      <c r="G136" s="9"/>
      <c r="H136" s="13">
        <f>SUM(H133:H135)</f>
        <v>0.1018</v>
      </c>
      <c r="I136" s="3">
        <f>SUM(I133:I135)</f>
        <v>0.10580000000000001</v>
      </c>
    </row>
    <row r="137" spans="1:9" ht="24" customHeight="1">
      <c r="A137" s="243" t="s">
        <v>81</v>
      </c>
      <c r="B137" s="243"/>
      <c r="C137" s="7"/>
      <c r="D137" s="8"/>
      <c r="E137" s="9">
        <f t="shared" si="10"/>
        <v>2.1061946902654873</v>
      </c>
      <c r="F137" s="9"/>
      <c r="G137" s="9"/>
      <c r="H137" s="10">
        <f>1.97%+0.75%</f>
        <v>2.7199999999999998E-2</v>
      </c>
      <c r="I137" s="3">
        <v>3.4000000000000002E-2</v>
      </c>
    </row>
    <row r="138" spans="1:9" ht="24" customHeight="1">
      <c r="A138" s="240" t="s">
        <v>290</v>
      </c>
      <c r="B138" s="6" t="s">
        <v>287</v>
      </c>
      <c r="C138" s="7"/>
      <c r="D138" s="8"/>
      <c r="E138" s="9">
        <f t="shared" si="10"/>
        <v>0.43362831858407086</v>
      </c>
      <c r="F138" s="9"/>
      <c r="G138" s="9"/>
      <c r="H138" s="10">
        <v>5.3E-3</v>
      </c>
      <c r="I138" s="3">
        <v>7.0000000000000001E-3</v>
      </c>
    </row>
    <row r="139" spans="1:9" ht="24" customHeight="1">
      <c r="A139" s="241"/>
      <c r="B139" s="6" t="s">
        <v>288</v>
      </c>
      <c r="C139" s="7"/>
      <c r="D139" s="8"/>
      <c r="E139" s="9">
        <f t="shared" si="10"/>
        <v>2.7256637168141595</v>
      </c>
      <c r="F139" s="9"/>
      <c r="G139" s="9"/>
      <c r="H139" s="10">
        <v>3.4099999999999998E-2</v>
      </c>
      <c r="I139" s="3">
        <f>2.8%+1.6%</f>
        <v>4.3999999999999997E-2</v>
      </c>
    </row>
    <row r="140" spans="1:9" ht="24" customHeight="1">
      <c r="A140" s="243" t="s">
        <v>84</v>
      </c>
      <c r="B140" s="243"/>
      <c r="C140" s="7"/>
      <c r="D140" s="8"/>
      <c r="E140" s="9">
        <f t="shared" si="10"/>
        <v>1.8584070796460179</v>
      </c>
      <c r="F140" s="9"/>
      <c r="G140" s="9"/>
      <c r="H140" s="10">
        <v>1.0999999999999999E-2</v>
      </c>
      <c r="I140" s="3">
        <v>0.03</v>
      </c>
    </row>
  </sheetData>
  <mergeCells count="99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G117:H117"/>
    <mergeCell ref="A108:A109"/>
    <mergeCell ref="A112:A113"/>
    <mergeCell ref="A97:B97"/>
    <mergeCell ref="A98:B98"/>
    <mergeCell ref="A101:B101"/>
    <mergeCell ref="G104:H104"/>
    <mergeCell ref="C105:H105"/>
    <mergeCell ref="A99:A100"/>
    <mergeCell ref="C118:H118"/>
    <mergeCell ref="A120:B120"/>
    <mergeCell ref="A123:B123"/>
    <mergeCell ref="A124:B124"/>
    <mergeCell ref="A127:B127"/>
    <mergeCell ref="A121:A122"/>
    <mergeCell ref="A125:A126"/>
    <mergeCell ref="G130:H130"/>
    <mergeCell ref="C131:H131"/>
    <mergeCell ref="A133:B133"/>
    <mergeCell ref="A136:B136"/>
    <mergeCell ref="A137:B137"/>
    <mergeCell ref="A134:A135"/>
    <mergeCell ref="A140:B140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138:A139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  <mergeCell ref="A131:B132"/>
    <mergeCell ref="A107:B107"/>
    <mergeCell ref="A110:B110"/>
    <mergeCell ref="A111:B111"/>
    <mergeCell ref="A114:B114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2" customWidth="1"/>
    <col min="2" max="2" width="28.5" style="142" customWidth="1"/>
    <col min="3" max="4" width="9.125" style="142"/>
    <col min="5" max="5" width="13.875" style="142" customWidth="1"/>
    <col min="6" max="12" width="16.125" style="142" customWidth="1"/>
    <col min="13" max="13" width="10.625" style="142" customWidth="1"/>
    <col min="14" max="254" width="9.125" style="142"/>
    <col min="255" max="255" width="8" style="142" customWidth="1"/>
    <col min="256" max="256" width="28.5" style="142" customWidth="1"/>
    <col min="257" max="268" width="9.125" style="142"/>
    <col min="269" max="269" width="10.625" style="142" customWidth="1"/>
    <col min="270" max="510" width="9.125" style="142"/>
    <col min="511" max="511" width="8" style="142" customWidth="1"/>
    <col min="512" max="512" width="28.5" style="142" customWidth="1"/>
    <col min="513" max="524" width="9.125" style="142"/>
    <col min="525" max="525" width="10.625" style="142" customWidth="1"/>
    <col min="526" max="766" width="9.125" style="142"/>
    <col min="767" max="767" width="8" style="142" customWidth="1"/>
    <col min="768" max="768" width="28.5" style="142" customWidth="1"/>
    <col min="769" max="780" width="9.125" style="142"/>
    <col min="781" max="781" width="10.625" style="142" customWidth="1"/>
    <col min="782" max="1022" width="9.125" style="142"/>
    <col min="1023" max="1023" width="8" style="142" customWidth="1"/>
    <col min="1024" max="1024" width="28.5" style="142" customWidth="1"/>
    <col min="1025" max="1036" width="9.125" style="142"/>
    <col min="1037" max="1037" width="10.625" style="142" customWidth="1"/>
    <col min="1038" max="1278" width="9.125" style="142"/>
    <col min="1279" max="1279" width="8" style="142" customWidth="1"/>
    <col min="1280" max="1280" width="28.5" style="142" customWidth="1"/>
    <col min="1281" max="1292" width="9.125" style="142"/>
    <col min="1293" max="1293" width="10.625" style="142" customWidth="1"/>
    <col min="1294" max="1534" width="9.125" style="142"/>
    <col min="1535" max="1535" width="8" style="142" customWidth="1"/>
    <col min="1536" max="1536" width="28.5" style="142" customWidth="1"/>
    <col min="1537" max="1548" width="9.125" style="142"/>
    <col min="1549" max="1549" width="10.625" style="142" customWidth="1"/>
    <col min="1550" max="1790" width="9.125" style="142"/>
    <col min="1791" max="1791" width="8" style="142" customWidth="1"/>
    <col min="1792" max="1792" width="28.5" style="142" customWidth="1"/>
    <col min="1793" max="1804" width="9.125" style="142"/>
    <col min="1805" max="1805" width="10.625" style="142" customWidth="1"/>
    <col min="1806" max="2046" width="9.125" style="142"/>
    <col min="2047" max="2047" width="8" style="142" customWidth="1"/>
    <col min="2048" max="2048" width="28.5" style="142" customWidth="1"/>
    <col min="2049" max="2060" width="9.125" style="142"/>
    <col min="2061" max="2061" width="10.625" style="142" customWidth="1"/>
    <col min="2062" max="2302" width="9.125" style="142"/>
    <col min="2303" max="2303" width="8" style="142" customWidth="1"/>
    <col min="2304" max="2304" width="28.5" style="142" customWidth="1"/>
    <col min="2305" max="2316" width="9.125" style="142"/>
    <col min="2317" max="2317" width="10.625" style="142" customWidth="1"/>
    <col min="2318" max="2558" width="9.125" style="142"/>
    <col min="2559" max="2559" width="8" style="142" customWidth="1"/>
    <col min="2560" max="2560" width="28.5" style="142" customWidth="1"/>
    <col min="2561" max="2572" width="9.125" style="142"/>
    <col min="2573" max="2573" width="10.625" style="142" customWidth="1"/>
    <col min="2574" max="2814" width="9.125" style="142"/>
    <col min="2815" max="2815" width="8" style="142" customWidth="1"/>
    <col min="2816" max="2816" width="28.5" style="142" customWidth="1"/>
    <col min="2817" max="2828" width="9.125" style="142"/>
    <col min="2829" max="2829" width="10.625" style="142" customWidth="1"/>
    <col min="2830" max="3070" width="9.125" style="142"/>
    <col min="3071" max="3071" width="8" style="142" customWidth="1"/>
    <col min="3072" max="3072" width="28.5" style="142" customWidth="1"/>
    <col min="3073" max="3084" width="9.125" style="142"/>
    <col min="3085" max="3085" width="10.625" style="142" customWidth="1"/>
    <col min="3086" max="3326" width="9.125" style="142"/>
    <col min="3327" max="3327" width="8" style="142" customWidth="1"/>
    <col min="3328" max="3328" width="28.5" style="142" customWidth="1"/>
    <col min="3329" max="3340" width="9.125" style="142"/>
    <col min="3341" max="3341" width="10.625" style="142" customWidth="1"/>
    <col min="3342" max="3582" width="9.125" style="142"/>
    <col min="3583" max="3583" width="8" style="142" customWidth="1"/>
    <col min="3584" max="3584" width="28.5" style="142" customWidth="1"/>
    <col min="3585" max="3596" width="9.125" style="142"/>
    <col min="3597" max="3597" width="10.625" style="142" customWidth="1"/>
    <col min="3598" max="3838" width="9.125" style="142"/>
    <col min="3839" max="3839" width="8" style="142" customWidth="1"/>
    <col min="3840" max="3840" width="28.5" style="142" customWidth="1"/>
    <col min="3841" max="3852" width="9.125" style="142"/>
    <col min="3853" max="3853" width="10.625" style="142" customWidth="1"/>
    <col min="3854" max="4094" width="9.125" style="142"/>
    <col min="4095" max="4095" width="8" style="142" customWidth="1"/>
    <col min="4096" max="4096" width="28.5" style="142" customWidth="1"/>
    <col min="4097" max="4108" width="9.125" style="142"/>
    <col min="4109" max="4109" width="10.625" style="142" customWidth="1"/>
    <col min="4110" max="4350" width="9.125" style="142"/>
    <col min="4351" max="4351" width="8" style="142" customWidth="1"/>
    <col min="4352" max="4352" width="28.5" style="142" customWidth="1"/>
    <col min="4353" max="4364" width="9.125" style="142"/>
    <col min="4365" max="4365" width="10.625" style="142" customWidth="1"/>
    <col min="4366" max="4606" width="9.125" style="142"/>
    <col min="4607" max="4607" width="8" style="142" customWidth="1"/>
    <col min="4608" max="4608" width="28.5" style="142" customWidth="1"/>
    <col min="4609" max="4620" width="9.125" style="142"/>
    <col min="4621" max="4621" width="10.625" style="142" customWidth="1"/>
    <col min="4622" max="4862" width="9.125" style="142"/>
    <col min="4863" max="4863" width="8" style="142" customWidth="1"/>
    <col min="4864" max="4864" width="28.5" style="142" customWidth="1"/>
    <col min="4865" max="4876" width="9.125" style="142"/>
    <col min="4877" max="4877" width="10.625" style="142" customWidth="1"/>
    <col min="4878" max="5118" width="9.125" style="142"/>
    <col min="5119" max="5119" width="8" style="142" customWidth="1"/>
    <col min="5120" max="5120" width="28.5" style="142" customWidth="1"/>
    <col min="5121" max="5132" width="9.125" style="142"/>
    <col min="5133" max="5133" width="10.625" style="142" customWidth="1"/>
    <col min="5134" max="5374" width="9.125" style="142"/>
    <col min="5375" max="5375" width="8" style="142" customWidth="1"/>
    <col min="5376" max="5376" width="28.5" style="142" customWidth="1"/>
    <col min="5377" max="5388" width="9.125" style="142"/>
    <col min="5389" max="5389" width="10.625" style="142" customWidth="1"/>
    <col min="5390" max="5630" width="9.125" style="142"/>
    <col min="5631" max="5631" width="8" style="142" customWidth="1"/>
    <col min="5632" max="5632" width="28.5" style="142" customWidth="1"/>
    <col min="5633" max="5644" width="9.125" style="142"/>
    <col min="5645" max="5645" width="10.625" style="142" customWidth="1"/>
    <col min="5646" max="5886" width="9.125" style="142"/>
    <col min="5887" max="5887" width="8" style="142" customWidth="1"/>
    <col min="5888" max="5888" width="28.5" style="142" customWidth="1"/>
    <col min="5889" max="5900" width="9.125" style="142"/>
    <col min="5901" max="5901" width="10.625" style="142" customWidth="1"/>
    <col min="5902" max="6142" width="9.125" style="142"/>
    <col min="6143" max="6143" width="8" style="142" customWidth="1"/>
    <col min="6144" max="6144" width="28.5" style="142" customWidth="1"/>
    <col min="6145" max="6156" width="9.125" style="142"/>
    <col min="6157" max="6157" width="10.625" style="142" customWidth="1"/>
    <col min="6158" max="6398" width="9.125" style="142"/>
    <col min="6399" max="6399" width="8" style="142" customWidth="1"/>
    <col min="6400" max="6400" width="28.5" style="142" customWidth="1"/>
    <col min="6401" max="6412" width="9.125" style="142"/>
    <col min="6413" max="6413" width="10.625" style="142" customWidth="1"/>
    <col min="6414" max="6654" width="9.125" style="142"/>
    <col min="6655" max="6655" width="8" style="142" customWidth="1"/>
    <col min="6656" max="6656" width="28.5" style="142" customWidth="1"/>
    <col min="6657" max="6668" width="9.125" style="142"/>
    <col min="6669" max="6669" width="10.625" style="142" customWidth="1"/>
    <col min="6670" max="6910" width="9.125" style="142"/>
    <col min="6911" max="6911" width="8" style="142" customWidth="1"/>
    <col min="6912" max="6912" width="28.5" style="142" customWidth="1"/>
    <col min="6913" max="6924" width="9.125" style="142"/>
    <col min="6925" max="6925" width="10.625" style="142" customWidth="1"/>
    <col min="6926" max="7166" width="9.125" style="142"/>
    <col min="7167" max="7167" width="8" style="142" customWidth="1"/>
    <col min="7168" max="7168" width="28.5" style="142" customWidth="1"/>
    <col min="7169" max="7180" width="9.125" style="142"/>
    <col min="7181" max="7181" width="10.625" style="142" customWidth="1"/>
    <col min="7182" max="7422" width="9.125" style="142"/>
    <col min="7423" max="7423" width="8" style="142" customWidth="1"/>
    <col min="7424" max="7424" width="28.5" style="142" customWidth="1"/>
    <col min="7425" max="7436" width="9.125" style="142"/>
    <col min="7437" max="7437" width="10.625" style="142" customWidth="1"/>
    <col min="7438" max="7678" width="9.125" style="142"/>
    <col min="7679" max="7679" width="8" style="142" customWidth="1"/>
    <col min="7680" max="7680" width="28.5" style="142" customWidth="1"/>
    <col min="7681" max="7692" width="9.125" style="142"/>
    <col min="7693" max="7693" width="10.625" style="142" customWidth="1"/>
    <col min="7694" max="7934" width="9.125" style="142"/>
    <col min="7935" max="7935" width="8" style="142" customWidth="1"/>
    <col min="7936" max="7936" width="28.5" style="142" customWidth="1"/>
    <col min="7937" max="7948" width="9.125" style="142"/>
    <col min="7949" max="7949" width="10.625" style="142" customWidth="1"/>
    <col min="7950" max="8190" width="9.125" style="142"/>
    <col min="8191" max="8191" width="8" style="142" customWidth="1"/>
    <col min="8192" max="8192" width="28.5" style="142" customWidth="1"/>
    <col min="8193" max="8204" width="9.125" style="142"/>
    <col min="8205" max="8205" width="10.625" style="142" customWidth="1"/>
    <col min="8206" max="8446" width="9.125" style="142"/>
    <col min="8447" max="8447" width="8" style="142" customWidth="1"/>
    <col min="8448" max="8448" width="28.5" style="142" customWidth="1"/>
    <col min="8449" max="8460" width="9.125" style="142"/>
    <col min="8461" max="8461" width="10.625" style="142" customWidth="1"/>
    <col min="8462" max="8702" width="9.125" style="142"/>
    <col min="8703" max="8703" width="8" style="142" customWidth="1"/>
    <col min="8704" max="8704" width="28.5" style="142" customWidth="1"/>
    <col min="8705" max="8716" width="9.125" style="142"/>
    <col min="8717" max="8717" width="10.625" style="142" customWidth="1"/>
    <col min="8718" max="8958" width="9.125" style="142"/>
    <col min="8959" max="8959" width="8" style="142" customWidth="1"/>
    <col min="8960" max="8960" width="28.5" style="142" customWidth="1"/>
    <col min="8961" max="8972" width="9.125" style="142"/>
    <col min="8973" max="8973" width="10.625" style="142" customWidth="1"/>
    <col min="8974" max="9214" width="9.125" style="142"/>
    <col min="9215" max="9215" width="8" style="142" customWidth="1"/>
    <col min="9216" max="9216" width="28.5" style="142" customWidth="1"/>
    <col min="9217" max="9228" width="9.125" style="142"/>
    <col min="9229" max="9229" width="10.625" style="142" customWidth="1"/>
    <col min="9230" max="9470" width="9.125" style="142"/>
    <col min="9471" max="9471" width="8" style="142" customWidth="1"/>
    <col min="9472" max="9472" width="28.5" style="142" customWidth="1"/>
    <col min="9473" max="9484" width="9.125" style="142"/>
    <col min="9485" max="9485" width="10.625" style="142" customWidth="1"/>
    <col min="9486" max="9726" width="9.125" style="142"/>
    <col min="9727" max="9727" width="8" style="142" customWidth="1"/>
    <col min="9728" max="9728" width="28.5" style="142" customWidth="1"/>
    <col min="9729" max="9740" width="9.125" style="142"/>
    <col min="9741" max="9741" width="10.625" style="142" customWidth="1"/>
    <col min="9742" max="9982" width="9.125" style="142"/>
    <col min="9983" max="9983" width="8" style="142" customWidth="1"/>
    <col min="9984" max="9984" width="28.5" style="142" customWidth="1"/>
    <col min="9985" max="9996" width="9.125" style="142"/>
    <col min="9997" max="9997" width="10.625" style="142" customWidth="1"/>
    <col min="9998" max="10238" width="9.125" style="142"/>
    <col min="10239" max="10239" width="8" style="142" customWidth="1"/>
    <col min="10240" max="10240" width="28.5" style="142" customWidth="1"/>
    <col min="10241" max="10252" width="9.125" style="142"/>
    <col min="10253" max="10253" width="10.625" style="142" customWidth="1"/>
    <col min="10254" max="10494" width="9.125" style="142"/>
    <col min="10495" max="10495" width="8" style="142" customWidth="1"/>
    <col min="10496" max="10496" width="28.5" style="142" customWidth="1"/>
    <col min="10497" max="10508" width="9.125" style="142"/>
    <col min="10509" max="10509" width="10.625" style="142" customWidth="1"/>
    <col min="10510" max="10750" width="9.125" style="142"/>
    <col min="10751" max="10751" width="8" style="142" customWidth="1"/>
    <col min="10752" max="10752" width="28.5" style="142" customWidth="1"/>
    <col min="10753" max="10764" width="9.125" style="142"/>
    <col min="10765" max="10765" width="10.625" style="142" customWidth="1"/>
    <col min="10766" max="11006" width="9.125" style="142"/>
    <col min="11007" max="11007" width="8" style="142" customWidth="1"/>
    <col min="11008" max="11008" width="28.5" style="142" customWidth="1"/>
    <col min="11009" max="11020" width="9.125" style="142"/>
    <col min="11021" max="11021" width="10.625" style="142" customWidth="1"/>
    <col min="11022" max="11262" width="9.125" style="142"/>
    <col min="11263" max="11263" width="8" style="142" customWidth="1"/>
    <col min="11264" max="11264" width="28.5" style="142" customWidth="1"/>
    <col min="11265" max="11276" width="9.125" style="142"/>
    <col min="11277" max="11277" width="10.625" style="142" customWidth="1"/>
    <col min="11278" max="11518" width="9.125" style="142"/>
    <col min="11519" max="11519" width="8" style="142" customWidth="1"/>
    <col min="11520" max="11520" width="28.5" style="142" customWidth="1"/>
    <col min="11521" max="11532" width="9.125" style="142"/>
    <col min="11533" max="11533" width="10.625" style="142" customWidth="1"/>
    <col min="11534" max="11774" width="9.125" style="142"/>
    <col min="11775" max="11775" width="8" style="142" customWidth="1"/>
    <col min="11776" max="11776" width="28.5" style="142" customWidth="1"/>
    <col min="11777" max="11788" width="9.125" style="142"/>
    <col min="11789" max="11789" width="10.625" style="142" customWidth="1"/>
    <col min="11790" max="12030" width="9.125" style="142"/>
    <col min="12031" max="12031" width="8" style="142" customWidth="1"/>
    <col min="12032" max="12032" width="28.5" style="142" customWidth="1"/>
    <col min="12033" max="12044" width="9.125" style="142"/>
    <col min="12045" max="12045" width="10.625" style="142" customWidth="1"/>
    <col min="12046" max="12286" width="9.125" style="142"/>
    <col min="12287" max="12287" width="8" style="142" customWidth="1"/>
    <col min="12288" max="12288" width="28.5" style="142" customWidth="1"/>
    <col min="12289" max="12300" width="9.125" style="142"/>
    <col min="12301" max="12301" width="10.625" style="142" customWidth="1"/>
    <col min="12302" max="12542" width="9.125" style="142"/>
    <col min="12543" max="12543" width="8" style="142" customWidth="1"/>
    <col min="12544" max="12544" width="28.5" style="142" customWidth="1"/>
    <col min="12545" max="12556" width="9.125" style="142"/>
    <col min="12557" max="12557" width="10.625" style="142" customWidth="1"/>
    <col min="12558" max="12798" width="9.125" style="142"/>
    <col min="12799" max="12799" width="8" style="142" customWidth="1"/>
    <col min="12800" max="12800" width="28.5" style="142" customWidth="1"/>
    <col min="12801" max="12812" width="9.125" style="142"/>
    <col min="12813" max="12813" width="10.625" style="142" customWidth="1"/>
    <col min="12814" max="13054" width="9.125" style="142"/>
    <col min="13055" max="13055" width="8" style="142" customWidth="1"/>
    <col min="13056" max="13056" width="28.5" style="142" customWidth="1"/>
    <col min="13057" max="13068" width="9.125" style="142"/>
    <col min="13069" max="13069" width="10.625" style="142" customWidth="1"/>
    <col min="13070" max="13310" width="9.125" style="142"/>
    <col min="13311" max="13311" width="8" style="142" customWidth="1"/>
    <col min="13312" max="13312" width="28.5" style="142" customWidth="1"/>
    <col min="13313" max="13324" width="9.125" style="142"/>
    <col min="13325" max="13325" width="10.625" style="142" customWidth="1"/>
    <col min="13326" max="13566" width="9.125" style="142"/>
    <col min="13567" max="13567" width="8" style="142" customWidth="1"/>
    <col min="13568" max="13568" width="28.5" style="142" customWidth="1"/>
    <col min="13569" max="13580" width="9.125" style="142"/>
    <col min="13581" max="13581" width="10.625" style="142" customWidth="1"/>
    <col min="13582" max="13822" width="9.125" style="142"/>
    <col min="13823" max="13823" width="8" style="142" customWidth="1"/>
    <col min="13824" max="13824" width="28.5" style="142" customWidth="1"/>
    <col min="13825" max="13836" width="9.125" style="142"/>
    <col min="13837" max="13837" width="10.625" style="142" customWidth="1"/>
    <col min="13838" max="14078" width="9.125" style="142"/>
    <col min="14079" max="14079" width="8" style="142" customWidth="1"/>
    <col min="14080" max="14080" width="28.5" style="142" customWidth="1"/>
    <col min="14081" max="14092" width="9.125" style="142"/>
    <col min="14093" max="14093" width="10.625" style="142" customWidth="1"/>
    <col min="14094" max="14334" width="9.125" style="142"/>
    <col min="14335" max="14335" width="8" style="142" customWidth="1"/>
    <col min="14336" max="14336" width="28.5" style="142" customWidth="1"/>
    <col min="14337" max="14348" width="9.125" style="142"/>
    <col min="14349" max="14349" width="10.625" style="142" customWidth="1"/>
    <col min="14350" max="14590" width="9.125" style="142"/>
    <col min="14591" max="14591" width="8" style="142" customWidth="1"/>
    <col min="14592" max="14592" width="28.5" style="142" customWidth="1"/>
    <col min="14593" max="14604" width="9.125" style="142"/>
    <col min="14605" max="14605" width="10.625" style="142" customWidth="1"/>
    <col min="14606" max="14846" width="9.125" style="142"/>
    <col min="14847" max="14847" width="8" style="142" customWidth="1"/>
    <col min="14848" max="14848" width="28.5" style="142" customWidth="1"/>
    <col min="14849" max="14860" width="9.125" style="142"/>
    <col min="14861" max="14861" width="10.625" style="142" customWidth="1"/>
    <col min="14862" max="15102" width="9.125" style="142"/>
    <col min="15103" max="15103" width="8" style="142" customWidth="1"/>
    <col min="15104" max="15104" width="28.5" style="142" customWidth="1"/>
    <col min="15105" max="15116" width="9.125" style="142"/>
    <col min="15117" max="15117" width="10.625" style="142" customWidth="1"/>
    <col min="15118" max="15358" width="9.125" style="142"/>
    <col min="15359" max="15359" width="8" style="142" customWidth="1"/>
    <col min="15360" max="15360" width="28.5" style="142" customWidth="1"/>
    <col min="15361" max="15372" width="9.125" style="142"/>
    <col min="15373" max="15373" width="10.625" style="142" customWidth="1"/>
    <col min="15374" max="15614" width="9.125" style="142"/>
    <col min="15615" max="15615" width="8" style="142" customWidth="1"/>
    <col min="15616" max="15616" width="28.5" style="142" customWidth="1"/>
    <col min="15617" max="15628" width="9.125" style="142"/>
    <col min="15629" max="15629" width="10.625" style="142" customWidth="1"/>
    <col min="15630" max="15870" width="9.125" style="142"/>
    <col min="15871" max="15871" width="8" style="142" customWidth="1"/>
    <col min="15872" max="15872" width="28.5" style="142" customWidth="1"/>
    <col min="15873" max="15884" width="9.125" style="142"/>
    <col min="15885" max="15885" width="10.625" style="142" customWidth="1"/>
    <col min="15886" max="16126" width="9.125" style="142"/>
    <col min="16127" max="16127" width="8" style="142" customWidth="1"/>
    <col min="16128" max="16128" width="28.5" style="142" customWidth="1"/>
    <col min="16129" max="16140" width="9.125" style="142"/>
    <col min="16141" max="16141" width="10.625" style="142" customWidth="1"/>
    <col min="16142" max="16384" width="9.125" style="142"/>
  </cols>
  <sheetData>
    <row r="1" spans="1:13" ht="18.75">
      <c r="A1" s="143" t="s">
        <v>15</v>
      </c>
      <c r="B1" s="144"/>
      <c r="C1" s="145"/>
      <c r="D1" s="145"/>
      <c r="E1" s="144"/>
      <c r="F1" s="145"/>
      <c r="G1" s="145"/>
      <c r="H1" s="144"/>
      <c r="I1" s="145"/>
      <c r="J1" s="145"/>
      <c r="K1" s="145"/>
      <c r="L1" s="145"/>
      <c r="M1" s="145"/>
    </row>
    <row r="2" spans="1:13" ht="12">
      <c r="A2" s="142" t="s">
        <v>16</v>
      </c>
      <c r="B2" s="146"/>
    </row>
    <row r="3" spans="1:13" ht="16.899999999999999" customHeight="1">
      <c r="A3" s="147" t="s">
        <v>17</v>
      </c>
      <c r="B3" s="147" t="s">
        <v>18</v>
      </c>
      <c r="C3" s="190" t="s">
        <v>19</v>
      </c>
      <c r="D3" s="190"/>
      <c r="E3" s="190"/>
      <c r="F3" s="149"/>
      <c r="G3" s="150"/>
      <c r="H3" s="151"/>
      <c r="I3" s="151"/>
      <c r="J3" s="151" t="s">
        <v>20</v>
      </c>
      <c r="K3" s="151"/>
      <c r="L3" s="151"/>
      <c r="M3" s="172"/>
    </row>
    <row r="4" spans="1:13" ht="16.149999999999999" customHeight="1">
      <c r="A4" s="152"/>
      <c r="B4" s="152" t="s">
        <v>21</v>
      </c>
      <c r="C4" s="148">
        <v>2017</v>
      </c>
      <c r="D4" s="148">
        <f t="shared" ref="D4:L4" si="0">C4+1</f>
        <v>2018</v>
      </c>
      <c r="E4" s="148">
        <f t="shared" si="0"/>
        <v>2019</v>
      </c>
      <c r="F4" s="148">
        <f t="shared" si="0"/>
        <v>2020</v>
      </c>
      <c r="G4" s="148">
        <f t="shared" si="0"/>
        <v>2021</v>
      </c>
      <c r="H4" s="153">
        <f t="shared" si="0"/>
        <v>2022</v>
      </c>
      <c r="I4" s="153">
        <f t="shared" si="0"/>
        <v>2023</v>
      </c>
      <c r="J4" s="153">
        <f t="shared" si="0"/>
        <v>2024</v>
      </c>
      <c r="K4" s="153">
        <f t="shared" si="0"/>
        <v>2025</v>
      </c>
      <c r="L4" s="153">
        <f t="shared" si="0"/>
        <v>2026</v>
      </c>
      <c r="M4" s="173" t="s">
        <v>22</v>
      </c>
    </row>
    <row r="5" spans="1:13" ht="15.6" customHeight="1">
      <c r="A5" s="154">
        <v>1</v>
      </c>
      <c r="B5" s="155" t="s">
        <v>23</v>
      </c>
      <c r="C5" s="156">
        <f>SUM(C6:C9)</f>
        <v>0</v>
      </c>
      <c r="D5" s="156">
        <f t="shared" ref="D5:L5" si="1">SUM(D6:D9)</f>
        <v>0</v>
      </c>
      <c r="E5" s="156" t="e">
        <f t="shared" si="1"/>
        <v>#REF!</v>
      </c>
      <c r="F5" s="156" t="e">
        <f t="shared" si="1"/>
        <v>#REF!</v>
      </c>
      <c r="G5" s="156" t="e">
        <f t="shared" si="1"/>
        <v>#REF!</v>
      </c>
      <c r="H5" s="156" t="e">
        <f t="shared" si="1"/>
        <v>#REF!</v>
      </c>
      <c r="I5" s="156" t="e">
        <f t="shared" si="1"/>
        <v>#REF!</v>
      </c>
      <c r="J5" s="156" t="e">
        <f t="shared" si="1"/>
        <v>#REF!</v>
      </c>
      <c r="K5" s="156" t="e">
        <f t="shared" si="1"/>
        <v>#REF!</v>
      </c>
      <c r="L5" s="156" t="e">
        <f t="shared" si="1"/>
        <v>#REF!</v>
      </c>
      <c r="M5" s="160" t="e">
        <f t="shared" ref="M5:M17" si="2">SUM(C5:L5)</f>
        <v>#REF!</v>
      </c>
    </row>
    <row r="6" spans="1:13" ht="15.6" customHeight="1">
      <c r="A6" s="154">
        <v>1.1000000000000001</v>
      </c>
      <c r="B6" s="157" t="s">
        <v>24</v>
      </c>
      <c r="C6" s="158"/>
      <c r="D6" s="158"/>
      <c r="E6" s="158" t="e">
        <f>#REF!</f>
        <v>#REF!</v>
      </c>
      <c r="F6" s="158" t="e">
        <f>#REF!</f>
        <v>#REF!</v>
      </c>
      <c r="G6" s="158" t="e">
        <f>#REF!</f>
        <v>#REF!</v>
      </c>
      <c r="H6" s="158" t="e">
        <f>#REF!</f>
        <v>#REF!</v>
      </c>
      <c r="I6" s="158" t="e">
        <f>#REF!</f>
        <v>#REF!</v>
      </c>
      <c r="J6" s="158" t="e">
        <f>#REF!</f>
        <v>#REF!</v>
      </c>
      <c r="K6" s="158" t="e">
        <f>#REF!</f>
        <v>#REF!</v>
      </c>
      <c r="L6" s="158" t="e">
        <f>#REF!</f>
        <v>#REF!</v>
      </c>
      <c r="M6" s="160" t="e">
        <f t="shared" si="2"/>
        <v>#REF!</v>
      </c>
    </row>
    <row r="7" spans="1:13" ht="15.6" customHeight="1">
      <c r="A7" s="154">
        <v>1.2</v>
      </c>
      <c r="B7" s="157" t="s">
        <v>25</v>
      </c>
      <c r="C7" s="158"/>
      <c r="D7" s="158"/>
      <c r="E7" s="158">
        <f>[1]折、摊!G18</f>
        <v>0</v>
      </c>
      <c r="F7" s="158">
        <f>[1]折、摊!H18</f>
        <v>0</v>
      </c>
      <c r="G7" s="158">
        <f>[1]折、摊!I18</f>
        <v>0</v>
      </c>
      <c r="H7" s="158">
        <f>[1]折、摊!J18</f>
        <v>0</v>
      </c>
      <c r="I7" s="158">
        <f>[1]折、摊!K18</f>
        <v>0</v>
      </c>
      <c r="J7" s="158">
        <f>[1]折、摊!L18</f>
        <v>0</v>
      </c>
      <c r="K7" s="158">
        <f>[1]折、摊!M18</f>
        <v>0</v>
      </c>
      <c r="L7" s="158">
        <f>[1]折、摊!N18</f>
        <v>0</v>
      </c>
      <c r="M7" s="160">
        <f t="shared" si="2"/>
        <v>0</v>
      </c>
    </row>
    <row r="8" spans="1:13" ht="15.6" customHeight="1">
      <c r="A8" s="154">
        <v>1.3</v>
      </c>
      <c r="B8" s="157" t="s">
        <v>26</v>
      </c>
      <c r="C8" s="158" t="s">
        <v>27</v>
      </c>
      <c r="D8" s="158" t="s">
        <v>27</v>
      </c>
      <c r="E8" s="158" t="s">
        <v>27</v>
      </c>
      <c r="F8" s="158" t="s">
        <v>27</v>
      </c>
      <c r="G8" s="158" t="s">
        <v>27</v>
      </c>
      <c r="H8" s="158" t="s">
        <v>27</v>
      </c>
      <c r="I8" s="158" t="s">
        <v>27</v>
      </c>
      <c r="J8" s="158" t="s">
        <v>27</v>
      </c>
      <c r="K8" s="158" t="s">
        <v>27</v>
      </c>
      <c r="L8" s="158"/>
      <c r="M8" s="160">
        <f t="shared" si="2"/>
        <v>0</v>
      </c>
    </row>
    <row r="9" spans="1:13" s="141" customFormat="1" ht="15.6" customHeight="1">
      <c r="A9" s="159">
        <v>1.4</v>
      </c>
      <c r="B9" s="160" t="s">
        <v>28</v>
      </c>
      <c r="C9" s="158" t="s">
        <v>27</v>
      </c>
      <c r="D9" s="158" t="s">
        <v>27</v>
      </c>
      <c r="E9" s="158" t="s">
        <v>27</v>
      </c>
      <c r="F9" s="158" t="s">
        <v>27</v>
      </c>
      <c r="G9" s="158" t="s">
        <v>27</v>
      </c>
      <c r="H9" s="158" t="s">
        <v>27</v>
      </c>
      <c r="I9" s="158" t="s">
        <v>27</v>
      </c>
      <c r="J9" s="158" t="s">
        <v>27</v>
      </c>
      <c r="K9" s="158" t="s">
        <v>27</v>
      </c>
      <c r="L9" s="158" t="s">
        <v>27</v>
      </c>
      <c r="M9" s="160">
        <f t="shared" si="2"/>
        <v>0</v>
      </c>
    </row>
    <row r="10" spans="1:13" ht="15.6" customHeight="1">
      <c r="A10" s="159">
        <v>2</v>
      </c>
      <c r="B10" s="155" t="s">
        <v>29</v>
      </c>
      <c r="C10" s="156">
        <f t="shared" ref="C10:L10" si="3">SUM(C11:C16)</f>
        <v>0</v>
      </c>
      <c r="D10" s="156">
        <f t="shared" si="3"/>
        <v>0</v>
      </c>
      <c r="E10" s="156">
        <f t="shared" si="3"/>
        <v>0</v>
      </c>
      <c r="F10" s="156">
        <f t="shared" si="3"/>
        <v>0</v>
      </c>
      <c r="G10" s="156">
        <f t="shared" si="3"/>
        <v>0</v>
      </c>
      <c r="H10" s="156">
        <f t="shared" si="3"/>
        <v>0</v>
      </c>
      <c r="I10" s="156">
        <f t="shared" si="3"/>
        <v>0</v>
      </c>
      <c r="J10" s="156">
        <f t="shared" si="3"/>
        <v>0</v>
      </c>
      <c r="K10" s="156">
        <f t="shared" si="3"/>
        <v>0</v>
      </c>
      <c r="L10" s="156">
        <f t="shared" si="3"/>
        <v>0</v>
      </c>
      <c r="M10" s="160">
        <f t="shared" si="2"/>
        <v>0</v>
      </c>
    </row>
    <row r="11" spans="1:13" ht="15" customHeight="1">
      <c r="A11" s="154">
        <v>2.1</v>
      </c>
      <c r="B11" s="154" t="s">
        <v>30</v>
      </c>
      <c r="C11" s="158">
        <f>([1]计划!C6-[1]计划!C7)</f>
        <v>0</v>
      </c>
      <c r="D11" s="158">
        <f>([1]计划!D6-[1]计划!D7)</f>
        <v>0</v>
      </c>
      <c r="E11" s="158">
        <f>([1]计划!E6-[1]计划!E7)</f>
        <v>0</v>
      </c>
      <c r="F11" s="158">
        <f>([1]计划!F6-[1]计划!F7)</f>
        <v>0</v>
      </c>
      <c r="G11" s="158">
        <f>([1]计划!G6-[1]计划!G7)</f>
        <v>0</v>
      </c>
      <c r="H11" s="158">
        <f>([1]计划!H6-[1]计划!H7)</f>
        <v>0</v>
      </c>
      <c r="I11" s="158">
        <f>([1]计划!I6-[1]计划!I7)</f>
        <v>0</v>
      </c>
      <c r="J11" s="158">
        <f>([1]计划!J6-[1]计划!J7)</f>
        <v>0</v>
      </c>
      <c r="K11" s="158">
        <f>([1]计划!K6-[1]计划!K7)</f>
        <v>0</v>
      </c>
      <c r="L11" s="158">
        <f>([1]计划!L6-[1]计划!L7)</f>
        <v>0</v>
      </c>
      <c r="M11" s="160">
        <f t="shared" si="2"/>
        <v>0</v>
      </c>
    </row>
    <row r="12" spans="1:13" s="141" customFormat="1" ht="15" customHeight="1">
      <c r="A12" s="154">
        <v>2.2000000000000002</v>
      </c>
      <c r="B12" s="160" t="s">
        <v>31</v>
      </c>
      <c r="C12" s="158">
        <f>[1]计划!C8</f>
        <v>0</v>
      </c>
      <c r="D12" s="158">
        <f>[1]计划!D8</f>
        <v>0</v>
      </c>
      <c r="E12" s="158">
        <f>[1]计划!E8</f>
        <v>0</v>
      </c>
      <c r="F12" s="158">
        <f>[1]计划!F8</f>
        <v>0</v>
      </c>
      <c r="G12" s="158">
        <f>[1]计划!G8</f>
        <v>0</v>
      </c>
      <c r="H12" s="158">
        <f>[1]计划!H8</f>
        <v>0</v>
      </c>
      <c r="I12" s="158">
        <f>[1]计划!I8</f>
        <v>0</v>
      </c>
      <c r="J12" s="158">
        <f>[1]计划!J8</f>
        <v>0</v>
      </c>
      <c r="K12" s="158">
        <f>[1]计划!K8</f>
        <v>0</v>
      </c>
      <c r="L12" s="158">
        <f>[1]计划!L8</f>
        <v>0</v>
      </c>
      <c r="M12" s="160">
        <f t="shared" si="2"/>
        <v>0</v>
      </c>
    </row>
    <row r="13" spans="1:13" ht="15" customHeight="1">
      <c r="A13" s="154">
        <v>2.2999999999999998</v>
      </c>
      <c r="B13" s="157" t="s">
        <v>32</v>
      </c>
      <c r="C13" s="158">
        <f>[1]总成本!C22</f>
        <v>0</v>
      </c>
      <c r="D13" s="158">
        <f>[1]总成本!D22</f>
        <v>0</v>
      </c>
      <c r="E13" s="158">
        <f>[1]总成本!E22</f>
        <v>0</v>
      </c>
      <c r="F13" s="158">
        <f>[1]总成本!F22</f>
        <v>0</v>
      </c>
      <c r="G13" s="158">
        <f>[1]总成本!G22</f>
        <v>0</v>
      </c>
      <c r="H13" s="158">
        <f>[1]总成本!H22</f>
        <v>0</v>
      </c>
      <c r="I13" s="158">
        <f>[1]总成本!I22</f>
        <v>0</v>
      </c>
      <c r="J13" s="158">
        <f>[1]总成本!J22</f>
        <v>0</v>
      </c>
      <c r="K13" s="158">
        <f>[1]总成本!K22</f>
        <v>0</v>
      </c>
      <c r="L13" s="158">
        <f>[1]总成本!L22</f>
        <v>0</v>
      </c>
      <c r="M13" s="160">
        <f t="shared" si="2"/>
        <v>0</v>
      </c>
    </row>
    <row r="14" spans="1:13" ht="15" customHeight="1">
      <c r="A14" s="154">
        <v>2.4</v>
      </c>
      <c r="B14" s="157" t="s">
        <v>33</v>
      </c>
      <c r="C14" s="158">
        <f>[1]价格!D15</f>
        <v>0</v>
      </c>
      <c r="D14" s="158">
        <f>[1]价格!E15</f>
        <v>0</v>
      </c>
      <c r="E14" s="158">
        <f>[1]价格!F15</f>
        <v>0</v>
      </c>
      <c r="F14" s="158">
        <f>[1]价格!G15</f>
        <v>0</v>
      </c>
      <c r="G14" s="158">
        <f>[1]价格!H15</f>
        <v>0</v>
      </c>
      <c r="H14" s="158">
        <f>[1]价格!I15</f>
        <v>0</v>
      </c>
      <c r="I14" s="158">
        <f>[1]价格!J15</f>
        <v>0</v>
      </c>
      <c r="J14" s="158">
        <f>[1]价格!K15</f>
        <v>0</v>
      </c>
      <c r="K14" s="158">
        <f>[1]价格!L15</f>
        <v>0</v>
      </c>
      <c r="L14" s="158">
        <f>[1]价格!M15</f>
        <v>0</v>
      </c>
      <c r="M14" s="160">
        <f t="shared" si="2"/>
        <v>0</v>
      </c>
    </row>
    <row r="15" spans="1:13" ht="15" customHeight="1">
      <c r="A15" s="154">
        <v>2.5</v>
      </c>
      <c r="B15" s="157" t="s">
        <v>34</v>
      </c>
      <c r="C15" s="158">
        <f>[1]利润!C13</f>
        <v>0</v>
      </c>
      <c r="D15" s="158">
        <f>[1]利润!D13</f>
        <v>0</v>
      </c>
      <c r="E15" s="158">
        <f>[1]利润!E13</f>
        <v>0</v>
      </c>
      <c r="F15" s="158">
        <f>[1]利润!F13</f>
        <v>0</v>
      </c>
      <c r="G15" s="158">
        <f>[1]利润!G13</f>
        <v>0</v>
      </c>
      <c r="H15" s="158">
        <f>[1]利润!H13</f>
        <v>0</v>
      </c>
      <c r="I15" s="158">
        <f>[1]利润!I13</f>
        <v>0</v>
      </c>
      <c r="J15" s="158">
        <f>[1]利润!J13</f>
        <v>0</v>
      </c>
      <c r="K15" s="158">
        <f>[1]利润!K13</f>
        <v>0</v>
      </c>
      <c r="L15" s="158">
        <f>[1]利润!L13</f>
        <v>0</v>
      </c>
      <c r="M15" s="160">
        <f t="shared" si="2"/>
        <v>0</v>
      </c>
    </row>
    <row r="16" spans="1:13" ht="15" customHeight="1">
      <c r="A16" s="154">
        <v>2.6</v>
      </c>
      <c r="B16" s="157" t="s">
        <v>35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60">
        <f t="shared" si="2"/>
        <v>0</v>
      </c>
    </row>
    <row r="17" spans="1:18" ht="12">
      <c r="A17" s="154">
        <v>3</v>
      </c>
      <c r="B17" s="155" t="s">
        <v>36</v>
      </c>
      <c r="C17" s="156">
        <f t="shared" ref="C17:L17" si="4">C5-C10</f>
        <v>0</v>
      </c>
      <c r="D17" s="156">
        <f t="shared" si="4"/>
        <v>0</v>
      </c>
      <c r="E17" s="156" t="e">
        <f t="shared" si="4"/>
        <v>#REF!</v>
      </c>
      <c r="F17" s="156" t="e">
        <f t="shared" si="4"/>
        <v>#REF!</v>
      </c>
      <c r="G17" s="156" t="e">
        <f t="shared" si="4"/>
        <v>#REF!</v>
      </c>
      <c r="H17" s="156" t="e">
        <f t="shared" si="4"/>
        <v>#REF!</v>
      </c>
      <c r="I17" s="156" t="e">
        <f t="shared" si="4"/>
        <v>#REF!</v>
      </c>
      <c r="J17" s="156" t="e">
        <f t="shared" si="4"/>
        <v>#REF!</v>
      </c>
      <c r="K17" s="156" t="e">
        <f t="shared" si="4"/>
        <v>#REF!</v>
      </c>
      <c r="L17" s="156" t="e">
        <f t="shared" si="4"/>
        <v>#REF!</v>
      </c>
      <c r="M17" s="160" t="e">
        <f t="shared" si="2"/>
        <v>#REF!</v>
      </c>
    </row>
    <row r="18" spans="1:18" ht="12">
      <c r="A18" s="161">
        <v>4</v>
      </c>
      <c r="B18" s="157" t="s">
        <v>37</v>
      </c>
      <c r="C18" s="158">
        <f>C17</f>
        <v>0</v>
      </c>
      <c r="D18" s="158">
        <f t="shared" ref="D18:L18" si="5">C18+D17</f>
        <v>0</v>
      </c>
      <c r="E18" s="158" t="e">
        <f t="shared" si="5"/>
        <v>#REF!</v>
      </c>
      <c r="F18" s="158" t="e">
        <f t="shared" si="5"/>
        <v>#REF!</v>
      </c>
      <c r="G18" s="158" t="e">
        <f t="shared" si="5"/>
        <v>#REF!</v>
      </c>
      <c r="H18" s="158" t="e">
        <f t="shared" si="5"/>
        <v>#REF!</v>
      </c>
      <c r="I18" s="158" t="e">
        <f t="shared" si="5"/>
        <v>#REF!</v>
      </c>
      <c r="J18" s="158" t="e">
        <f t="shared" si="5"/>
        <v>#REF!</v>
      </c>
      <c r="K18" s="158" t="e">
        <f t="shared" si="5"/>
        <v>#REF!</v>
      </c>
      <c r="L18" s="158" t="e">
        <f t="shared" si="5"/>
        <v>#REF!</v>
      </c>
      <c r="M18" s="157" t="s">
        <v>27</v>
      </c>
    </row>
    <row r="19" spans="1:18" s="141" customFormat="1" ht="12">
      <c r="A19" s="161">
        <v>5</v>
      </c>
      <c r="B19" s="157" t="s">
        <v>38</v>
      </c>
      <c r="C19" s="158">
        <f t="shared" ref="C19:L19" si="6">C17+C15</f>
        <v>0</v>
      </c>
      <c r="D19" s="158">
        <f t="shared" si="6"/>
        <v>0</v>
      </c>
      <c r="E19" s="158" t="e">
        <f t="shared" si="6"/>
        <v>#REF!</v>
      </c>
      <c r="F19" s="158" t="e">
        <f t="shared" si="6"/>
        <v>#REF!</v>
      </c>
      <c r="G19" s="158" t="e">
        <f t="shared" si="6"/>
        <v>#REF!</v>
      </c>
      <c r="H19" s="158" t="e">
        <f t="shared" si="6"/>
        <v>#REF!</v>
      </c>
      <c r="I19" s="158" t="e">
        <f t="shared" si="6"/>
        <v>#REF!</v>
      </c>
      <c r="J19" s="158" t="e">
        <f t="shared" si="6"/>
        <v>#REF!</v>
      </c>
      <c r="K19" s="158" t="e">
        <f t="shared" si="6"/>
        <v>#REF!</v>
      </c>
      <c r="L19" s="158" t="e">
        <f t="shared" si="6"/>
        <v>#REF!</v>
      </c>
      <c r="M19" s="160" t="e">
        <f>SUM(C19:L19)</f>
        <v>#REF!</v>
      </c>
    </row>
    <row r="20" spans="1:18" s="141" customFormat="1" ht="12">
      <c r="A20" s="154">
        <v>6</v>
      </c>
      <c r="B20" s="157" t="s">
        <v>39</v>
      </c>
      <c r="C20" s="158">
        <f>C19</f>
        <v>0</v>
      </c>
      <c r="D20" s="158">
        <f t="shared" ref="D20:L20" si="7">C20+D19</f>
        <v>0</v>
      </c>
      <c r="E20" s="158" t="e">
        <f t="shared" si="7"/>
        <v>#REF!</v>
      </c>
      <c r="F20" s="158" t="e">
        <f t="shared" si="7"/>
        <v>#REF!</v>
      </c>
      <c r="G20" s="158" t="e">
        <f t="shared" si="7"/>
        <v>#REF!</v>
      </c>
      <c r="H20" s="158" t="e">
        <f t="shared" si="7"/>
        <v>#REF!</v>
      </c>
      <c r="I20" s="158" t="e">
        <f t="shared" si="7"/>
        <v>#REF!</v>
      </c>
      <c r="J20" s="158" t="e">
        <f t="shared" si="7"/>
        <v>#REF!</v>
      </c>
      <c r="K20" s="158" t="e">
        <f t="shared" si="7"/>
        <v>#REF!</v>
      </c>
      <c r="L20" s="158" t="e">
        <f t="shared" si="7"/>
        <v>#REF!</v>
      </c>
      <c r="M20" s="157" t="s">
        <v>27</v>
      </c>
    </row>
    <row r="21" spans="1:18" ht="12">
      <c r="A21" s="162"/>
      <c r="B21" s="163" t="s">
        <v>40</v>
      </c>
      <c r="C21" s="163"/>
      <c r="D21" s="163"/>
      <c r="E21" s="163" t="s">
        <v>41</v>
      </c>
      <c r="F21" s="163"/>
      <c r="G21" s="163"/>
      <c r="H21" s="163"/>
      <c r="I21" s="163" t="s">
        <v>42</v>
      </c>
      <c r="J21" s="163"/>
      <c r="K21" s="163"/>
      <c r="L21" s="163"/>
      <c r="M21" s="174"/>
    </row>
    <row r="22" spans="1:18" ht="12">
      <c r="A22" s="164"/>
      <c r="B22" s="165" t="s">
        <v>43</v>
      </c>
      <c r="C22" s="165"/>
      <c r="D22" s="166" t="s">
        <v>44</v>
      </c>
      <c r="E22" s="167" t="e">
        <f>IRR(C17:L17,0.15)</f>
        <v>#VALUE!</v>
      </c>
      <c r="F22" s="165"/>
      <c r="G22" s="165"/>
      <c r="H22" s="165"/>
      <c r="I22" s="167" t="e">
        <f>IRR(C19:L19,0.15)</f>
        <v>#VALUE!</v>
      </c>
      <c r="J22" s="165"/>
      <c r="K22" s="165"/>
      <c r="L22" s="165"/>
      <c r="M22" s="175"/>
    </row>
    <row r="23" spans="1:18" ht="12">
      <c r="A23" s="164"/>
      <c r="B23" s="165" t="s">
        <v>45</v>
      </c>
      <c r="C23" s="165"/>
      <c r="D23" s="165"/>
      <c r="E23" s="168" t="e">
        <f>NPV(0.12,C17:L17)</f>
        <v>#REF!</v>
      </c>
      <c r="F23" s="165"/>
      <c r="G23" s="165"/>
      <c r="H23" s="165"/>
      <c r="I23" s="168" t="e">
        <f>NPV(0.12,C19:L19)</f>
        <v>#REF!</v>
      </c>
      <c r="J23" s="165"/>
      <c r="K23" s="165"/>
      <c r="L23" s="165"/>
      <c r="M23" s="175"/>
      <c r="R23" s="142">
        <f>30.9-29.82</f>
        <v>1.0799999999999983</v>
      </c>
    </row>
    <row r="24" spans="1:18" ht="12">
      <c r="A24" s="169"/>
      <c r="B24" s="170" t="s">
        <v>46</v>
      </c>
      <c r="C24" s="170"/>
      <c r="D24" s="170"/>
      <c r="E24" s="171" t="e">
        <f>6-H18/I17</f>
        <v>#REF!</v>
      </c>
      <c r="F24" s="170"/>
      <c r="G24" s="170"/>
      <c r="H24" s="170"/>
      <c r="I24" s="171" t="e">
        <f>6-H20/I19</f>
        <v>#REF!</v>
      </c>
      <c r="J24" s="170"/>
      <c r="K24" s="170"/>
      <c r="L24" s="170"/>
      <c r="M24" s="176"/>
    </row>
  </sheetData>
  <mergeCells count="1">
    <mergeCell ref="C3:E3"/>
  </mergeCells>
  <phoneticPr fontId="4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workbookViewId="0">
      <pane xSplit="2" ySplit="4" topLeftCell="C14" activePane="bottomRight" state="frozen"/>
      <selection pane="topRight" activeCell="C1" sqref="C1"/>
      <selection pane="bottomLeft" activeCell="A5" sqref="A5"/>
      <selection pane="bottomRight" activeCell="F22" sqref="F22"/>
    </sheetView>
  </sheetViews>
  <sheetFormatPr defaultColWidth="9" defaultRowHeight="16.5"/>
  <cols>
    <col min="1" max="1" width="5.125" style="112" customWidth="1"/>
    <col min="2" max="2" width="32.625" style="112" customWidth="1"/>
    <col min="3" max="3" width="14.5" style="115" customWidth="1"/>
    <col min="4" max="5" width="14.75" style="115" customWidth="1"/>
    <col min="6" max="6" width="16.5" style="115" customWidth="1"/>
    <col min="7" max="7" width="15.5" style="112" customWidth="1"/>
    <col min="8" max="33" width="9" style="112"/>
    <col min="34" max="34" width="4.375" style="112" customWidth="1"/>
    <col min="35" max="35" width="13.875" style="112" customWidth="1"/>
    <col min="36" max="16384" width="9" style="112"/>
  </cols>
  <sheetData>
    <row r="1" spans="1:36" ht="27" customHeight="1">
      <c r="A1" s="191" t="s">
        <v>47</v>
      </c>
      <c r="B1" s="191"/>
      <c r="C1" s="191"/>
      <c r="D1" s="191"/>
      <c r="E1" s="191"/>
      <c r="F1" s="191"/>
      <c r="G1" s="251" t="s">
        <v>300</v>
      </c>
    </row>
    <row r="2" spans="1:36" ht="15.75" customHeight="1">
      <c r="A2" s="192" t="s">
        <v>17</v>
      </c>
      <c r="B2" s="116" t="s">
        <v>1</v>
      </c>
      <c r="C2" s="116" t="s">
        <v>48</v>
      </c>
      <c r="D2" s="116" t="s">
        <v>49</v>
      </c>
      <c r="E2" s="116" t="s">
        <v>50</v>
      </c>
      <c r="F2" s="117" t="s">
        <v>51</v>
      </c>
      <c r="AJ2" s="112" t="s">
        <v>52</v>
      </c>
    </row>
    <row r="3" spans="1:36" s="88" customFormat="1" ht="15.75" customHeight="1">
      <c r="A3" s="193"/>
      <c r="B3" s="92" t="s">
        <v>3</v>
      </c>
      <c r="C3" s="118">
        <f>'2025年'!N6</f>
        <v>17550</v>
      </c>
      <c r="D3" s="118">
        <f>'2026年'!N6</f>
        <v>85500</v>
      </c>
      <c r="E3" s="118">
        <f>'2027年'!N6</f>
        <v>86000</v>
      </c>
      <c r="F3" s="118">
        <f t="shared" ref="F3:F7" si="0">SUM(C3:E3)</f>
        <v>189050</v>
      </c>
      <c r="G3" s="107"/>
      <c r="AH3" s="91" t="s">
        <v>17</v>
      </c>
      <c r="AI3" s="92" t="s">
        <v>3</v>
      </c>
      <c r="AJ3" s="88" t="s">
        <v>53</v>
      </c>
    </row>
    <row r="4" spans="1:36" s="88" customFormat="1" ht="15.75" customHeight="1">
      <c r="A4" s="90">
        <v>1</v>
      </c>
      <c r="B4" s="92" t="s">
        <v>54</v>
      </c>
      <c r="C4" s="118">
        <f>'2025年'!N7</f>
        <v>15907522.123893807</v>
      </c>
      <c r="D4" s="118">
        <f>'2026年'!N7</f>
        <v>79517699.115044266</v>
      </c>
      <c r="E4" s="118">
        <f>'2027年'!N7</f>
        <v>80030973.451327443</v>
      </c>
      <c r="F4" s="118">
        <f t="shared" si="0"/>
        <v>175456194.69026554</v>
      </c>
      <c r="G4" s="107"/>
      <c r="AH4" s="91" t="s">
        <v>55</v>
      </c>
      <c r="AI4" s="92" t="s">
        <v>54</v>
      </c>
      <c r="AJ4" s="88" t="s">
        <v>53</v>
      </c>
    </row>
    <row r="5" spans="1:36" s="88" customFormat="1" ht="15.75" customHeight="1">
      <c r="A5" s="90">
        <v>2</v>
      </c>
      <c r="B5" s="90" t="s">
        <v>56</v>
      </c>
      <c r="C5" s="118">
        <f>'2025年'!N8</f>
        <v>0</v>
      </c>
      <c r="D5" s="118">
        <f>'2026年'!N8</f>
        <v>3975884.9557522163</v>
      </c>
      <c r="E5" s="118">
        <f>'2027年'!N8</f>
        <v>7803019.9115044288</v>
      </c>
      <c r="F5" s="118">
        <f t="shared" si="0"/>
        <v>11778904.867256645</v>
      </c>
      <c r="G5" s="107"/>
      <c r="AH5" s="91" t="s">
        <v>57</v>
      </c>
      <c r="AI5" s="90" t="s">
        <v>58</v>
      </c>
      <c r="AJ5" s="88" t="s">
        <v>53</v>
      </c>
    </row>
    <row r="6" spans="1:36" s="88" customFormat="1" ht="15.75" customHeight="1">
      <c r="A6" s="90">
        <v>3</v>
      </c>
      <c r="B6" s="92" t="s">
        <v>59</v>
      </c>
      <c r="C6" s="119">
        <f>C4-C5</f>
        <v>15907522.123893807</v>
      </c>
      <c r="D6" s="119">
        <f>'2026年'!N9</f>
        <v>75541814.159292042</v>
      </c>
      <c r="E6" s="118">
        <f>'2027年'!N9</f>
        <v>72227953.539823011</v>
      </c>
      <c r="F6" s="118">
        <f t="shared" si="0"/>
        <v>163677289.82300887</v>
      </c>
      <c r="G6" s="107"/>
      <c r="AH6" s="91" t="s">
        <v>60</v>
      </c>
      <c r="AI6" s="92" t="s">
        <v>59</v>
      </c>
      <c r="AJ6" s="88" t="s">
        <v>61</v>
      </c>
    </row>
    <row r="7" spans="1:36" s="88" customFormat="1" ht="15.75" customHeight="1">
      <c r="A7" s="90">
        <v>4</v>
      </c>
      <c r="B7" s="91" t="s">
        <v>301</v>
      </c>
      <c r="C7" s="118">
        <f>'2025年'!N10</f>
        <v>12686501.938110236</v>
      </c>
      <c r="D7" s="119">
        <f>'2026年'!N10</f>
        <v>60302440.193868481</v>
      </c>
      <c r="E7" s="118">
        <f>'2027年'!N10</f>
        <v>57682434.213831402</v>
      </c>
      <c r="F7" s="118">
        <f t="shared" si="0"/>
        <v>130671376.34581012</v>
      </c>
      <c r="G7" s="107"/>
      <c r="AH7" s="91" t="s">
        <v>63</v>
      </c>
      <c r="AI7" s="91" t="s">
        <v>62</v>
      </c>
      <c r="AJ7" s="88" t="s">
        <v>64</v>
      </c>
    </row>
    <row r="8" spans="1:36" s="88" customFormat="1" ht="15.75" customHeight="1">
      <c r="A8" s="90">
        <v>5</v>
      </c>
      <c r="B8" s="91" t="s">
        <v>65</v>
      </c>
      <c r="C8" s="118">
        <f>'2025年'!N11</f>
        <v>685614.20353982307</v>
      </c>
      <c r="D8" s="119">
        <f>'2026年'!N11</f>
        <v>3427212.8318584077</v>
      </c>
      <c r="E8" s="118">
        <f>'2027年'!N11</f>
        <v>3449334.955752213</v>
      </c>
      <c r="F8" s="118">
        <f t="shared" ref="F8:F19" si="1">SUM(C8:E8)</f>
        <v>7562161.9911504444</v>
      </c>
      <c r="G8" s="107"/>
      <c r="AH8" s="91" t="s">
        <v>66</v>
      </c>
      <c r="AI8" s="91" t="s">
        <v>65</v>
      </c>
    </row>
    <row r="9" spans="1:36" s="88" customFormat="1" ht="15.75" customHeight="1">
      <c r="A9" s="90">
        <v>6</v>
      </c>
      <c r="B9" s="91" t="s">
        <v>67</v>
      </c>
      <c r="C9" s="118">
        <f>'2025年'!N12</f>
        <v>345193.23008849571</v>
      </c>
      <c r="D9" s="119">
        <f>'2026年'!N12</f>
        <v>1725534.0707964604</v>
      </c>
      <c r="E9" s="118">
        <f>'2027年'!N12</f>
        <v>1736672.1238938055</v>
      </c>
      <c r="F9" s="118">
        <f t="shared" si="1"/>
        <v>3807399.4247787613</v>
      </c>
      <c r="G9" s="107"/>
      <c r="AH9" s="91" t="s">
        <v>68</v>
      </c>
      <c r="AI9" s="91" t="s">
        <v>67</v>
      </c>
    </row>
    <row r="10" spans="1:36" s="88" customFormat="1" ht="15.75" customHeight="1">
      <c r="A10" s="90">
        <v>7</v>
      </c>
      <c r="B10" s="91" t="s">
        <v>69</v>
      </c>
      <c r="C10" s="118">
        <f>'2025年'!N13</f>
        <v>699930.97345132753</v>
      </c>
      <c r="D10" s="119">
        <f>'2026年'!N13</f>
        <v>3498778.7610619473</v>
      </c>
      <c r="E10" s="118">
        <f>'2027年'!N13</f>
        <v>3521362.8318584072</v>
      </c>
      <c r="F10" s="118">
        <f t="shared" si="1"/>
        <v>7720072.566371683</v>
      </c>
      <c r="G10" s="107"/>
      <c r="AH10" s="91" t="s">
        <v>70</v>
      </c>
      <c r="AI10" s="91" t="s">
        <v>69</v>
      </c>
      <c r="AJ10" s="88" t="s">
        <v>53</v>
      </c>
    </row>
    <row r="11" spans="1:36" s="88" customFormat="1" ht="15.75" customHeight="1">
      <c r="A11" s="90">
        <v>8</v>
      </c>
      <c r="B11" s="120" t="s">
        <v>71</v>
      </c>
      <c r="C11" s="121">
        <f>SUM(C8:C10)</f>
        <v>1730738.4070796464</v>
      </c>
      <c r="D11" s="121">
        <f>SUM(D8:D10)</f>
        <v>8651525.6637168154</v>
      </c>
      <c r="E11" s="121">
        <f>SUM(E8:E10)</f>
        <v>8707369.9115044251</v>
      </c>
      <c r="F11" s="121">
        <f>SUM(F8:F10)</f>
        <v>19089633.982300889</v>
      </c>
      <c r="G11" s="107"/>
      <c r="AH11" s="91" t="s">
        <v>72</v>
      </c>
      <c r="AI11" s="95" t="s">
        <v>71</v>
      </c>
    </row>
    <row r="12" spans="1:36" s="88" customFormat="1" ht="15.75" customHeight="1">
      <c r="A12" s="90">
        <v>9</v>
      </c>
      <c r="B12" s="122" t="s">
        <v>73</v>
      </c>
      <c r="C12" s="118">
        <f>'2025年'!N15</f>
        <v>1490281.7787039217</v>
      </c>
      <c r="D12" s="119">
        <f>'2026年'!N15</f>
        <v>6587848.301706749</v>
      </c>
      <c r="E12" s="118">
        <f>'2027年'!N15</f>
        <v>5838149.4144871812</v>
      </c>
      <c r="F12" s="118">
        <f>SUM(C12:E12)</f>
        <v>13916279.494897852</v>
      </c>
      <c r="G12" s="107"/>
      <c r="I12" s="112"/>
      <c r="J12" s="112"/>
      <c r="K12" s="112"/>
      <c r="L12" s="112"/>
      <c r="M12" s="112"/>
      <c r="N12" s="112"/>
      <c r="AH12" s="91" t="s">
        <v>74</v>
      </c>
      <c r="AI12" s="95" t="s">
        <v>73</v>
      </c>
    </row>
    <row r="13" spans="1:36" ht="15.75" customHeight="1">
      <c r="A13" s="90">
        <v>10</v>
      </c>
      <c r="B13" s="123" t="s">
        <v>75</v>
      </c>
      <c r="C13" s="124">
        <f t="shared" ref="C13:F13" si="2">+C12/C6</f>
        <v>9.3684092789376172E-2</v>
      </c>
      <c r="D13" s="124">
        <f t="shared" si="2"/>
        <v>8.7207970513061991E-2</v>
      </c>
      <c r="E13" s="124">
        <f t="shared" si="2"/>
        <v>8.0829500606968016E-2</v>
      </c>
      <c r="F13" s="124">
        <f t="shared" si="2"/>
        <v>8.5022665697520469E-2</v>
      </c>
      <c r="G13" s="107"/>
      <c r="AH13" s="123" t="s">
        <v>76</v>
      </c>
      <c r="AI13" s="123" t="s">
        <v>75</v>
      </c>
    </row>
    <row r="14" spans="1:36" ht="15.75" customHeight="1">
      <c r="A14" s="90">
        <v>11</v>
      </c>
      <c r="B14" s="123" t="s">
        <v>77</v>
      </c>
      <c r="C14" s="118">
        <f>'2025年'!N17</f>
        <v>2532258.4070796464</v>
      </c>
      <c r="D14" s="119">
        <f>'2026年'!N17</f>
        <v>5140275.6637168145</v>
      </c>
      <c r="E14" s="118">
        <f>'2027年'!N17</f>
        <v>5161319.9115044251</v>
      </c>
      <c r="F14" s="118">
        <f t="shared" si="1"/>
        <v>12833853.982300885</v>
      </c>
      <c r="G14" s="107"/>
      <c r="AH14" s="123" t="s">
        <v>78</v>
      </c>
      <c r="AI14" s="123" t="s">
        <v>77</v>
      </c>
    </row>
    <row r="15" spans="1:36" ht="15.75" customHeight="1">
      <c r="A15" s="90"/>
      <c r="B15" s="123"/>
      <c r="C15" s="118"/>
      <c r="D15" s="118"/>
      <c r="E15" s="118"/>
      <c r="F15" s="118">
        <f t="shared" si="1"/>
        <v>0</v>
      </c>
      <c r="G15" s="107"/>
      <c r="AH15" s="123"/>
      <c r="AI15" s="123"/>
    </row>
    <row r="16" spans="1:36" ht="15.75" customHeight="1">
      <c r="A16" s="90">
        <v>12</v>
      </c>
      <c r="B16" s="123" t="s">
        <v>79</v>
      </c>
      <c r="C16" s="125">
        <f>'2025年'!N19</f>
        <v>111352.65486725664</v>
      </c>
      <c r="D16" s="125">
        <f>'2026年'!N19</f>
        <v>556623.89380530966</v>
      </c>
      <c r="E16" s="118">
        <f>'2027年'!N19</f>
        <v>560216.81415929203</v>
      </c>
      <c r="F16" s="118">
        <f t="shared" si="1"/>
        <v>1228193.3628318585</v>
      </c>
      <c r="G16" s="107"/>
      <c r="O16" s="107"/>
      <c r="AH16" s="123" t="s">
        <v>80</v>
      </c>
      <c r="AI16" s="123" t="s">
        <v>79</v>
      </c>
      <c r="AJ16" s="112" t="s">
        <v>53</v>
      </c>
    </row>
    <row r="17" spans="1:36" ht="15.75" customHeight="1">
      <c r="A17" s="90">
        <v>13</v>
      </c>
      <c r="B17" s="123" t="s">
        <v>81</v>
      </c>
      <c r="C17" s="125">
        <f>'2025年'!N20</f>
        <v>540855.75221238949</v>
      </c>
      <c r="D17" s="125">
        <f>'2026年'!N20</f>
        <v>2703601.7699115053</v>
      </c>
      <c r="E17" s="118">
        <f>'2027年'!N20</f>
        <v>2721053.0973451333</v>
      </c>
      <c r="F17" s="118">
        <f t="shared" si="1"/>
        <v>5965510.619469028</v>
      </c>
      <c r="G17" s="107"/>
      <c r="AH17" s="123" t="s">
        <v>82</v>
      </c>
      <c r="AI17" s="123" t="s">
        <v>81</v>
      </c>
    </row>
    <row r="18" spans="1:36" s="87" customFormat="1" ht="15.75" customHeight="1">
      <c r="A18" s="90">
        <v>14</v>
      </c>
      <c r="B18" s="100" t="s">
        <v>83</v>
      </c>
      <c r="C18" s="126">
        <f>'2025年'!N21</f>
        <v>457600</v>
      </c>
      <c r="D18" s="126">
        <f>'2026年'!N21</f>
        <v>457600</v>
      </c>
      <c r="E18" s="126">
        <f>'2027年'!N21</f>
        <v>457600</v>
      </c>
      <c r="F18" s="118">
        <f t="shared" si="1"/>
        <v>1372800</v>
      </c>
      <c r="G18" s="107"/>
      <c r="AH18" s="100"/>
      <c r="AI18" s="100"/>
    </row>
    <row r="19" spans="1:36" s="88" customFormat="1" ht="15.75" customHeight="1">
      <c r="A19" s="90">
        <v>15</v>
      </c>
      <c r="B19" s="91" t="s">
        <v>84</v>
      </c>
      <c r="C19" s="125">
        <f>'2025年'!N22</f>
        <v>477225.66371681413</v>
      </c>
      <c r="D19" s="125">
        <f>'2026年'!N22</f>
        <v>2385530.9734513275</v>
      </c>
      <c r="E19" s="118">
        <f>'2027年'!N22</f>
        <v>2400929.2035398232</v>
      </c>
      <c r="F19" s="118">
        <f t="shared" si="1"/>
        <v>5263685.8407079652</v>
      </c>
      <c r="G19" s="107"/>
      <c r="AH19" s="91" t="s">
        <v>85</v>
      </c>
      <c r="AI19" s="91" t="s">
        <v>84</v>
      </c>
    </row>
    <row r="20" spans="1:36" s="113" customFormat="1" ht="15.75" customHeight="1">
      <c r="A20" s="90">
        <v>16</v>
      </c>
      <c r="B20" s="127" t="s">
        <v>86</v>
      </c>
      <c r="C20" s="121">
        <f t="shared" ref="C20:F20" si="3">+C19+C18+C17+C16+C14</f>
        <v>4119292.4778761067</v>
      </c>
      <c r="D20" s="121">
        <f t="shared" si="3"/>
        <v>11243632.300884958</v>
      </c>
      <c r="E20" s="121">
        <f t="shared" si="3"/>
        <v>11301119.026548672</v>
      </c>
      <c r="F20" s="121">
        <f t="shared" si="3"/>
        <v>26664043.805309735</v>
      </c>
      <c r="G20" s="107"/>
      <c r="AH20" s="138" t="s">
        <v>87</v>
      </c>
      <c r="AI20" s="139" t="s">
        <v>86</v>
      </c>
    </row>
    <row r="21" spans="1:36" ht="15.75" customHeight="1">
      <c r="A21" s="90">
        <v>17</v>
      </c>
      <c r="B21" s="123" t="s">
        <v>88</v>
      </c>
      <c r="C21" s="128">
        <f>'2025年'!N24</f>
        <v>-2629010.6991721848</v>
      </c>
      <c r="D21" s="128">
        <f>'2026年'!N24</f>
        <v>-4655783.9991782093</v>
      </c>
      <c r="E21" s="118">
        <f>'2027年'!N24</f>
        <v>-5462969.6120614912</v>
      </c>
      <c r="F21" s="118">
        <f>SUM(C21:E21)</f>
        <v>-12747764.310411885</v>
      </c>
      <c r="G21" s="253" t="s">
        <v>299</v>
      </c>
      <c r="AH21" s="123" t="s">
        <v>89</v>
      </c>
      <c r="AI21" s="123" t="s">
        <v>88</v>
      </c>
    </row>
    <row r="22" spans="1:36" ht="15.75" customHeight="1">
      <c r="A22" s="90">
        <v>18</v>
      </c>
      <c r="B22" s="123" t="s">
        <v>34</v>
      </c>
      <c r="C22" s="128">
        <f>'2025年'!N25</f>
        <v>0</v>
      </c>
      <c r="D22" s="128">
        <f>'2026年'!N25</f>
        <v>0</v>
      </c>
      <c r="E22" s="118">
        <f>'2027年'!N25</f>
        <v>0</v>
      </c>
      <c r="F22" s="128"/>
      <c r="G22" s="107"/>
      <c r="AH22" s="123" t="s">
        <v>90</v>
      </c>
      <c r="AI22" s="123" t="s">
        <v>34</v>
      </c>
    </row>
    <row r="23" spans="1:36" ht="15.75" customHeight="1">
      <c r="A23" s="90">
        <v>19</v>
      </c>
      <c r="B23" s="123" t="s">
        <v>91</v>
      </c>
      <c r="C23" s="128">
        <f>'2025年'!N26</f>
        <v>-2629010.6991721848</v>
      </c>
      <c r="D23" s="128">
        <f>'2026年'!N26</f>
        <v>-4669213.9143988518</v>
      </c>
      <c r="E23" s="118">
        <f>'2027年'!N26</f>
        <v>-5462969.612061494</v>
      </c>
      <c r="F23" s="118">
        <f>SUM(C23:E23)</f>
        <v>-12761194.22563253</v>
      </c>
      <c r="G23" s="253" t="s">
        <v>299</v>
      </c>
      <c r="AH23" s="123" t="s">
        <v>92</v>
      </c>
      <c r="AI23" s="123" t="s">
        <v>91</v>
      </c>
    </row>
    <row r="24" spans="1:36" ht="15.75" customHeight="1">
      <c r="A24" s="90">
        <v>20</v>
      </c>
      <c r="B24" s="123" t="s">
        <v>93</v>
      </c>
      <c r="C24" s="129">
        <f t="shared" ref="C24:F24" si="4">C23/C4</f>
        <v>-0.16526839810100238</v>
      </c>
      <c r="D24" s="129">
        <f t="shared" si="4"/>
        <v>-5.8719177822833465E-2</v>
      </c>
      <c r="E24" s="129">
        <f t="shared" si="4"/>
        <v>-6.8260691785586192E-2</v>
      </c>
      <c r="F24" s="129">
        <f t="shared" si="4"/>
        <v>-7.2731511407505361E-2</v>
      </c>
      <c r="G24" s="253" t="s">
        <v>299</v>
      </c>
      <c r="AH24" s="140" t="s">
        <v>94</v>
      </c>
      <c r="AI24" s="140" t="s">
        <v>95</v>
      </c>
    </row>
    <row r="25" spans="1:36" s="114" customFormat="1" ht="15.75" customHeight="1">
      <c r="C25" s="130"/>
      <c r="D25" s="130"/>
      <c r="E25" s="130"/>
      <c r="F25" s="130"/>
      <c r="G25" s="131"/>
    </row>
    <row r="26" spans="1:36" s="114" customFormat="1" ht="15.75" customHeight="1">
      <c r="A26" s="114" t="s">
        <v>96</v>
      </c>
      <c r="C26" s="132"/>
      <c r="D26" s="132"/>
      <c r="E26" s="132"/>
      <c r="F26" s="132"/>
      <c r="G26" s="131"/>
      <c r="AH26" s="114" t="s">
        <v>96</v>
      </c>
    </row>
    <row r="27" spans="1:36" ht="15.75" customHeight="1">
      <c r="A27" s="123" t="s">
        <v>17</v>
      </c>
      <c r="B27" s="133" t="s">
        <v>1</v>
      </c>
      <c r="C27" s="116" t="s">
        <v>48</v>
      </c>
      <c r="D27" s="116" t="s">
        <v>49</v>
      </c>
      <c r="E27" s="116" t="s">
        <v>50</v>
      </c>
      <c r="F27" s="117" t="s">
        <v>51</v>
      </c>
      <c r="AJ27" s="112" t="s">
        <v>52</v>
      </c>
    </row>
    <row r="28" spans="1:36" s="88" customFormat="1" ht="15.75" customHeight="1">
      <c r="A28" s="91" t="s">
        <v>97</v>
      </c>
      <c r="B28" s="95" t="s">
        <v>98</v>
      </c>
      <c r="C28" s="99"/>
      <c r="D28" s="99"/>
      <c r="E28" s="99"/>
      <c r="F28" s="99"/>
      <c r="G28" s="107"/>
      <c r="AH28" s="91" t="s">
        <v>99</v>
      </c>
      <c r="AI28" s="95" t="s">
        <v>98</v>
      </c>
    </row>
    <row r="29" spans="1:36" s="88" customFormat="1" ht="15.75" customHeight="1">
      <c r="A29" s="91" t="s">
        <v>55</v>
      </c>
      <c r="B29" s="91" t="s">
        <v>100</v>
      </c>
      <c r="C29" s="94">
        <f t="shared" ref="C29:F29" si="5">+C6/C3</f>
        <v>906.41151703098615</v>
      </c>
      <c r="D29" s="94">
        <f t="shared" si="5"/>
        <v>883.52999016715842</v>
      </c>
      <c r="E29" s="94">
        <f t="shared" si="5"/>
        <v>839.85992488166289</v>
      </c>
      <c r="F29" s="94">
        <f t="shared" si="5"/>
        <v>865.78836193075301</v>
      </c>
      <c r="G29" s="107"/>
      <c r="AH29" s="91" t="s">
        <v>55</v>
      </c>
      <c r="AI29" s="91" t="s">
        <v>100</v>
      </c>
    </row>
    <row r="30" spans="1:36" s="88" customFormat="1" ht="15.75" customHeight="1">
      <c r="A30" s="91" t="s">
        <v>57</v>
      </c>
      <c r="B30" s="91" t="s">
        <v>101</v>
      </c>
      <c r="C30" s="94">
        <f t="shared" ref="C30:F30" si="6">+C7/C3</f>
        <v>722.87760331112452</v>
      </c>
      <c r="D30" s="94">
        <f t="shared" si="6"/>
        <v>705.29169817390039</v>
      </c>
      <c r="E30" s="94">
        <f t="shared" si="6"/>
        <v>670.72597923059766</v>
      </c>
      <c r="F30" s="94">
        <f t="shared" si="6"/>
        <v>691.20008646289398</v>
      </c>
      <c r="G30" s="107"/>
      <c r="AH30" s="91" t="s">
        <v>57</v>
      </c>
      <c r="AI30" s="91" t="s">
        <v>101</v>
      </c>
    </row>
    <row r="31" spans="1:36" s="88" customFormat="1" ht="15.75" customHeight="1">
      <c r="A31" s="91" t="s">
        <v>102</v>
      </c>
      <c r="B31" s="91" t="s">
        <v>103</v>
      </c>
      <c r="C31" s="99">
        <f t="shared" ref="C31:F31" si="7">C29-C30</f>
        <v>183.53391371986163</v>
      </c>
      <c r="D31" s="99">
        <f t="shared" si="7"/>
        <v>178.23829199325803</v>
      </c>
      <c r="E31" s="99">
        <f t="shared" si="7"/>
        <v>169.13394565106523</v>
      </c>
      <c r="F31" s="99">
        <f t="shared" si="7"/>
        <v>174.58827546785903</v>
      </c>
      <c r="G31" s="107"/>
      <c r="AH31" s="91" t="s">
        <v>102</v>
      </c>
      <c r="AI31" s="91" t="s">
        <v>103</v>
      </c>
    </row>
    <row r="32" spans="1:36" s="88" customFormat="1" ht="15.75" customHeight="1">
      <c r="A32" s="91">
        <v>3.1</v>
      </c>
      <c r="B32" s="91" t="s">
        <v>104</v>
      </c>
      <c r="C32" s="96">
        <f t="shared" ref="C32:F32" si="8">C31/C29</f>
        <v>0.2024840927893764</v>
      </c>
      <c r="D32" s="96">
        <f t="shared" si="8"/>
        <v>0.20173428630253565</v>
      </c>
      <c r="E32" s="96">
        <f t="shared" si="8"/>
        <v>0.20138351722746667</v>
      </c>
      <c r="F32" s="96">
        <f t="shared" si="8"/>
        <v>0.20165237042285727</v>
      </c>
      <c r="G32" s="107"/>
      <c r="AH32" s="91"/>
      <c r="AI32" s="91"/>
    </row>
    <row r="33" spans="1:35" s="88" customFormat="1" ht="15.75" customHeight="1">
      <c r="A33" s="91" t="s">
        <v>99</v>
      </c>
      <c r="B33" s="95" t="s">
        <v>8</v>
      </c>
      <c r="C33" s="99"/>
      <c r="D33" s="99"/>
      <c r="E33" s="99"/>
      <c r="F33" s="99"/>
      <c r="G33" s="107"/>
      <c r="AH33" s="91" t="s">
        <v>105</v>
      </c>
      <c r="AI33" s="95" t="s">
        <v>8</v>
      </c>
    </row>
    <row r="34" spans="1:35" s="88" customFormat="1" ht="15.75" customHeight="1">
      <c r="A34" s="91" t="s">
        <v>55</v>
      </c>
      <c r="B34" s="100" t="s">
        <v>106</v>
      </c>
      <c r="C34" s="94">
        <f t="shared" ref="C34:F34" si="9">+C8/C3</f>
        <v>39.066336384035502</v>
      </c>
      <c r="D34" s="94">
        <f t="shared" si="9"/>
        <v>40.084360606531085</v>
      </c>
      <c r="E34" s="94">
        <f t="shared" si="9"/>
        <v>40.108545997118753</v>
      </c>
      <c r="F34" s="94">
        <f t="shared" si="9"/>
        <v>40.000856869349086</v>
      </c>
      <c r="G34" s="107"/>
      <c r="AH34" s="91" t="s">
        <v>102</v>
      </c>
      <c r="AI34" s="91" t="s">
        <v>106</v>
      </c>
    </row>
    <row r="35" spans="1:35" s="88" customFormat="1" ht="15.75" customHeight="1">
      <c r="A35" s="91" t="s">
        <v>57</v>
      </c>
      <c r="B35" s="100" t="s">
        <v>107</v>
      </c>
      <c r="C35" s="94">
        <f t="shared" ref="C35:F35" si="10">+C9/C3</f>
        <v>19.669129919572406</v>
      </c>
      <c r="D35" s="94">
        <f t="shared" si="10"/>
        <v>20.181685038555091</v>
      </c>
      <c r="E35" s="94">
        <f t="shared" si="10"/>
        <v>20.193861905741926</v>
      </c>
      <c r="F35" s="94">
        <f t="shared" si="10"/>
        <v>20.139642553709397</v>
      </c>
      <c r="G35" s="107"/>
      <c r="AH35" s="91" t="s">
        <v>60</v>
      </c>
      <c r="AI35" s="91" t="s">
        <v>107</v>
      </c>
    </row>
    <row r="36" spans="1:35" s="88" customFormat="1" ht="15.75" customHeight="1">
      <c r="A36" s="91" t="s">
        <v>102</v>
      </c>
      <c r="B36" s="100" t="s">
        <v>108</v>
      </c>
      <c r="C36" s="94">
        <f t="shared" ref="C36:F36" si="11">+C10/C3</f>
        <v>39.882106749363395</v>
      </c>
      <c r="D36" s="94">
        <f t="shared" si="11"/>
        <v>40.921389018268393</v>
      </c>
      <c r="E36" s="94">
        <f t="shared" si="11"/>
        <v>40.946079440214035</v>
      </c>
      <c r="F36" s="94">
        <f t="shared" si="11"/>
        <v>40.836141583558231</v>
      </c>
      <c r="G36" s="107"/>
      <c r="AH36" s="91" t="s">
        <v>66</v>
      </c>
      <c r="AI36" s="91" t="s">
        <v>108</v>
      </c>
    </row>
    <row r="37" spans="1:35" s="88" customFormat="1" ht="15.75" customHeight="1">
      <c r="A37" s="91" t="s">
        <v>109</v>
      </c>
      <c r="B37" s="122" t="s">
        <v>110</v>
      </c>
      <c r="C37" s="94"/>
      <c r="D37" s="94"/>
      <c r="E37" s="94"/>
      <c r="F37" s="94"/>
      <c r="G37" s="107"/>
      <c r="AH37" s="91" t="s">
        <v>109</v>
      </c>
      <c r="AI37" s="95" t="s">
        <v>110</v>
      </c>
    </row>
    <row r="38" spans="1:35" s="88" customFormat="1">
      <c r="A38" s="91" t="s">
        <v>55</v>
      </c>
      <c r="B38" s="100" t="s">
        <v>111</v>
      </c>
      <c r="C38" s="94">
        <f t="shared" ref="C38:F38" si="12">+C12/C3</f>
        <v>84.916340666890122</v>
      </c>
      <c r="D38" s="94">
        <f t="shared" si="12"/>
        <v>77.050857329903494</v>
      </c>
      <c r="E38" s="94">
        <f t="shared" si="12"/>
        <v>67.885458307990476</v>
      </c>
      <c r="F38" s="94">
        <f t="shared" si="12"/>
        <v>73.611634461242275</v>
      </c>
      <c r="G38" s="107"/>
      <c r="AH38" s="91" t="s">
        <v>55</v>
      </c>
      <c r="AI38" s="91" t="s">
        <v>112</v>
      </c>
    </row>
    <row r="39" spans="1:35" s="88" customFormat="1" ht="15.75" customHeight="1">
      <c r="A39" s="91" t="s">
        <v>57</v>
      </c>
      <c r="B39" s="100" t="s">
        <v>113</v>
      </c>
      <c r="C39" s="118">
        <f>+C20/C38</f>
        <v>48510.00932830196</v>
      </c>
      <c r="D39" s="118">
        <f t="shared" ref="D39:F39" si="13">+D20/D38</f>
        <v>145924.8175882567</v>
      </c>
      <c r="E39" s="118">
        <f t="shared" si="13"/>
        <v>166473.34065679382</v>
      </c>
      <c r="F39" s="118">
        <f t="shared" si="13"/>
        <v>362225.94431521266</v>
      </c>
      <c r="G39" s="107"/>
      <c r="AH39" s="91" t="s">
        <v>57</v>
      </c>
      <c r="AI39" s="91" t="s">
        <v>113</v>
      </c>
    </row>
    <row r="40" spans="1:35" s="88" customFormat="1" ht="15.75" customHeight="1">
      <c r="A40" s="91" t="s">
        <v>114</v>
      </c>
      <c r="B40" s="95" t="s">
        <v>115</v>
      </c>
      <c r="C40" s="99"/>
      <c r="D40" s="99"/>
      <c r="E40" s="99"/>
      <c r="F40" s="99"/>
      <c r="G40" s="107"/>
      <c r="AH40" s="91" t="s">
        <v>114</v>
      </c>
      <c r="AI40" s="95" t="s">
        <v>115</v>
      </c>
    </row>
    <row r="41" spans="1:35" s="88" customFormat="1" ht="15.75" customHeight="1">
      <c r="A41" s="91" t="s">
        <v>55</v>
      </c>
      <c r="B41" s="91" t="s">
        <v>116</v>
      </c>
      <c r="C41" s="99">
        <f t="shared" ref="C41:F41" si="14">+C14/C3</f>
        <v>144.28822832362658</v>
      </c>
      <c r="D41" s="99">
        <f t="shared" si="14"/>
        <v>60.120183201366252</v>
      </c>
      <c r="E41" s="99">
        <f t="shared" si="14"/>
        <v>60.015347808190988</v>
      </c>
      <c r="F41" s="99">
        <f t="shared" si="14"/>
        <v>67.88603005713243</v>
      </c>
      <c r="G41" s="107"/>
      <c r="AH41" s="91" t="s">
        <v>55</v>
      </c>
      <c r="AI41" s="91" t="s">
        <v>116</v>
      </c>
    </row>
    <row r="42" spans="1:35" s="88" customFormat="1" ht="15.75" customHeight="1">
      <c r="A42" s="91" t="s">
        <v>57</v>
      </c>
      <c r="B42" s="91" t="s">
        <v>117</v>
      </c>
      <c r="C42" s="99">
        <f t="shared" ref="C42:F42" si="15">+C16/C3</f>
        <v>6.3448806192169025</v>
      </c>
      <c r="D42" s="99">
        <f t="shared" si="15"/>
        <v>6.51022098017906</v>
      </c>
      <c r="E42" s="99">
        <f t="shared" si="15"/>
        <v>6.5141490018522328</v>
      </c>
      <c r="F42" s="99">
        <f t="shared" si="15"/>
        <v>6.4966588882933536</v>
      </c>
      <c r="G42" s="107"/>
      <c r="AH42" s="91" t="s">
        <v>57</v>
      </c>
      <c r="AI42" s="91" t="s">
        <v>117</v>
      </c>
    </row>
    <row r="43" spans="1:35" s="88" customFormat="1" ht="15.75" customHeight="1">
      <c r="A43" s="91" t="s">
        <v>102</v>
      </c>
      <c r="B43" s="91" t="s">
        <v>118</v>
      </c>
      <c r="C43" s="99">
        <f>+C17/C3</f>
        <v>30.817991579053533</v>
      </c>
      <c r="D43" s="99">
        <f t="shared" ref="D43:F43" si="16">+D17/D3</f>
        <v>31.621073332298309</v>
      </c>
      <c r="E43" s="99">
        <f t="shared" si="16"/>
        <v>31.640152294710852</v>
      </c>
      <c r="F43" s="99">
        <f t="shared" si="16"/>
        <v>31.555200314567724</v>
      </c>
      <c r="G43" s="107"/>
      <c r="AH43" s="91" t="s">
        <v>102</v>
      </c>
      <c r="AI43" s="91" t="s">
        <v>118</v>
      </c>
    </row>
    <row r="44" spans="1:35" s="88" customFormat="1" ht="15.75" customHeight="1">
      <c r="A44" s="91" t="s">
        <v>60</v>
      </c>
      <c r="B44" s="91" t="s">
        <v>119</v>
      </c>
      <c r="C44" s="99">
        <f t="shared" ref="C44:F44" si="17">C18/C3</f>
        <v>26.074074074074073</v>
      </c>
      <c r="D44" s="99">
        <f t="shared" si="17"/>
        <v>5.3520467836257311</v>
      </c>
      <c r="E44" s="99">
        <f t="shared" si="17"/>
        <v>5.3209302325581396</v>
      </c>
      <c r="F44" s="99">
        <f t="shared" si="17"/>
        <v>7.2615710129595348</v>
      </c>
      <c r="G44" s="107"/>
      <c r="AH44" s="91" t="s">
        <v>60</v>
      </c>
      <c r="AI44" s="91" t="s">
        <v>120</v>
      </c>
    </row>
    <row r="45" spans="1:35" s="88" customFormat="1" ht="15.75" customHeight="1">
      <c r="A45" s="91" t="s">
        <v>63</v>
      </c>
      <c r="B45" s="91" t="s">
        <v>121</v>
      </c>
      <c r="C45" s="99">
        <f>C19/C3</f>
        <v>27.192345510929581</v>
      </c>
      <c r="D45" s="99">
        <f>D19/D3</f>
        <v>27.900947057910262</v>
      </c>
      <c r="E45" s="99">
        <f t="shared" ref="E45:F45" si="18">E19/E3</f>
        <v>27.917781436509571</v>
      </c>
      <c r="F45" s="99">
        <f t="shared" si="18"/>
        <v>27.842823806971516</v>
      </c>
      <c r="G45" s="107"/>
      <c r="AH45" s="91" t="s">
        <v>63</v>
      </c>
      <c r="AI45" s="91" t="s">
        <v>121</v>
      </c>
    </row>
    <row r="46" spans="1:35" s="88" customFormat="1" ht="15.75" customHeight="1">
      <c r="A46" s="91" t="s">
        <v>122</v>
      </c>
      <c r="B46" s="95" t="s">
        <v>123</v>
      </c>
      <c r="C46" s="99"/>
      <c r="D46" s="99"/>
      <c r="E46" s="99"/>
      <c r="F46" s="99"/>
      <c r="G46" s="107"/>
      <c r="AH46" s="91" t="s">
        <v>122</v>
      </c>
      <c r="AI46" s="95" t="s">
        <v>123</v>
      </c>
    </row>
    <row r="47" spans="1:35" s="88" customFormat="1" ht="15.75" customHeight="1">
      <c r="A47" s="91" t="s">
        <v>55</v>
      </c>
      <c r="B47" s="91" t="s">
        <v>124</v>
      </c>
      <c r="C47" s="111">
        <f t="shared" ref="C47:F47" si="19">+(C10+C16)/C6</f>
        <v>5.1000000000000004E-2</v>
      </c>
      <c r="D47" s="111">
        <f t="shared" si="19"/>
        <v>5.3684210526315793E-2</v>
      </c>
      <c r="E47" s="111">
        <f t="shared" si="19"/>
        <v>5.6509695290858732E-2</v>
      </c>
      <c r="F47" s="111">
        <f t="shared" si="19"/>
        <v>5.4670174090001598E-2</v>
      </c>
      <c r="G47" s="107"/>
      <c r="AH47" s="91" t="s">
        <v>55</v>
      </c>
      <c r="AI47" s="91" t="s">
        <v>124</v>
      </c>
    </row>
    <row r="48" spans="1:35" s="88" customFormat="1" ht="15.75" customHeight="1">
      <c r="A48" s="91" t="s">
        <v>57</v>
      </c>
      <c r="B48" s="91" t="s">
        <v>125</v>
      </c>
      <c r="C48" s="111">
        <f t="shared" ref="C48:F48" si="20">+(C8+C9+C14)/C6</f>
        <v>0.22398622569608637</v>
      </c>
      <c r="D48" s="111">
        <f t="shared" si="20"/>
        <v>0.13625596209097113</v>
      </c>
      <c r="E48" s="111">
        <f t="shared" si="20"/>
        <v>0.14325931282886792</v>
      </c>
      <c r="F48" s="111">
        <f t="shared" si="20"/>
        <v>0.1478727771238286</v>
      </c>
      <c r="G48" s="107"/>
      <c r="AH48" s="91" t="s">
        <v>57</v>
      </c>
      <c r="AI48" s="91" t="s">
        <v>125</v>
      </c>
    </row>
    <row r="49" spans="1:35" s="88" customFormat="1" ht="15.75" customHeight="1">
      <c r="A49" s="91" t="s">
        <v>102</v>
      </c>
      <c r="B49" s="91" t="s">
        <v>126</v>
      </c>
      <c r="C49" s="111">
        <f t="shared" ref="C49:F49" si="21">+C17/C6</f>
        <v>3.4000000000000002E-2</v>
      </c>
      <c r="D49" s="111">
        <f t="shared" si="21"/>
        <v>3.5789473684210538E-2</v>
      </c>
      <c r="E49" s="111">
        <f t="shared" si="21"/>
        <v>3.7673130193905821E-2</v>
      </c>
      <c r="F49" s="111">
        <f t="shared" si="21"/>
        <v>3.6446782726667737E-2</v>
      </c>
      <c r="G49" s="107"/>
      <c r="AH49" s="91" t="s">
        <v>102</v>
      </c>
      <c r="AI49" s="91" t="s">
        <v>126</v>
      </c>
    </row>
    <row r="50" spans="1:35" s="88" customFormat="1" ht="15.75" customHeight="1">
      <c r="A50" s="91" t="s">
        <v>60</v>
      </c>
      <c r="B50" s="91" t="s">
        <v>127</v>
      </c>
      <c r="C50" s="111">
        <f t="shared" ref="C50:F50" si="22">+C18/C6</f>
        <v>2.8766265194292227E-2</v>
      </c>
      <c r="D50" s="111">
        <f t="shared" si="22"/>
        <v>6.0575722875158512E-3</v>
      </c>
      <c r="E50" s="111">
        <f t="shared" si="22"/>
        <v>6.3354972358132984E-3</v>
      </c>
      <c r="F50" s="111">
        <f t="shared" si="22"/>
        <v>8.3872356481737107E-3</v>
      </c>
      <c r="G50" s="107"/>
      <c r="AH50" s="91" t="s">
        <v>60</v>
      </c>
      <c r="AI50" s="91" t="s">
        <v>127</v>
      </c>
    </row>
    <row r="51" spans="1:35" s="88" customFormat="1" ht="15.75" customHeight="1">
      <c r="A51" s="91" t="s">
        <v>63</v>
      </c>
      <c r="B51" s="91" t="s">
        <v>128</v>
      </c>
      <c r="C51" s="111">
        <f t="shared" ref="C51:F51" si="23">+C19/C6</f>
        <v>2.9999999999999995E-2</v>
      </c>
      <c r="D51" s="111">
        <f t="shared" si="23"/>
        <v>3.1578947368421054E-2</v>
      </c>
      <c r="E51" s="111">
        <f t="shared" si="23"/>
        <v>3.3240997229916899E-2</v>
      </c>
      <c r="F51" s="111">
        <f t="shared" si="23"/>
        <v>3.2158925935295055E-2</v>
      </c>
      <c r="G51" s="107"/>
      <c r="AH51" s="91" t="s">
        <v>63</v>
      </c>
      <c r="AI51" s="91" t="s">
        <v>128</v>
      </c>
    </row>
    <row r="52" spans="1:35" s="88" customFormat="1" ht="15.75" customHeight="1">
      <c r="A52" s="91" t="s">
        <v>66</v>
      </c>
      <c r="B52" s="91" t="s">
        <v>129</v>
      </c>
      <c r="C52" s="111">
        <f t="shared" ref="C52:F52" si="24">+C23/C6</f>
        <v>-0.16526839810100238</v>
      </c>
      <c r="D52" s="111">
        <f t="shared" si="24"/>
        <v>-6.1809660866140502E-2</v>
      </c>
      <c r="E52" s="111">
        <f t="shared" si="24"/>
        <v>-7.5635115551896073E-2</v>
      </c>
      <c r="F52" s="111">
        <f t="shared" si="24"/>
        <v>-7.7965576283867757E-2</v>
      </c>
      <c r="G52" s="107"/>
      <c r="AH52" s="91" t="s">
        <v>66</v>
      </c>
      <c r="AI52" s="91" t="s">
        <v>130</v>
      </c>
    </row>
    <row r="53" spans="1:35" s="88" customFormat="1" ht="15.75" customHeight="1">
      <c r="A53" s="91" t="s">
        <v>131</v>
      </c>
      <c r="B53" s="95" t="s">
        <v>132</v>
      </c>
      <c r="C53" s="99">
        <f>+C21/C3</f>
        <v>-149.80117944001054</v>
      </c>
      <c r="D53" s="99">
        <f t="shared" ref="D53:F53" si="25">+D21/D3</f>
        <v>-54.453614025476135</v>
      </c>
      <c r="E53" s="99">
        <f t="shared" si="25"/>
        <v>-63.522902465831294</v>
      </c>
      <c r="F53" s="99">
        <f t="shared" si="25"/>
        <v>-67.430649618682281</v>
      </c>
      <c r="G53" s="107"/>
      <c r="AH53" s="91" t="s">
        <v>131</v>
      </c>
      <c r="AI53" s="95" t="s">
        <v>132</v>
      </c>
    </row>
    <row r="54" spans="1:35" s="88" customFormat="1" ht="15.75" customHeight="1">
      <c r="A54" s="91" t="s">
        <v>133</v>
      </c>
      <c r="B54" s="134" t="s">
        <v>134</v>
      </c>
      <c r="C54" s="99"/>
      <c r="D54" s="99"/>
      <c r="E54" s="99"/>
      <c r="F54" s="99"/>
      <c r="G54" s="107"/>
      <c r="AH54" s="91"/>
      <c r="AI54" s="95"/>
    </row>
    <row r="55" spans="1:35" s="88" customFormat="1" ht="15.75" customHeight="1">
      <c r="A55" s="91" t="s">
        <v>55</v>
      </c>
      <c r="B55" s="91" t="s">
        <v>135</v>
      </c>
      <c r="C55" s="99">
        <f>C56+C57</f>
        <v>7309800</v>
      </c>
      <c r="D55" s="99"/>
      <c r="E55" s="99"/>
      <c r="F55" s="99"/>
      <c r="G55" s="107"/>
    </row>
    <row r="56" spans="1:35" s="88" customFormat="1" ht="15.75" customHeight="1">
      <c r="A56" s="91">
        <v>1.1000000000000001</v>
      </c>
      <c r="B56" s="135" t="s">
        <v>136</v>
      </c>
      <c r="C56" s="99">
        <f>项目投资!B27</f>
        <v>1372800</v>
      </c>
      <c r="D56" s="99"/>
      <c r="E56" s="99"/>
      <c r="F56" s="99"/>
      <c r="G56" s="107"/>
    </row>
    <row r="57" spans="1:35" s="88" customFormat="1" ht="15.75" customHeight="1">
      <c r="A57" s="91">
        <v>1.2</v>
      </c>
      <c r="B57" s="91" t="s">
        <v>137</v>
      </c>
      <c r="C57" s="99">
        <f>项目投资!B26</f>
        <v>5937000</v>
      </c>
      <c r="D57" s="99"/>
      <c r="E57" s="99"/>
      <c r="F57" s="99"/>
      <c r="G57" s="107"/>
    </row>
    <row r="58" spans="1:35" ht="15.75" customHeight="1">
      <c r="A58" s="123" t="s">
        <v>57</v>
      </c>
      <c r="B58" s="123" t="s">
        <v>138</v>
      </c>
      <c r="C58" s="136">
        <f>C59+C60</f>
        <v>-2629010.6991721848</v>
      </c>
      <c r="D58" s="136">
        <f t="shared" ref="D58:F58" si="26">D59+D60</f>
        <v>-4669213.9143988518</v>
      </c>
      <c r="E58" s="136">
        <f t="shared" si="26"/>
        <v>-5462969.612061494</v>
      </c>
      <c r="F58" s="136">
        <f t="shared" si="26"/>
        <v>-12761194.22563253</v>
      </c>
      <c r="G58" s="107"/>
    </row>
    <row r="59" spans="1:35" ht="15.75" customHeight="1">
      <c r="A59" s="123" t="s">
        <v>102</v>
      </c>
      <c r="B59" s="123" t="s">
        <v>139</v>
      </c>
      <c r="C59" s="136">
        <f t="shared" ref="C59:F59" si="27">C23</f>
        <v>-2629010.6991721848</v>
      </c>
      <c r="D59" s="136">
        <f t="shared" si="27"/>
        <v>-4669213.9143988518</v>
      </c>
      <c r="E59" s="136">
        <f t="shared" si="27"/>
        <v>-5462969.612061494</v>
      </c>
      <c r="F59" s="136">
        <f t="shared" si="27"/>
        <v>-12761194.22563253</v>
      </c>
      <c r="G59" s="107"/>
    </row>
    <row r="60" spans="1:35" ht="15.75" customHeight="1">
      <c r="A60" s="123" t="s">
        <v>60</v>
      </c>
      <c r="B60" s="123" t="s">
        <v>140</v>
      </c>
      <c r="C60" s="136">
        <f>'[2]2023年'!I18</f>
        <v>0</v>
      </c>
      <c r="D60" s="136"/>
      <c r="E60" s="136"/>
      <c r="F60" s="136">
        <f>[2]项目投资!G26</f>
        <v>0</v>
      </c>
      <c r="G60" s="107"/>
    </row>
    <row r="61" spans="1:35" ht="15.75" customHeight="1">
      <c r="A61" s="123" t="s">
        <v>63</v>
      </c>
      <c r="B61" s="123" t="s">
        <v>141</v>
      </c>
      <c r="C61" s="137"/>
      <c r="D61" s="137"/>
      <c r="E61" s="137"/>
      <c r="F61" s="136"/>
      <c r="G61" s="107"/>
    </row>
    <row r="63" spans="1:35">
      <c r="B63"/>
    </row>
  </sheetData>
  <mergeCells count="2">
    <mergeCell ref="A1:F1"/>
    <mergeCell ref="A2:A3"/>
  </mergeCells>
  <phoneticPr fontId="4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26" activePane="bottomRight" state="frozen"/>
      <selection pane="topRight"/>
      <selection pane="bottomLeft"/>
      <selection pane="bottomRight" activeCell="C6" sqref="C6:M6"/>
    </sheetView>
  </sheetViews>
  <sheetFormatPr defaultColWidth="9" defaultRowHeight="16.5"/>
  <cols>
    <col min="1" max="1" width="5.125" style="88" customWidth="1"/>
    <col min="2" max="2" width="17.5" style="88" customWidth="1"/>
    <col min="3" max="7" width="12" style="89" customWidth="1"/>
    <col min="8" max="8" width="7.125" style="89" customWidth="1"/>
    <col min="9" max="13" width="12" style="89" customWidth="1"/>
    <col min="14" max="14" width="18.75" style="89" customWidth="1"/>
    <col min="15" max="15" width="12.375" style="88" customWidth="1"/>
    <col min="16" max="16" width="10.125" style="88" customWidth="1"/>
    <col min="17" max="23" width="9" style="88" customWidth="1"/>
    <col min="24" max="40" width="9" style="88"/>
    <col min="41" max="41" width="4.375" style="88" customWidth="1"/>
    <col min="42" max="42" width="13.875" style="88" customWidth="1"/>
    <col min="43" max="16384" width="9" style="88"/>
  </cols>
  <sheetData>
    <row r="1" spans="1:43">
      <c r="A1" s="194" t="s">
        <v>142</v>
      </c>
      <c r="B1" s="194"/>
      <c r="C1" s="198" t="s">
        <v>143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43">
      <c r="A2" s="194" t="s">
        <v>144</v>
      </c>
      <c r="B2" s="194"/>
      <c r="C2" s="201" t="s">
        <v>145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43" ht="33">
      <c r="A3" s="194" t="s">
        <v>146</v>
      </c>
      <c r="B3" s="194"/>
      <c r="C3" s="14" t="s">
        <v>147</v>
      </c>
      <c r="D3" s="14" t="s">
        <v>147</v>
      </c>
      <c r="E3" s="14" t="s">
        <v>147</v>
      </c>
      <c r="F3" s="14" t="s">
        <v>147</v>
      </c>
      <c r="G3" s="14" t="s">
        <v>148</v>
      </c>
      <c r="H3" s="14" t="s">
        <v>148</v>
      </c>
      <c r="I3" s="14" t="s">
        <v>148</v>
      </c>
      <c r="J3" s="14" t="s">
        <v>148</v>
      </c>
      <c r="K3" s="14" t="s">
        <v>148</v>
      </c>
      <c r="L3" s="14" t="s">
        <v>149</v>
      </c>
      <c r="M3" s="14" t="s">
        <v>149</v>
      </c>
      <c r="N3" s="195" t="s">
        <v>51</v>
      </c>
    </row>
    <row r="4" spans="1:43" ht="33">
      <c r="A4" s="194" t="s">
        <v>150</v>
      </c>
      <c r="B4" s="194"/>
      <c r="C4" s="14" t="s">
        <v>151</v>
      </c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196"/>
    </row>
    <row r="5" spans="1:43">
      <c r="A5" s="194" t="s">
        <v>162</v>
      </c>
      <c r="B5" s="194"/>
      <c r="C5" s="49" t="s">
        <v>163</v>
      </c>
      <c r="D5" s="49" t="s">
        <v>163</v>
      </c>
      <c r="E5" s="16" t="s">
        <v>164</v>
      </c>
      <c r="F5" s="16" t="s">
        <v>164</v>
      </c>
      <c r="G5" s="49" t="s">
        <v>163</v>
      </c>
      <c r="H5" s="49" t="s">
        <v>163</v>
      </c>
      <c r="I5" s="16" t="s">
        <v>164</v>
      </c>
      <c r="J5" s="16" t="s">
        <v>164</v>
      </c>
      <c r="K5" s="16" t="s">
        <v>165</v>
      </c>
      <c r="L5" s="16" t="s">
        <v>166</v>
      </c>
      <c r="M5" s="16" t="s">
        <v>166</v>
      </c>
      <c r="N5" s="197"/>
      <c r="AQ5" s="88" t="s">
        <v>52</v>
      </c>
    </row>
    <row r="6" spans="1:43" ht="17.25">
      <c r="A6" s="91" t="s">
        <v>17</v>
      </c>
      <c r="B6" s="92" t="s">
        <v>167</v>
      </c>
      <c r="C6" s="93">
        <f>销量!C9</f>
        <v>2000</v>
      </c>
      <c r="D6" s="93">
        <f>销量!D9</f>
        <v>500</v>
      </c>
      <c r="E6" s="93">
        <f>销量!E9</f>
        <v>3000</v>
      </c>
      <c r="F6" s="93">
        <f>销量!F9</f>
        <v>500</v>
      </c>
      <c r="G6" s="93">
        <f>销量!G9</f>
        <v>2000</v>
      </c>
      <c r="H6" s="93">
        <f>销量!H9</f>
        <v>0</v>
      </c>
      <c r="I6" s="93">
        <f>销量!I9</f>
        <v>3000</v>
      </c>
      <c r="J6" s="93">
        <f>销量!J9</f>
        <v>500</v>
      </c>
      <c r="K6" s="93">
        <f>销量!K9</f>
        <v>50</v>
      </c>
      <c r="L6" s="93">
        <f>销量!L9</f>
        <v>5000</v>
      </c>
      <c r="M6" s="93">
        <f>销量!M9</f>
        <v>1000</v>
      </c>
      <c r="N6" s="94">
        <f>+SUM(C6:M6)</f>
        <v>17550</v>
      </c>
      <c r="Y6" s="92" t="s">
        <v>3</v>
      </c>
      <c r="AO6" s="91" t="s">
        <v>17</v>
      </c>
      <c r="AP6" s="92" t="s">
        <v>3</v>
      </c>
      <c r="AQ6" s="88" t="s">
        <v>53</v>
      </c>
    </row>
    <row r="7" spans="1:43">
      <c r="A7" s="90">
        <v>1</v>
      </c>
      <c r="B7" s="92" t="s">
        <v>54</v>
      </c>
      <c r="C7" s="94">
        <f>C6*销量!C8</f>
        <v>4566371.6814159295</v>
      </c>
      <c r="D7" s="94">
        <f>D6*销量!D8</f>
        <v>1141592.9203539824</v>
      </c>
      <c r="E7" s="94">
        <f>E6*销量!E8</f>
        <v>5455752.2123893807</v>
      </c>
      <c r="F7" s="94">
        <f>F6*销量!F8</f>
        <v>909292.03539823019</v>
      </c>
      <c r="G7" s="94">
        <f>G6*销量!G8</f>
        <v>1398230.0884955754</v>
      </c>
      <c r="H7" s="94">
        <f>H6*销量!H8</f>
        <v>0</v>
      </c>
      <c r="I7" s="94">
        <f>I6*销量!I8</f>
        <v>1725663.7168141594</v>
      </c>
      <c r="J7" s="94">
        <f>J6*销量!J8</f>
        <v>287610.61946902657</v>
      </c>
      <c r="K7" s="94">
        <f>K6*销量!K8</f>
        <v>51327.433628318591</v>
      </c>
      <c r="L7" s="94">
        <f>L6*销量!L8</f>
        <v>309734.51327433635</v>
      </c>
      <c r="M7" s="94">
        <f>M6*销量!M8</f>
        <v>61946.902654867263</v>
      </c>
      <c r="N7" s="94">
        <f t="shared" ref="N7:N15" si="0">+SUM(C7:M7)</f>
        <v>15907522.123893807</v>
      </c>
      <c r="O7" s="89"/>
      <c r="Y7" s="92" t="s">
        <v>54</v>
      </c>
      <c r="AO7" s="91" t="s">
        <v>55</v>
      </c>
      <c r="AP7" s="92" t="s">
        <v>54</v>
      </c>
      <c r="AQ7" s="88" t="s">
        <v>53</v>
      </c>
    </row>
    <row r="8" spans="1:43">
      <c r="A8" s="90">
        <v>2</v>
      </c>
      <c r="B8" s="90" t="s">
        <v>56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>
        <f t="shared" si="0"/>
        <v>0</v>
      </c>
      <c r="O8" s="107"/>
      <c r="Y8" s="90" t="s">
        <v>58</v>
      </c>
      <c r="AO8" s="91" t="s">
        <v>57</v>
      </c>
      <c r="AP8" s="90" t="s">
        <v>58</v>
      </c>
      <c r="AQ8" s="88" t="s">
        <v>53</v>
      </c>
    </row>
    <row r="9" spans="1:43">
      <c r="A9" s="90">
        <v>3</v>
      </c>
      <c r="B9" s="92" t="s">
        <v>59</v>
      </c>
      <c r="C9" s="94">
        <f t="shared" ref="C9:M9" si="1">+C7-C8</f>
        <v>4566371.6814159295</v>
      </c>
      <c r="D9" s="94">
        <f t="shared" ref="D9:E9" si="2">+D7-D8</f>
        <v>1141592.9203539824</v>
      </c>
      <c r="E9" s="94">
        <f t="shared" si="2"/>
        <v>5455752.2123893807</v>
      </c>
      <c r="F9" s="94">
        <f t="shared" si="1"/>
        <v>909292.03539823019</v>
      </c>
      <c r="G9" s="94">
        <f t="shared" si="1"/>
        <v>1398230.0884955754</v>
      </c>
      <c r="H9" s="94">
        <f t="shared" si="1"/>
        <v>0</v>
      </c>
      <c r="I9" s="94">
        <f t="shared" si="1"/>
        <v>1725663.7168141594</v>
      </c>
      <c r="J9" s="94">
        <f t="shared" si="1"/>
        <v>287610.61946902657</v>
      </c>
      <c r="K9" s="94">
        <f t="shared" si="1"/>
        <v>51327.433628318591</v>
      </c>
      <c r="L9" s="94">
        <f t="shared" si="1"/>
        <v>309734.51327433635</v>
      </c>
      <c r="M9" s="94">
        <f t="shared" si="1"/>
        <v>61946.902654867263</v>
      </c>
      <c r="N9" s="94">
        <f t="shared" si="0"/>
        <v>15907522.123893807</v>
      </c>
      <c r="Y9" s="92" t="s">
        <v>59</v>
      </c>
      <c r="AO9" s="91" t="s">
        <v>60</v>
      </c>
      <c r="AP9" s="92" t="s">
        <v>59</v>
      </c>
      <c r="AQ9" s="88" t="s">
        <v>61</v>
      </c>
    </row>
    <row r="10" spans="1:43">
      <c r="A10" s="90">
        <v>4</v>
      </c>
      <c r="B10" s="91" t="s">
        <v>62</v>
      </c>
      <c r="C10" s="94">
        <f t="shared" ref="C10:M10" si="3">C6*C33</f>
        <v>3664798.8473338042</v>
      </c>
      <c r="D10" s="94">
        <f t="shared" si="3"/>
        <v>909508.01945249888</v>
      </c>
      <c r="E10" s="94">
        <f t="shared" si="3"/>
        <v>4107602.6908407067</v>
      </c>
      <c r="F10" s="94">
        <f t="shared" si="3"/>
        <v>677908.75609249889</v>
      </c>
      <c r="G10" s="94">
        <f t="shared" si="3"/>
        <v>1271375.2414139395</v>
      </c>
      <c r="H10" s="94">
        <f t="shared" si="3"/>
        <v>0</v>
      </c>
      <c r="I10" s="94">
        <f t="shared" si="3"/>
        <v>1504098.988701903</v>
      </c>
      <c r="J10" s="94">
        <f t="shared" si="3"/>
        <v>248118.91049816477</v>
      </c>
      <c r="K10" s="94">
        <f t="shared" si="3"/>
        <v>43780.169491008492</v>
      </c>
      <c r="L10" s="94">
        <f t="shared" si="3"/>
        <v>216091.92857142855</v>
      </c>
      <c r="M10" s="94">
        <f t="shared" si="3"/>
        <v>43218.385714285709</v>
      </c>
      <c r="N10" s="94">
        <f t="shared" si="0"/>
        <v>12686501.938110236</v>
      </c>
      <c r="Y10" s="91" t="s">
        <v>62</v>
      </c>
      <c r="AO10" s="91" t="s">
        <v>63</v>
      </c>
      <c r="AP10" s="91" t="s">
        <v>62</v>
      </c>
      <c r="AQ10" s="88" t="s">
        <v>64</v>
      </c>
    </row>
    <row r="11" spans="1:43">
      <c r="A11" s="90">
        <v>5</v>
      </c>
      <c r="B11" s="91" t="s">
        <v>65</v>
      </c>
      <c r="C11" s="94">
        <f t="shared" ref="C11:M11" si="4">+C6*C36</f>
        <v>196810.61946902657</v>
      </c>
      <c r="D11" s="94">
        <f t="shared" si="4"/>
        <v>49202.654867256642</v>
      </c>
      <c r="E11" s="94">
        <f t="shared" si="4"/>
        <v>235142.92035398231</v>
      </c>
      <c r="F11" s="94">
        <f t="shared" si="4"/>
        <v>39190.486725663715</v>
      </c>
      <c r="G11" s="94">
        <f t="shared" si="4"/>
        <v>60263.716814159292</v>
      </c>
      <c r="H11" s="94">
        <f t="shared" si="4"/>
        <v>0</v>
      </c>
      <c r="I11" s="94">
        <f t="shared" si="4"/>
        <v>74376.106194690277</v>
      </c>
      <c r="J11" s="94">
        <f t="shared" si="4"/>
        <v>12396.017699115046</v>
      </c>
      <c r="K11" s="94">
        <f t="shared" si="4"/>
        <v>2212.2123893805315</v>
      </c>
      <c r="L11" s="94">
        <f t="shared" si="4"/>
        <v>13349.557522123896</v>
      </c>
      <c r="M11" s="94">
        <f t="shared" si="4"/>
        <v>2669.9115044247792</v>
      </c>
      <c r="N11" s="94">
        <f t="shared" si="0"/>
        <v>685614.20353982307</v>
      </c>
      <c r="Y11" s="91" t="s">
        <v>65</v>
      </c>
      <c r="AO11" s="91" t="s">
        <v>66</v>
      </c>
      <c r="AP11" s="91" t="s">
        <v>65</v>
      </c>
    </row>
    <row r="12" spans="1:43">
      <c r="A12" s="90">
        <v>6</v>
      </c>
      <c r="B12" s="91" t="s">
        <v>67</v>
      </c>
      <c r="C12" s="94">
        <f>+C6*C37</f>
        <v>99090.265486725679</v>
      </c>
      <c r="D12" s="94">
        <f t="shared" ref="D12:M12" si="5">+D6*D37</f>
        <v>24772.56637168142</v>
      </c>
      <c r="E12" s="94">
        <f t="shared" si="5"/>
        <v>118389.82300884958</v>
      </c>
      <c r="F12" s="94">
        <f t="shared" si="5"/>
        <v>19731.637168141595</v>
      </c>
      <c r="G12" s="94">
        <f t="shared" si="5"/>
        <v>30341.592920353985</v>
      </c>
      <c r="H12" s="94">
        <f t="shared" si="5"/>
        <v>0</v>
      </c>
      <c r="I12" s="94">
        <f t="shared" si="5"/>
        <v>37446.902654867263</v>
      </c>
      <c r="J12" s="94">
        <f t="shared" si="5"/>
        <v>6241.1504424778768</v>
      </c>
      <c r="K12" s="94">
        <f t="shared" si="5"/>
        <v>1113.8053097345135</v>
      </c>
      <c r="L12" s="94">
        <f t="shared" si="5"/>
        <v>6721.2389380530994</v>
      </c>
      <c r="M12" s="94">
        <f t="shared" si="5"/>
        <v>1344.2477876106198</v>
      </c>
      <c r="N12" s="94">
        <f t="shared" si="0"/>
        <v>345193.23008849571</v>
      </c>
      <c r="Y12" s="91" t="s">
        <v>67</v>
      </c>
      <c r="AO12" s="91" t="s">
        <v>68</v>
      </c>
      <c r="AP12" s="91" t="s">
        <v>67</v>
      </c>
    </row>
    <row r="13" spans="1:43">
      <c r="A13" s="90">
        <v>7</v>
      </c>
      <c r="B13" s="91" t="s">
        <v>69</v>
      </c>
      <c r="C13" s="94">
        <f>+C6*C38</f>
        <v>200920.35398230091</v>
      </c>
      <c r="D13" s="94">
        <f t="shared" ref="D13:M13" si="6">+D6*D38</f>
        <v>50230.088495575226</v>
      </c>
      <c r="E13" s="94">
        <f t="shared" si="6"/>
        <v>240053.09734513276</v>
      </c>
      <c r="F13" s="94">
        <f t="shared" si="6"/>
        <v>40008.849557522124</v>
      </c>
      <c r="G13" s="94">
        <f t="shared" si="6"/>
        <v>61522.123893805307</v>
      </c>
      <c r="H13" s="94">
        <f t="shared" si="6"/>
        <v>0</v>
      </c>
      <c r="I13" s="94">
        <f t="shared" si="6"/>
        <v>75929.203539823007</v>
      </c>
      <c r="J13" s="94">
        <f t="shared" si="6"/>
        <v>12654.867256637168</v>
      </c>
      <c r="K13" s="94">
        <f t="shared" si="6"/>
        <v>2258.4070796460178</v>
      </c>
      <c r="L13" s="94">
        <f t="shared" si="6"/>
        <v>13628.318584070797</v>
      </c>
      <c r="M13" s="94">
        <f t="shared" si="6"/>
        <v>2725.6637168141597</v>
      </c>
      <c r="N13" s="94">
        <f t="shared" si="0"/>
        <v>699930.97345132753</v>
      </c>
      <c r="Y13" s="91" t="s">
        <v>69</v>
      </c>
      <c r="AO13" s="91" t="s">
        <v>70</v>
      </c>
      <c r="AP13" s="91" t="s">
        <v>69</v>
      </c>
      <c r="AQ13" s="88" t="s">
        <v>53</v>
      </c>
    </row>
    <row r="14" spans="1:43">
      <c r="A14" s="90">
        <v>8</v>
      </c>
      <c r="B14" s="95" t="s">
        <v>71</v>
      </c>
      <c r="C14" s="94">
        <f>SUM(C11:C13)</f>
        <v>496821.23893805314</v>
      </c>
      <c r="D14" s="94">
        <f t="shared" ref="D14:M14" si="7">SUM(D11:D13)</f>
        <v>124205.30973451328</v>
      </c>
      <c r="E14" s="94">
        <f t="shared" si="7"/>
        <v>593585.84070796461</v>
      </c>
      <c r="F14" s="94">
        <f t="shared" si="7"/>
        <v>98930.973451327445</v>
      </c>
      <c r="G14" s="94">
        <f t="shared" si="7"/>
        <v>152127.4336283186</v>
      </c>
      <c r="H14" s="94">
        <f t="shared" si="7"/>
        <v>0</v>
      </c>
      <c r="I14" s="94">
        <f t="shared" si="7"/>
        <v>187752.21238938055</v>
      </c>
      <c r="J14" s="94">
        <f t="shared" si="7"/>
        <v>31292.035398230091</v>
      </c>
      <c r="K14" s="94">
        <f t="shared" si="7"/>
        <v>5584.424778761062</v>
      </c>
      <c r="L14" s="94">
        <f t="shared" si="7"/>
        <v>33699.115044247796</v>
      </c>
      <c r="M14" s="94">
        <f t="shared" si="7"/>
        <v>6739.8230088495584</v>
      </c>
      <c r="N14" s="94">
        <f t="shared" si="0"/>
        <v>1730738.4070796461</v>
      </c>
      <c r="Y14" s="95" t="s">
        <v>71</v>
      </c>
      <c r="AO14" s="91" t="s">
        <v>72</v>
      </c>
      <c r="AP14" s="95" t="s">
        <v>71</v>
      </c>
    </row>
    <row r="15" spans="1:43">
      <c r="A15" s="90">
        <v>9</v>
      </c>
      <c r="B15" s="95" t="s">
        <v>73</v>
      </c>
      <c r="C15" s="94">
        <f>+C9-C10-C14</f>
        <v>404751.59514407208</v>
      </c>
      <c r="D15" s="94">
        <f t="shared" ref="D15:M15" si="8">+D9-D10-D14</f>
        <v>107879.5911669702</v>
      </c>
      <c r="E15" s="94">
        <f t="shared" si="8"/>
        <v>754563.68084070936</v>
      </c>
      <c r="F15" s="94">
        <f t="shared" si="8"/>
        <v>132452.30585440385</v>
      </c>
      <c r="G15" s="94">
        <f t="shared" si="8"/>
        <v>-25272.586546682753</v>
      </c>
      <c r="H15" s="94">
        <f t="shared" si="8"/>
        <v>0</v>
      </c>
      <c r="I15" s="94">
        <f t="shared" si="8"/>
        <v>33812.515722875833</v>
      </c>
      <c r="J15" s="94">
        <f t="shared" si="8"/>
        <v>8199.6735726317092</v>
      </c>
      <c r="K15" s="94">
        <f t="shared" si="8"/>
        <v>1962.8393585490376</v>
      </c>
      <c r="L15" s="94">
        <f t="shared" si="8"/>
        <v>59943.469658660004</v>
      </c>
      <c r="M15" s="94">
        <f t="shared" si="8"/>
        <v>11988.693931731996</v>
      </c>
      <c r="N15" s="94">
        <f t="shared" si="0"/>
        <v>1490281.7787039217</v>
      </c>
      <c r="Y15" s="95" t="s">
        <v>73</v>
      </c>
      <c r="AO15" s="91" t="s">
        <v>74</v>
      </c>
      <c r="AP15" s="95" t="s">
        <v>73</v>
      </c>
    </row>
    <row r="16" spans="1:43">
      <c r="A16" s="90">
        <v>10</v>
      </c>
      <c r="B16" s="91" t="s">
        <v>75</v>
      </c>
      <c r="C16" s="96">
        <f>+C15/C9</f>
        <v>8.8637461727287092E-2</v>
      </c>
      <c r="D16" s="96">
        <f t="shared" ref="D16:N16" si="9">+D15/D9</f>
        <v>9.4499176758663816E-2</v>
      </c>
      <c r="E16" s="96">
        <f t="shared" si="9"/>
        <v>0.13830607613138712</v>
      </c>
      <c r="F16" s="96">
        <f t="shared" si="9"/>
        <v>0.14566530960143681</v>
      </c>
      <c r="G16" s="96">
        <f t="shared" si="9"/>
        <v>-1.8074697973260449E-2</v>
      </c>
      <c r="H16" s="96" t="e">
        <f t="shared" si="9"/>
        <v>#DIV/0!</v>
      </c>
      <c r="I16" s="96">
        <f t="shared" si="9"/>
        <v>1.9593919367615224E-2</v>
      </c>
      <c r="J16" s="96">
        <f t="shared" si="9"/>
        <v>2.8509634267919481E-2</v>
      </c>
      <c r="K16" s="96">
        <f t="shared" si="9"/>
        <v>3.8241525433800209E-2</v>
      </c>
      <c r="L16" s="96">
        <f t="shared" si="9"/>
        <v>0.19353177346938796</v>
      </c>
      <c r="M16" s="96">
        <f t="shared" si="9"/>
        <v>0.19353177346938791</v>
      </c>
      <c r="N16" s="96">
        <f t="shared" si="9"/>
        <v>9.3684092789376172E-2</v>
      </c>
      <c r="Y16" s="91" t="s">
        <v>75</v>
      </c>
      <c r="AO16" s="91" t="s">
        <v>76</v>
      </c>
      <c r="AP16" s="91" t="s">
        <v>75</v>
      </c>
    </row>
    <row r="17" spans="1:43">
      <c r="A17" s="90">
        <v>11</v>
      </c>
      <c r="B17" s="91" t="s">
        <v>77</v>
      </c>
      <c r="C17" s="94">
        <f>C6*C43+C18</f>
        <v>401471.95118876535</v>
      </c>
      <c r="D17" s="94">
        <f>D6*D43+D18</f>
        <v>100367.98779719134</v>
      </c>
      <c r="E17" s="94">
        <f t="shared" ref="E17:M17" si="10">E6*E43+E18</f>
        <v>545061.90908403299</v>
      </c>
      <c r="F17" s="94">
        <f t="shared" si="10"/>
        <v>90843.651514005498</v>
      </c>
      <c r="G17" s="94">
        <f t="shared" si="10"/>
        <v>271578.14587903081</v>
      </c>
      <c r="H17" s="94">
        <f t="shared" si="10"/>
        <v>0</v>
      </c>
      <c r="I17" s="94">
        <f t="shared" si="10"/>
        <v>392128.28076544893</v>
      </c>
      <c r="J17" s="94">
        <f t="shared" si="10"/>
        <v>65354.713460908148</v>
      </c>
      <c r="K17" s="94">
        <f t="shared" si="10"/>
        <v>7460.6925850288681</v>
      </c>
      <c r="L17" s="94">
        <f t="shared" si="10"/>
        <v>548325.89567102841</v>
      </c>
      <c r="M17" s="94">
        <f t="shared" si="10"/>
        <v>109665.17913420568</v>
      </c>
      <c r="N17" s="94">
        <f>+SUM(C17:M17)</f>
        <v>2532258.4070796464</v>
      </c>
      <c r="O17" s="107"/>
      <c r="Y17" s="91" t="s">
        <v>77</v>
      </c>
      <c r="AO17" s="91" t="s">
        <v>78</v>
      </c>
      <c r="AP17" s="91" t="s">
        <v>77</v>
      </c>
    </row>
    <row r="18" spans="1:43" s="86" customFormat="1">
      <c r="A18" s="90">
        <v>12</v>
      </c>
      <c r="B18" s="97" t="s">
        <v>168</v>
      </c>
      <c r="C18" s="98">
        <f>$N$18/$N$6*C6</f>
        <v>214250.71225071224</v>
      </c>
      <c r="D18" s="98">
        <f>$N$18/$N$6*D6</f>
        <v>53562.67806267806</v>
      </c>
      <c r="E18" s="98">
        <f t="shared" ref="E18:M18" si="11">$N$18/$N$6*E6</f>
        <v>321376.06837606838</v>
      </c>
      <c r="F18" s="98">
        <f t="shared" si="11"/>
        <v>53562.67806267806</v>
      </c>
      <c r="G18" s="98">
        <f t="shared" si="11"/>
        <v>214250.71225071224</v>
      </c>
      <c r="H18" s="98">
        <f t="shared" si="11"/>
        <v>0</v>
      </c>
      <c r="I18" s="98">
        <f t="shared" si="11"/>
        <v>321376.06837606838</v>
      </c>
      <c r="J18" s="98">
        <f t="shared" si="11"/>
        <v>53562.67806267806</v>
      </c>
      <c r="K18" s="98">
        <f t="shared" si="11"/>
        <v>5356.267806267806</v>
      </c>
      <c r="L18" s="98">
        <f t="shared" si="11"/>
        <v>535626.78062678059</v>
      </c>
      <c r="M18" s="98">
        <f t="shared" si="11"/>
        <v>107125.35612535612</v>
      </c>
      <c r="N18" s="94">
        <f>项目投资!D26</f>
        <v>1880050</v>
      </c>
      <c r="O18" s="109" t="s">
        <v>169</v>
      </c>
      <c r="P18" s="109"/>
      <c r="Q18" s="109"/>
    </row>
    <row r="19" spans="1:43">
      <c r="A19" s="90">
        <v>13</v>
      </c>
      <c r="B19" s="91" t="s">
        <v>79</v>
      </c>
      <c r="C19" s="94">
        <f>C6*C44</f>
        <v>31964.601769911511</v>
      </c>
      <c r="D19" s="94">
        <f t="shared" ref="D19:M19" si="12">D6*D44</f>
        <v>7991.1504424778777</v>
      </c>
      <c r="E19" s="94">
        <f t="shared" si="12"/>
        <v>38190.265486725664</v>
      </c>
      <c r="F19" s="94">
        <f t="shared" si="12"/>
        <v>6365.0442477876113</v>
      </c>
      <c r="G19" s="94">
        <f t="shared" si="12"/>
        <v>9787.6106194690274</v>
      </c>
      <c r="H19" s="94">
        <f t="shared" si="12"/>
        <v>0</v>
      </c>
      <c r="I19" s="94">
        <f t="shared" si="12"/>
        <v>12079.646017699117</v>
      </c>
      <c r="J19" s="94">
        <f t="shared" si="12"/>
        <v>2013.2743362831861</v>
      </c>
      <c r="K19" s="94">
        <f t="shared" si="12"/>
        <v>359.29203539823015</v>
      </c>
      <c r="L19" s="94">
        <f t="shared" si="12"/>
        <v>2168.1415929203545</v>
      </c>
      <c r="M19" s="94">
        <f t="shared" si="12"/>
        <v>433.62831858407088</v>
      </c>
      <c r="N19" s="94">
        <f t="shared" ref="N19:N20" si="13">+SUM(C19:M19)</f>
        <v>111352.65486725664</v>
      </c>
      <c r="O19" s="86"/>
      <c r="Y19" s="91" t="s">
        <v>79</v>
      </c>
      <c r="AO19" s="91" t="s">
        <v>80</v>
      </c>
      <c r="AP19" s="91" t="s">
        <v>79</v>
      </c>
      <c r="AQ19" s="88" t="s">
        <v>53</v>
      </c>
    </row>
    <row r="20" spans="1:43">
      <c r="A20" s="90">
        <v>14</v>
      </c>
      <c r="B20" s="91" t="s">
        <v>81</v>
      </c>
      <c r="C20" s="94">
        <f>C6*C45</f>
        <v>155256.63716814163</v>
      </c>
      <c r="D20" s="94">
        <f t="shared" ref="D20:M20" si="14">D6*D45</f>
        <v>38814.159292035409</v>
      </c>
      <c r="E20" s="94">
        <f t="shared" si="14"/>
        <v>185495.57522123898</v>
      </c>
      <c r="F20" s="94">
        <f t="shared" si="14"/>
        <v>30915.929203539828</v>
      </c>
      <c r="G20" s="94">
        <f t="shared" si="14"/>
        <v>47539.823008849562</v>
      </c>
      <c r="H20" s="94">
        <f t="shared" si="14"/>
        <v>0</v>
      </c>
      <c r="I20" s="94">
        <f t="shared" si="14"/>
        <v>58672.566371681423</v>
      </c>
      <c r="J20" s="94">
        <f t="shared" si="14"/>
        <v>9778.7610619469033</v>
      </c>
      <c r="K20" s="94">
        <f t="shared" si="14"/>
        <v>1745.1327433628321</v>
      </c>
      <c r="L20" s="94">
        <f t="shared" si="14"/>
        <v>10530.973451327436</v>
      </c>
      <c r="M20" s="94">
        <f t="shared" si="14"/>
        <v>2106.1946902654872</v>
      </c>
      <c r="N20" s="94">
        <f t="shared" si="13"/>
        <v>540855.75221238949</v>
      </c>
      <c r="Y20" s="91" t="s">
        <v>81</v>
      </c>
      <c r="AO20" s="91" t="s">
        <v>82</v>
      </c>
      <c r="AP20" s="91" t="s">
        <v>81</v>
      </c>
    </row>
    <row r="21" spans="1:43">
      <c r="A21" s="90">
        <v>15</v>
      </c>
      <c r="B21" s="91" t="s">
        <v>83</v>
      </c>
      <c r="C21" s="99">
        <f>$N$21/$N$6*C6</f>
        <v>52148.148148148146</v>
      </c>
      <c r="D21" s="99">
        <f t="shared" ref="D21:M21" si="15">$N$21/$N$6*D6</f>
        <v>13037.037037037036</v>
      </c>
      <c r="E21" s="99">
        <f t="shared" si="15"/>
        <v>78222.222222222219</v>
      </c>
      <c r="F21" s="99">
        <f t="shared" si="15"/>
        <v>13037.037037037036</v>
      </c>
      <c r="G21" s="99">
        <f t="shared" si="15"/>
        <v>52148.148148148146</v>
      </c>
      <c r="H21" s="99">
        <f t="shared" si="15"/>
        <v>0</v>
      </c>
      <c r="I21" s="99">
        <f t="shared" si="15"/>
        <v>78222.222222222219</v>
      </c>
      <c r="J21" s="99">
        <f t="shared" si="15"/>
        <v>13037.037037037036</v>
      </c>
      <c r="K21" s="99">
        <f t="shared" si="15"/>
        <v>1303.7037037037037</v>
      </c>
      <c r="L21" s="99">
        <f t="shared" si="15"/>
        <v>130370.37037037036</v>
      </c>
      <c r="M21" s="99">
        <f t="shared" si="15"/>
        <v>26074.074074074073</v>
      </c>
      <c r="N21" s="94">
        <f>项目投资!D27</f>
        <v>457600</v>
      </c>
      <c r="Y21" s="91" t="s">
        <v>83</v>
      </c>
      <c r="AO21" s="91"/>
      <c r="AP21" s="91"/>
    </row>
    <row r="22" spans="1:43">
      <c r="A22" s="90">
        <v>16</v>
      </c>
      <c r="B22" s="91" t="s">
        <v>84</v>
      </c>
      <c r="C22" s="94">
        <f>C6*C47</f>
        <v>136991.15044247787</v>
      </c>
      <c r="D22" s="94">
        <f t="shared" ref="D22:M22" si="16">D6*D47</f>
        <v>34247.787610619467</v>
      </c>
      <c r="E22" s="94">
        <f t="shared" si="16"/>
        <v>163672.5663716814</v>
      </c>
      <c r="F22" s="94">
        <f t="shared" si="16"/>
        <v>27278.761061946901</v>
      </c>
      <c r="G22" s="94">
        <f t="shared" si="16"/>
        <v>41946.902654867255</v>
      </c>
      <c r="H22" s="94">
        <f t="shared" si="16"/>
        <v>0</v>
      </c>
      <c r="I22" s="94">
        <f t="shared" si="16"/>
        <v>51769.911504424781</v>
      </c>
      <c r="J22" s="94">
        <f t="shared" si="16"/>
        <v>8628.3185840707974</v>
      </c>
      <c r="K22" s="94">
        <f t="shared" si="16"/>
        <v>1539.8230088495577</v>
      </c>
      <c r="L22" s="94">
        <f t="shared" si="16"/>
        <v>9292.0353982300894</v>
      </c>
      <c r="M22" s="94">
        <f t="shared" si="16"/>
        <v>1858.407079646018</v>
      </c>
      <c r="N22" s="94">
        <f>+SUM(C22:M22)</f>
        <v>477225.66371681413</v>
      </c>
      <c r="Y22" s="91" t="s">
        <v>84</v>
      </c>
      <c r="AO22" s="91" t="s">
        <v>85</v>
      </c>
      <c r="AP22" s="91" t="s">
        <v>84</v>
      </c>
    </row>
    <row r="23" spans="1:43">
      <c r="A23" s="90">
        <v>17</v>
      </c>
      <c r="B23" s="95" t="s">
        <v>86</v>
      </c>
      <c r="C23" s="99">
        <f t="shared" ref="C23:N23" si="17">+C22+C21+C20+C19+C17</f>
        <v>777832.48871744447</v>
      </c>
      <c r="D23" s="99">
        <f t="shared" si="17"/>
        <v>194458.12217936112</v>
      </c>
      <c r="E23" s="99">
        <f t="shared" si="17"/>
        <v>1010642.5383859013</v>
      </c>
      <c r="F23" s="99">
        <f t="shared" si="17"/>
        <v>168440.42306431686</v>
      </c>
      <c r="G23" s="99">
        <f t="shared" si="17"/>
        <v>423000.63031036477</v>
      </c>
      <c r="H23" s="99">
        <f t="shared" si="17"/>
        <v>0</v>
      </c>
      <c r="I23" s="99">
        <f t="shared" si="17"/>
        <v>592872.62688147649</v>
      </c>
      <c r="J23" s="99">
        <f t="shared" si="17"/>
        <v>98812.104480246082</v>
      </c>
      <c r="K23" s="99">
        <f t="shared" si="17"/>
        <v>12408.644076343191</v>
      </c>
      <c r="L23" s="99">
        <f t="shared" si="17"/>
        <v>700687.41648387664</v>
      </c>
      <c r="M23" s="99">
        <f t="shared" si="17"/>
        <v>140137.48329677532</v>
      </c>
      <c r="N23" s="99">
        <f t="shared" si="17"/>
        <v>4119292.4778761067</v>
      </c>
      <c r="Y23" s="95" t="s">
        <v>86</v>
      </c>
      <c r="AO23" s="91" t="s">
        <v>87</v>
      </c>
      <c r="AP23" s="95" t="s">
        <v>86</v>
      </c>
    </row>
    <row r="24" spans="1:43">
      <c r="A24" s="90">
        <v>18</v>
      </c>
      <c r="B24" s="100" t="s">
        <v>88</v>
      </c>
      <c r="C24" s="99">
        <f>+C15-C23</f>
        <v>-373080.89357337239</v>
      </c>
      <c r="D24" s="99">
        <f t="shared" ref="D24:N24" si="18">+D15-D23</f>
        <v>-86578.531012390915</v>
      </c>
      <c r="E24" s="99">
        <f t="shared" si="18"/>
        <v>-256078.85754519189</v>
      </c>
      <c r="F24" s="99">
        <f t="shared" si="18"/>
        <v>-35988.117209913005</v>
      </c>
      <c r="G24" s="99">
        <f t="shared" si="18"/>
        <v>-448273.21685704752</v>
      </c>
      <c r="H24" s="99">
        <f t="shared" si="18"/>
        <v>0</v>
      </c>
      <c r="I24" s="99">
        <f t="shared" si="18"/>
        <v>-559060.11115860066</v>
      </c>
      <c r="J24" s="99">
        <f t="shared" si="18"/>
        <v>-90612.430907614369</v>
      </c>
      <c r="K24" s="99">
        <f t="shared" si="18"/>
        <v>-10445.804717794153</v>
      </c>
      <c r="L24" s="99">
        <f t="shared" si="18"/>
        <v>-640743.94682521664</v>
      </c>
      <c r="M24" s="99">
        <f t="shared" si="18"/>
        <v>-128148.78936504333</v>
      </c>
      <c r="N24" s="99">
        <f t="shared" si="18"/>
        <v>-2629010.6991721848</v>
      </c>
      <c r="P24" s="110"/>
      <c r="Y24" s="91" t="s">
        <v>88</v>
      </c>
      <c r="AO24" s="91" t="s">
        <v>89</v>
      </c>
      <c r="AP24" s="91" t="s">
        <v>88</v>
      </c>
    </row>
    <row r="25" spans="1:43">
      <c r="A25" s="90">
        <v>19</v>
      </c>
      <c r="B25" s="91" t="s">
        <v>170</v>
      </c>
      <c r="C25" s="99">
        <f>IF(C24&lt;0,0,C24*0.25)</f>
        <v>0</v>
      </c>
      <c r="D25" s="99">
        <f t="shared" ref="D25:N25" si="19">IF(D24&lt;0,0,D24*0.25)</f>
        <v>0</v>
      </c>
      <c r="E25" s="99">
        <f t="shared" si="19"/>
        <v>0</v>
      </c>
      <c r="F25" s="99">
        <f t="shared" si="19"/>
        <v>0</v>
      </c>
      <c r="G25" s="99">
        <f t="shared" si="19"/>
        <v>0</v>
      </c>
      <c r="H25" s="99">
        <f t="shared" si="19"/>
        <v>0</v>
      </c>
      <c r="I25" s="99">
        <f t="shared" si="19"/>
        <v>0</v>
      </c>
      <c r="J25" s="99">
        <f t="shared" si="19"/>
        <v>0</v>
      </c>
      <c r="K25" s="99">
        <f t="shared" si="19"/>
        <v>0</v>
      </c>
      <c r="L25" s="99">
        <f t="shared" si="19"/>
        <v>0</v>
      </c>
      <c r="M25" s="99">
        <f t="shared" si="19"/>
        <v>0</v>
      </c>
      <c r="N25" s="99">
        <f t="shared" si="19"/>
        <v>0</v>
      </c>
      <c r="O25" s="2"/>
      <c r="P25" s="2"/>
      <c r="Q25" s="2"/>
      <c r="Y25" s="91" t="s">
        <v>34</v>
      </c>
      <c r="AO25" s="91" t="s">
        <v>90</v>
      </c>
      <c r="AP25" s="91" t="s">
        <v>34</v>
      </c>
    </row>
    <row r="26" spans="1:43">
      <c r="A26" s="90">
        <v>20</v>
      </c>
      <c r="B26" s="91" t="s">
        <v>91</v>
      </c>
      <c r="C26" s="99">
        <f>C24-C25</f>
        <v>-373080.89357337239</v>
      </c>
      <c r="D26" s="99">
        <f t="shared" ref="D26:M26" si="20">D24-D25</f>
        <v>-86578.531012390915</v>
      </c>
      <c r="E26" s="99">
        <f t="shared" si="20"/>
        <v>-256078.85754519189</v>
      </c>
      <c r="F26" s="99">
        <f t="shared" si="20"/>
        <v>-35988.117209913005</v>
      </c>
      <c r="G26" s="99">
        <f t="shared" si="20"/>
        <v>-448273.21685704752</v>
      </c>
      <c r="H26" s="99">
        <f t="shared" si="20"/>
        <v>0</v>
      </c>
      <c r="I26" s="99">
        <f t="shared" si="20"/>
        <v>-559060.11115860066</v>
      </c>
      <c r="J26" s="99">
        <f t="shared" si="20"/>
        <v>-90612.430907614369</v>
      </c>
      <c r="K26" s="99">
        <f t="shared" si="20"/>
        <v>-10445.804717794153</v>
      </c>
      <c r="L26" s="99">
        <f t="shared" si="20"/>
        <v>-640743.94682521664</v>
      </c>
      <c r="M26" s="99">
        <f t="shared" si="20"/>
        <v>-128148.78936504333</v>
      </c>
      <c r="N26" s="94">
        <f>+SUM(C26:M26)</f>
        <v>-2629010.6991721848</v>
      </c>
      <c r="O26" s="2"/>
      <c r="P26" s="2"/>
      <c r="Q26" s="2"/>
      <c r="Y26" s="91" t="s">
        <v>91</v>
      </c>
      <c r="AO26" s="91" t="s">
        <v>92</v>
      </c>
      <c r="AP26" s="91" t="s">
        <v>91</v>
      </c>
    </row>
    <row r="27" spans="1:43">
      <c r="A27" s="90">
        <v>21</v>
      </c>
      <c r="B27" s="91" t="s">
        <v>95</v>
      </c>
      <c r="C27" s="101">
        <f>C26/C7</f>
        <v>-8.1701823592618364E-2</v>
      </c>
      <c r="D27" s="101">
        <f t="shared" ref="D27:N27" si="21">D26/D7</f>
        <v>-7.5840108561241654E-2</v>
      </c>
      <c r="E27" s="101">
        <f t="shared" si="21"/>
        <v>-4.6937406168056257E-2</v>
      </c>
      <c r="F27" s="101">
        <f t="shared" si="21"/>
        <v>-3.9578172698006515E-2</v>
      </c>
      <c r="G27" s="101">
        <f t="shared" si="21"/>
        <v>-0.32060046522054664</v>
      </c>
      <c r="H27" s="101" t="e">
        <f t="shared" si="21"/>
        <v>#DIV/0!</v>
      </c>
      <c r="I27" s="101">
        <f t="shared" si="21"/>
        <v>-0.32396816697908654</v>
      </c>
      <c r="J27" s="101">
        <f t="shared" si="21"/>
        <v>-0.31505245207878224</v>
      </c>
      <c r="K27" s="101">
        <f t="shared" si="21"/>
        <v>-0.20351309191564468</v>
      </c>
      <c r="L27" s="101">
        <f t="shared" si="21"/>
        <v>-2.0686875997499845</v>
      </c>
      <c r="M27" s="101">
        <f t="shared" si="21"/>
        <v>-2.068687599749985</v>
      </c>
      <c r="N27" s="101">
        <f t="shared" si="21"/>
        <v>-0.16526839810100238</v>
      </c>
      <c r="O27" s="2"/>
      <c r="P27" s="2"/>
      <c r="Q27" s="2"/>
      <c r="Y27" s="91" t="s">
        <v>95</v>
      </c>
      <c r="AO27" s="91" t="s">
        <v>94</v>
      </c>
      <c r="AP27" s="91" t="s">
        <v>95</v>
      </c>
    </row>
    <row r="28" spans="1:43">
      <c r="O28" s="2"/>
      <c r="P28" s="2"/>
      <c r="Q28" s="2"/>
      <c r="Y28" s="91"/>
    </row>
    <row r="29" spans="1:43">
      <c r="A29" s="88" t="s">
        <v>96</v>
      </c>
      <c r="N29" s="89" t="s">
        <v>171</v>
      </c>
      <c r="O29" s="2"/>
      <c r="P29" s="2"/>
      <c r="Q29" s="2"/>
      <c r="Y29" s="91"/>
      <c r="AO29" s="88" t="s">
        <v>96</v>
      </c>
    </row>
    <row r="30" spans="1:43">
      <c r="A30" s="91" t="s">
        <v>97</v>
      </c>
      <c r="B30" s="95" t="s">
        <v>98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2"/>
      <c r="P30" s="2"/>
      <c r="Q30" s="2"/>
      <c r="S30" s="2"/>
      <c r="Y30" s="95" t="s">
        <v>98</v>
      </c>
      <c r="AO30" s="91" t="s">
        <v>99</v>
      </c>
      <c r="AP30" s="95" t="s">
        <v>98</v>
      </c>
    </row>
    <row r="31" spans="1:43">
      <c r="A31" s="90">
        <v>1</v>
      </c>
      <c r="B31" s="97" t="s">
        <v>100</v>
      </c>
      <c r="C31" s="102">
        <f>销量!C8</f>
        <v>2283.1858407079649</v>
      </c>
      <c r="D31" s="102">
        <f>销量!D8</f>
        <v>2283.1858407079649</v>
      </c>
      <c r="E31" s="102">
        <f>销量!E8</f>
        <v>1818.5840707964603</v>
      </c>
      <c r="F31" s="102">
        <f>销量!F8</f>
        <v>1818.5840707964603</v>
      </c>
      <c r="G31" s="102">
        <f>销量!G8</f>
        <v>699.11504424778764</v>
      </c>
      <c r="H31" s="102">
        <f>销量!H8</f>
        <v>0</v>
      </c>
      <c r="I31" s="102">
        <f>销量!I8</f>
        <v>575.22123893805315</v>
      </c>
      <c r="J31" s="102">
        <f>销量!J8</f>
        <v>575.22123893805315</v>
      </c>
      <c r="K31" s="102">
        <f>销量!K8</f>
        <v>1026.5486725663718</v>
      </c>
      <c r="L31" s="102">
        <f>销量!L8</f>
        <v>61.946902654867266</v>
      </c>
      <c r="M31" s="102">
        <f>销量!M8</f>
        <v>61.946902654867266</v>
      </c>
      <c r="N31" s="99"/>
      <c r="O31" s="2"/>
      <c r="P31" s="2"/>
      <c r="Q31" s="2"/>
      <c r="S31" s="2"/>
      <c r="Y31" s="91" t="s">
        <v>100</v>
      </c>
      <c r="AO31" s="91" t="s">
        <v>55</v>
      </c>
      <c r="AP31" s="91" t="s">
        <v>100</v>
      </c>
    </row>
    <row r="32" spans="1:43">
      <c r="A32" s="90">
        <v>2</v>
      </c>
      <c r="B32" s="91" t="s">
        <v>172</v>
      </c>
      <c r="C32" s="94">
        <f t="shared" ref="C32:M32" si="22">C31*1</f>
        <v>2283.1858407079649</v>
      </c>
      <c r="D32" s="94">
        <f t="shared" ref="D32:F32" si="23">D31*1</f>
        <v>2283.1858407079649</v>
      </c>
      <c r="E32" s="94">
        <f t="shared" si="23"/>
        <v>1818.5840707964603</v>
      </c>
      <c r="F32" s="94">
        <f t="shared" si="23"/>
        <v>1818.5840707964603</v>
      </c>
      <c r="G32" s="94">
        <f t="shared" si="22"/>
        <v>699.11504424778764</v>
      </c>
      <c r="H32" s="94">
        <f t="shared" si="22"/>
        <v>0</v>
      </c>
      <c r="I32" s="94">
        <f t="shared" si="22"/>
        <v>575.22123893805315</v>
      </c>
      <c r="J32" s="94">
        <f t="shared" si="22"/>
        <v>575.22123893805315</v>
      </c>
      <c r="K32" s="94">
        <f t="shared" si="22"/>
        <v>1026.5486725663718</v>
      </c>
      <c r="L32" s="94">
        <f t="shared" si="22"/>
        <v>61.946902654867266</v>
      </c>
      <c r="M32" s="94">
        <f t="shared" si="22"/>
        <v>61.946902654867266</v>
      </c>
      <c r="N32" s="99"/>
      <c r="O32" s="2"/>
      <c r="P32" s="2"/>
      <c r="Q32" s="2"/>
      <c r="R32" s="2"/>
      <c r="S32" s="2"/>
      <c r="T32" s="2"/>
      <c r="U32" s="2"/>
      <c r="AO32" s="91"/>
      <c r="AP32" s="91"/>
    </row>
    <row r="33" spans="1:42">
      <c r="A33" s="90">
        <v>3</v>
      </c>
      <c r="B33" s="97" t="s">
        <v>101</v>
      </c>
      <c r="C33" s="94">
        <f>材料成本!D24</f>
        <v>1832.3994236669021</v>
      </c>
      <c r="D33" s="94">
        <f>材料成本!E24</f>
        <v>1819.0160389049977</v>
      </c>
      <c r="E33" s="94">
        <f>材料成本!F24</f>
        <v>1369.2008969469023</v>
      </c>
      <c r="F33" s="94">
        <f>材料成本!G24</f>
        <v>1355.8175121849979</v>
      </c>
      <c r="G33" s="94">
        <f>材料成本!H24</f>
        <v>635.68762070696971</v>
      </c>
      <c r="H33" s="94">
        <f>材料成本!I24</f>
        <v>0</v>
      </c>
      <c r="I33" s="94">
        <f>材料成本!J24</f>
        <v>501.36632956730102</v>
      </c>
      <c r="J33" s="94">
        <f>材料成本!K24</f>
        <v>496.23782099632956</v>
      </c>
      <c r="K33" s="94">
        <f>材料成本!L24</f>
        <v>875.60338982016981</v>
      </c>
      <c r="L33" s="94">
        <f>材料成本!M24</f>
        <v>43.218385714285709</v>
      </c>
      <c r="M33" s="94">
        <f>材料成本!N24</f>
        <v>43.218385714285709</v>
      </c>
      <c r="N33" s="99"/>
      <c r="P33" s="2"/>
      <c r="Q33" s="2"/>
      <c r="R33" s="2"/>
      <c r="S33" s="2"/>
      <c r="T33" s="2"/>
      <c r="U33" s="2"/>
      <c r="Y33" s="91" t="s">
        <v>101</v>
      </c>
      <c r="AO33" s="91" t="s">
        <v>57</v>
      </c>
      <c r="AP33" s="91" t="s">
        <v>101</v>
      </c>
    </row>
    <row r="34" spans="1:42" ht="17.25" customHeight="1">
      <c r="A34" s="90">
        <v>4</v>
      </c>
      <c r="B34" s="91" t="s">
        <v>103</v>
      </c>
      <c r="C34" s="103">
        <f>C32-C33</f>
        <v>450.7864170410628</v>
      </c>
      <c r="D34" s="103">
        <f t="shared" ref="D34:M34" si="24">D32-D33</f>
        <v>464.16980180296719</v>
      </c>
      <c r="E34" s="103">
        <f t="shared" si="24"/>
        <v>449.38317384955803</v>
      </c>
      <c r="F34" s="103">
        <f t="shared" si="24"/>
        <v>462.76655861146241</v>
      </c>
      <c r="G34" s="103">
        <f t="shared" si="24"/>
        <v>63.427423540817927</v>
      </c>
      <c r="H34" s="103">
        <f t="shared" si="24"/>
        <v>0</v>
      </c>
      <c r="I34" s="103">
        <f t="shared" si="24"/>
        <v>73.854909370752125</v>
      </c>
      <c r="J34" s="103">
        <f t="shared" si="24"/>
        <v>78.983417941723587</v>
      </c>
      <c r="K34" s="103">
        <f t="shared" si="24"/>
        <v>150.945282746202</v>
      </c>
      <c r="L34" s="103">
        <f t="shared" si="24"/>
        <v>18.728516940581557</v>
      </c>
      <c r="M34" s="103">
        <f t="shared" si="24"/>
        <v>18.728516940581557</v>
      </c>
      <c r="N34" s="99"/>
      <c r="P34" s="2"/>
      <c r="Q34" s="2"/>
      <c r="R34" s="2"/>
      <c r="S34" s="2"/>
      <c r="T34" s="2"/>
      <c r="U34" s="2"/>
      <c r="Y34" s="91" t="s">
        <v>103</v>
      </c>
      <c r="AO34" s="91" t="s">
        <v>102</v>
      </c>
      <c r="AP34" s="91" t="s">
        <v>103</v>
      </c>
    </row>
    <row r="35" spans="1:42">
      <c r="A35" s="91" t="s">
        <v>99</v>
      </c>
      <c r="B35" s="95" t="s">
        <v>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2"/>
      <c r="P35" s="2"/>
      <c r="Q35" s="2"/>
      <c r="R35" s="2"/>
      <c r="S35" s="2"/>
      <c r="T35" s="2"/>
      <c r="U35" s="2"/>
      <c r="V35" s="2"/>
      <c r="W35" s="2"/>
      <c r="X35" s="2"/>
      <c r="Y35" s="95" t="s">
        <v>8</v>
      </c>
      <c r="AO35" s="91" t="s">
        <v>105</v>
      </c>
      <c r="AP35" s="95" t="s">
        <v>8</v>
      </c>
    </row>
    <row r="36" spans="1:42">
      <c r="A36" s="90">
        <v>1</v>
      </c>
      <c r="B36" s="91" t="s">
        <v>106</v>
      </c>
      <c r="C36" s="98">
        <f>标准成本!E4</f>
        <v>98.405309734513281</v>
      </c>
      <c r="D36" s="98">
        <f>标准成本!E16</f>
        <v>98.405309734513281</v>
      </c>
      <c r="E36" s="98">
        <f>标准成本!E29</f>
        <v>78.380973451327435</v>
      </c>
      <c r="F36" s="98">
        <f>标准成本!E42</f>
        <v>78.380973451327435</v>
      </c>
      <c r="G36" s="98">
        <f>标准成本!E55</f>
        <v>30.131858407079648</v>
      </c>
      <c r="H36" s="98">
        <f>标准成本!E68</f>
        <v>0</v>
      </c>
      <c r="I36" s="98">
        <f>标准成本!E81</f>
        <v>24.792035398230091</v>
      </c>
      <c r="J36" s="98">
        <f>标准成本!E94</f>
        <v>24.792035398230091</v>
      </c>
      <c r="K36" s="98">
        <f>标准成本!E107</f>
        <v>44.244247787610625</v>
      </c>
      <c r="L36" s="98">
        <f>标准成本!E120</f>
        <v>2.6699115044247792</v>
      </c>
      <c r="M36" s="98">
        <f>标准成本!E133</f>
        <v>2.6699115044247792</v>
      </c>
      <c r="N36" s="102"/>
      <c r="O36" s="2"/>
      <c r="P36" s="2"/>
      <c r="Q36" s="2"/>
      <c r="R36" s="2"/>
      <c r="S36" s="2"/>
      <c r="T36" s="2"/>
      <c r="U36" s="2"/>
      <c r="V36" s="2"/>
      <c r="W36" s="2"/>
      <c r="X36" s="2"/>
      <c r="Y36" s="91" t="s">
        <v>106</v>
      </c>
      <c r="AO36" s="91" t="s">
        <v>102</v>
      </c>
      <c r="AP36" s="91" t="s">
        <v>106</v>
      </c>
    </row>
    <row r="37" spans="1:42">
      <c r="A37" s="90">
        <v>2</v>
      </c>
      <c r="B37" s="91" t="s">
        <v>107</v>
      </c>
      <c r="C37" s="98">
        <f>标准成本!E6</f>
        <v>49.545132743362842</v>
      </c>
      <c r="D37" s="98">
        <f>标准成本!E18</f>
        <v>49.545132743362842</v>
      </c>
      <c r="E37" s="98">
        <f>标准成本!E31</f>
        <v>39.463274336283192</v>
      </c>
      <c r="F37" s="98">
        <f>标准成本!E44</f>
        <v>39.463274336283192</v>
      </c>
      <c r="G37" s="98">
        <f>标准成本!E57</f>
        <v>15.170796460176993</v>
      </c>
      <c r="H37" s="98">
        <f>标准成本!E70</f>
        <v>0</v>
      </c>
      <c r="I37" s="98">
        <f>标准成本!E83</f>
        <v>12.482300884955754</v>
      </c>
      <c r="J37" s="98">
        <f>标准成本!E96</f>
        <v>12.482300884955754</v>
      </c>
      <c r="K37" s="98">
        <f>标准成本!E109</f>
        <v>22.276106194690268</v>
      </c>
      <c r="L37" s="98">
        <f>标准成本!E122</f>
        <v>1.3442477876106198</v>
      </c>
      <c r="M37" s="98">
        <f>标准成本!E135</f>
        <v>1.3442477876106198</v>
      </c>
      <c r="N37" s="102"/>
      <c r="O37" s="2"/>
      <c r="P37" s="2"/>
      <c r="Q37" s="2"/>
      <c r="R37" s="2"/>
      <c r="S37" s="2"/>
      <c r="T37" s="2"/>
      <c r="U37" s="2"/>
      <c r="V37" s="2"/>
      <c r="W37" s="2"/>
      <c r="X37" s="2"/>
      <c r="Y37" s="91" t="s">
        <v>107</v>
      </c>
      <c r="AO37" s="91" t="s">
        <v>60</v>
      </c>
      <c r="AP37" s="91" t="s">
        <v>107</v>
      </c>
    </row>
    <row r="38" spans="1:42">
      <c r="A38" s="90">
        <v>3</v>
      </c>
      <c r="B38" s="91" t="s">
        <v>108</v>
      </c>
      <c r="C38" s="98">
        <f>标准成本!E10</f>
        <v>100.46017699115045</v>
      </c>
      <c r="D38" s="98">
        <f>标准成本!E22</f>
        <v>100.46017699115045</v>
      </c>
      <c r="E38" s="98">
        <f>标准成本!E35</f>
        <v>80.017699115044252</v>
      </c>
      <c r="F38" s="98">
        <f>标准成本!E48</f>
        <v>80.017699115044252</v>
      </c>
      <c r="G38" s="98">
        <f>标准成本!E61</f>
        <v>30.761061946902654</v>
      </c>
      <c r="H38" s="98">
        <f>标准成本!E74</f>
        <v>0</v>
      </c>
      <c r="I38" s="98">
        <f>标准成本!E87</f>
        <v>25.309734513274336</v>
      </c>
      <c r="J38" s="98">
        <f>标准成本!E100</f>
        <v>25.309734513274336</v>
      </c>
      <c r="K38" s="98">
        <f>标准成本!E113</f>
        <v>45.168141592920357</v>
      </c>
      <c r="L38" s="98">
        <f>标准成本!E126</f>
        <v>2.7256637168141595</v>
      </c>
      <c r="M38" s="98">
        <f>标准成本!E139</f>
        <v>2.7256637168141595</v>
      </c>
      <c r="N38" s="102"/>
      <c r="O38" s="2"/>
      <c r="P38" s="2"/>
      <c r="Q38" s="2"/>
      <c r="R38" s="2"/>
      <c r="S38" s="2"/>
      <c r="T38" s="2"/>
      <c r="U38" s="2"/>
      <c r="V38" s="2"/>
      <c r="W38" s="2"/>
      <c r="X38" s="2"/>
      <c r="Y38" s="91" t="s">
        <v>108</v>
      </c>
      <c r="AO38" s="91" t="s">
        <v>66</v>
      </c>
      <c r="AP38" s="91" t="s">
        <v>108</v>
      </c>
    </row>
    <row r="39" spans="1:42">
      <c r="A39" s="91" t="s">
        <v>105</v>
      </c>
      <c r="B39" s="95" t="s">
        <v>110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Y39" s="95" t="s">
        <v>110</v>
      </c>
      <c r="AO39" s="91" t="s">
        <v>109</v>
      </c>
      <c r="AP39" s="95" t="s">
        <v>110</v>
      </c>
    </row>
    <row r="40" spans="1:42">
      <c r="A40" s="90">
        <v>1</v>
      </c>
      <c r="B40" s="91" t="s">
        <v>112</v>
      </c>
      <c r="C40" s="99">
        <f>C34-C36-C37-C38</f>
        <v>202.37579757203628</v>
      </c>
      <c r="D40" s="99">
        <f t="shared" ref="D40:G40" si="25">D34-D36-D37-D38</f>
        <v>215.75918233394066</v>
      </c>
      <c r="E40" s="99">
        <f t="shared" si="25"/>
        <v>251.52122694690314</v>
      </c>
      <c r="F40" s="99">
        <f t="shared" si="25"/>
        <v>264.90461170880752</v>
      </c>
      <c r="G40" s="99">
        <f t="shared" si="25"/>
        <v>-12.636293273341369</v>
      </c>
      <c r="H40" s="99">
        <f t="shared" ref="H40:M40" si="26">H34-H36-H37-H38</f>
        <v>0</v>
      </c>
      <c r="I40" s="99">
        <f t="shared" si="26"/>
        <v>11.270838574291943</v>
      </c>
      <c r="J40" s="99">
        <f t="shared" si="26"/>
        <v>16.399347145263405</v>
      </c>
      <c r="K40" s="99">
        <f t="shared" si="26"/>
        <v>39.256787170980751</v>
      </c>
      <c r="L40" s="99">
        <f t="shared" si="26"/>
        <v>11.988693931732</v>
      </c>
      <c r="M40" s="99">
        <f t="shared" si="26"/>
        <v>11.988693931732</v>
      </c>
      <c r="N40" s="99"/>
      <c r="Y40" s="91" t="s">
        <v>112</v>
      </c>
      <c r="AO40" s="91" t="s">
        <v>55</v>
      </c>
      <c r="AP40" s="91" t="s">
        <v>112</v>
      </c>
    </row>
    <row r="41" spans="1:42">
      <c r="A41" s="90">
        <v>2</v>
      </c>
      <c r="B41" s="91" t="s">
        <v>113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Y41" s="91" t="s">
        <v>113</v>
      </c>
      <c r="AO41" s="91" t="s">
        <v>57</v>
      </c>
      <c r="AP41" s="91" t="s">
        <v>113</v>
      </c>
    </row>
    <row r="42" spans="1:42">
      <c r="A42" s="91" t="s">
        <v>109</v>
      </c>
      <c r="B42" s="95" t="s">
        <v>115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Y42" s="95" t="s">
        <v>115</v>
      </c>
      <c r="AO42" s="91" t="s">
        <v>114</v>
      </c>
      <c r="AP42" s="95" t="s">
        <v>115</v>
      </c>
    </row>
    <row r="43" spans="1:42">
      <c r="A43" s="90">
        <v>1</v>
      </c>
      <c r="B43" s="100" t="s">
        <v>116</v>
      </c>
      <c r="C43" s="98">
        <f>标准成本!E5</f>
        <v>93.61061946902656</v>
      </c>
      <c r="D43" s="98">
        <f>标准成本!E17</f>
        <v>93.61061946902656</v>
      </c>
      <c r="E43" s="98">
        <f>标准成本!E30</f>
        <v>74.561946902654881</v>
      </c>
      <c r="F43" s="98">
        <f>标准成本!E43</f>
        <v>74.561946902654881</v>
      </c>
      <c r="G43" s="98">
        <f>标准成本!E56</f>
        <v>28.663716814159294</v>
      </c>
      <c r="H43" s="98">
        <f>标准成本!E69</f>
        <v>0</v>
      </c>
      <c r="I43" s="98">
        <f>标准成本!E82</f>
        <v>23.584070796460178</v>
      </c>
      <c r="J43" s="98">
        <f>标准成本!E95</f>
        <v>23.584070796460178</v>
      </c>
      <c r="K43" s="98">
        <f>标准成本!E108</f>
        <v>42.088495575221245</v>
      </c>
      <c r="L43" s="98">
        <f>标准成本!E121</f>
        <v>2.5398230088495581</v>
      </c>
      <c r="M43" s="98">
        <f>标准成本!E134</f>
        <v>2.5398230088495581</v>
      </c>
      <c r="N43" s="99"/>
      <c r="Y43" s="91" t="s">
        <v>116</v>
      </c>
      <c r="AO43" s="91" t="s">
        <v>55</v>
      </c>
      <c r="AP43" s="91" t="s">
        <v>116</v>
      </c>
    </row>
    <row r="44" spans="1:42">
      <c r="A44" s="90">
        <v>2</v>
      </c>
      <c r="B44" s="100" t="s">
        <v>117</v>
      </c>
      <c r="C44" s="98">
        <f>标准成本!E9</f>
        <v>15.982300884955755</v>
      </c>
      <c r="D44" s="98">
        <f>标准成本!E21</f>
        <v>15.982300884955755</v>
      </c>
      <c r="E44" s="98">
        <f>标准成本!E34</f>
        <v>12.730088495575222</v>
      </c>
      <c r="F44" s="98">
        <f>标准成本!E47</f>
        <v>12.730088495575222</v>
      </c>
      <c r="G44" s="98">
        <f>标准成本!E60</f>
        <v>4.893805309734514</v>
      </c>
      <c r="H44" s="98">
        <f>标准成本!E73</f>
        <v>0</v>
      </c>
      <c r="I44" s="98">
        <f>标准成本!E86</f>
        <v>4.0265486725663724</v>
      </c>
      <c r="J44" s="98">
        <f>标准成本!E99</f>
        <v>4.0265486725663724</v>
      </c>
      <c r="K44" s="98">
        <f>标准成本!E112</f>
        <v>7.1858407079646032</v>
      </c>
      <c r="L44" s="98">
        <f>标准成本!E125</f>
        <v>0.43362831858407086</v>
      </c>
      <c r="M44" s="98">
        <f>标准成本!E138</f>
        <v>0.43362831858407086</v>
      </c>
      <c r="N44" s="99"/>
      <c r="Y44" s="91" t="s">
        <v>117</v>
      </c>
      <c r="AO44" s="91" t="s">
        <v>57</v>
      </c>
      <c r="AP44" s="91" t="s">
        <v>117</v>
      </c>
    </row>
    <row r="45" spans="1:42">
      <c r="A45" s="90">
        <v>3</v>
      </c>
      <c r="B45" s="100" t="s">
        <v>118</v>
      </c>
      <c r="C45" s="98">
        <f>标准成本!E8</f>
        <v>77.628318584070811</v>
      </c>
      <c r="D45" s="98">
        <f>标准成本!E20</f>
        <v>77.628318584070811</v>
      </c>
      <c r="E45" s="98">
        <f>标准成本!E33</f>
        <v>61.831858407079658</v>
      </c>
      <c r="F45" s="98">
        <f>标准成本!E46</f>
        <v>61.831858407079658</v>
      </c>
      <c r="G45" s="98">
        <f>标准成本!E59</f>
        <v>23.76991150442478</v>
      </c>
      <c r="H45" s="98">
        <f>标准成本!E72</f>
        <v>0</v>
      </c>
      <c r="I45" s="98">
        <f>标准成本!E85</f>
        <v>19.557522123893808</v>
      </c>
      <c r="J45" s="98">
        <f>标准成本!E98</f>
        <v>19.557522123893808</v>
      </c>
      <c r="K45" s="98">
        <f>标准成本!E111</f>
        <v>34.902654867256643</v>
      </c>
      <c r="L45" s="98">
        <f>标准成本!E124</f>
        <v>2.1061946902654873</v>
      </c>
      <c r="M45" s="98">
        <f>标准成本!E137</f>
        <v>2.1061946902654873</v>
      </c>
      <c r="N45" s="99"/>
      <c r="Y45" s="91" t="s">
        <v>118</v>
      </c>
      <c r="AO45" s="91" t="s">
        <v>102</v>
      </c>
      <c r="AP45" s="91" t="s">
        <v>118</v>
      </c>
    </row>
    <row r="46" spans="1:42" s="87" customFormat="1">
      <c r="A46" s="90">
        <v>4</v>
      </c>
      <c r="B46" s="100" t="s">
        <v>119</v>
      </c>
      <c r="C46" s="104">
        <f>C21/C6</f>
        <v>26.074074074074073</v>
      </c>
      <c r="D46" s="104">
        <f>D21/D6</f>
        <v>26.074074074074073</v>
      </c>
      <c r="E46" s="104">
        <f>E21/E6</f>
        <v>26.074074074074073</v>
      </c>
      <c r="F46" s="104">
        <f>F21/F6</f>
        <v>26.074074074074073</v>
      </c>
      <c r="G46" s="104">
        <f>G21/G6</f>
        <v>26.074074074074073</v>
      </c>
      <c r="H46" s="104" t="e">
        <f t="shared" ref="H46:M46" si="27">H21/H6</f>
        <v>#DIV/0!</v>
      </c>
      <c r="I46" s="104">
        <f t="shared" si="27"/>
        <v>26.074074074074073</v>
      </c>
      <c r="J46" s="104">
        <f t="shared" si="27"/>
        <v>26.074074074074073</v>
      </c>
      <c r="K46" s="104">
        <f t="shared" si="27"/>
        <v>26.074074074074073</v>
      </c>
      <c r="L46" s="104">
        <f t="shared" si="27"/>
        <v>26.074074074074073</v>
      </c>
      <c r="M46" s="104">
        <f t="shared" si="27"/>
        <v>26.074074074074073</v>
      </c>
      <c r="N46" s="104"/>
      <c r="Y46" s="100" t="s">
        <v>121</v>
      </c>
      <c r="AO46" s="100" t="s">
        <v>63</v>
      </c>
      <c r="AP46" s="100" t="s">
        <v>121</v>
      </c>
    </row>
    <row r="47" spans="1:42" s="87" customFormat="1">
      <c r="A47" s="90">
        <v>5</v>
      </c>
      <c r="B47" s="100" t="s">
        <v>121</v>
      </c>
      <c r="C47" s="104">
        <f>标准成本!E11</f>
        <v>68.495575221238937</v>
      </c>
      <c r="D47" s="104">
        <f>标准成本!E23</f>
        <v>68.495575221238937</v>
      </c>
      <c r="E47" s="104">
        <f>标准成本!E36</f>
        <v>54.557522123893804</v>
      </c>
      <c r="F47" s="104">
        <f>标准成本!E49</f>
        <v>54.557522123893804</v>
      </c>
      <c r="G47" s="104">
        <f>标准成本!E62</f>
        <v>20.973451327433629</v>
      </c>
      <c r="H47" s="104">
        <f>标准成本!E75</f>
        <v>0</v>
      </c>
      <c r="I47" s="104">
        <f>标准成本!E88</f>
        <v>17.256637168141594</v>
      </c>
      <c r="J47" s="104">
        <f>标准成本!E101</f>
        <v>17.256637168141594</v>
      </c>
      <c r="K47" s="104">
        <f>标准成本!E114</f>
        <v>30.796460176991154</v>
      </c>
      <c r="L47" s="104">
        <f>标准成本!E127</f>
        <v>1.8584070796460179</v>
      </c>
      <c r="M47" s="104">
        <f>标准成本!E140</f>
        <v>1.8584070796460179</v>
      </c>
      <c r="N47" s="104"/>
      <c r="Y47" s="100" t="s">
        <v>121</v>
      </c>
      <c r="AO47" s="100" t="s">
        <v>63</v>
      </c>
      <c r="AP47" s="100" t="s">
        <v>121</v>
      </c>
    </row>
    <row r="48" spans="1:42">
      <c r="A48" s="91" t="s">
        <v>114</v>
      </c>
      <c r="B48" s="95" t="s">
        <v>132</v>
      </c>
      <c r="C48" s="99">
        <f>C40-C43-C44-C45-C47-C46</f>
        <v>-79.41509066132987</v>
      </c>
      <c r="D48" s="99">
        <f>D40-D43-D44-D45-D47-D46</f>
        <v>-66.031705899425489</v>
      </c>
      <c r="E48" s="99">
        <f t="shared" ref="E48:M48" si="28">E40-E43-E44-E45-E47-E46</f>
        <v>21.765736943625502</v>
      </c>
      <c r="F48" s="99">
        <f t="shared" si="28"/>
        <v>35.149121705529879</v>
      </c>
      <c r="G48" s="99">
        <f t="shared" si="28"/>
        <v>-117.01125230316768</v>
      </c>
      <c r="H48" s="99" t="e">
        <f t="shared" si="28"/>
        <v>#DIV/0!</v>
      </c>
      <c r="I48" s="99">
        <f t="shared" si="28"/>
        <v>-79.228014260844091</v>
      </c>
      <c r="J48" s="99">
        <f t="shared" si="28"/>
        <v>-74.099505689872615</v>
      </c>
      <c r="K48" s="99">
        <f t="shared" si="28"/>
        <v>-101.79073823052697</v>
      </c>
      <c r="L48" s="99">
        <f t="shared" si="28"/>
        <v>-21.023433239687208</v>
      </c>
      <c r="M48" s="99">
        <f t="shared" si="28"/>
        <v>-21.023433239687208</v>
      </c>
      <c r="N48" s="99"/>
      <c r="Y48" s="95" t="s">
        <v>132</v>
      </c>
      <c r="AO48" s="91" t="s">
        <v>131</v>
      </c>
      <c r="AP48" s="95" t="s">
        <v>132</v>
      </c>
    </row>
    <row r="51" spans="2:19"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</row>
    <row r="54" spans="2:19">
      <c r="B54" s="2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2"/>
      <c r="P54" s="2"/>
      <c r="Q54" s="2"/>
      <c r="R54" s="2"/>
      <c r="S54" s="2"/>
    </row>
    <row r="55" spans="2:19">
      <c r="B55" s="2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2"/>
      <c r="P55" s="2"/>
      <c r="Q55" s="2"/>
      <c r="R55" s="2"/>
      <c r="S55" s="2"/>
    </row>
    <row r="56" spans="2:19">
      <c r="B56" s="2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"/>
      <c r="P56" s="2"/>
      <c r="Q56" s="2"/>
      <c r="R56" s="2"/>
      <c r="S56" s="2"/>
    </row>
    <row r="57" spans="2:19">
      <c r="B57" s="2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2"/>
      <c r="P57" s="2"/>
      <c r="Q57" s="2"/>
      <c r="R57" s="2"/>
      <c r="S57" s="2"/>
    </row>
    <row r="58" spans="2:19">
      <c r="B58" s="2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2"/>
      <c r="P58" s="2"/>
      <c r="Q58" s="2"/>
      <c r="R58" s="2"/>
      <c r="S58" s="2"/>
    </row>
    <row r="59" spans="2:19">
      <c r="B59" s="2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2"/>
      <c r="P59" s="2"/>
      <c r="Q59" s="2"/>
      <c r="R59" s="2"/>
      <c r="S59" s="2"/>
    </row>
    <row r="60" spans="2:19">
      <c r="B60" s="2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2"/>
      <c r="P60" s="2"/>
      <c r="Q60" s="2"/>
      <c r="R60" s="2"/>
      <c r="S60" s="2"/>
    </row>
    <row r="61" spans="2:19">
      <c r="B61" s="2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2"/>
      <c r="P61" s="2"/>
      <c r="Q61" s="2"/>
      <c r="R61" s="2"/>
      <c r="S61" s="2"/>
    </row>
    <row r="62" spans="2:19">
      <c r="B62" s="2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2"/>
      <c r="P62" s="2"/>
      <c r="Q62" s="2"/>
      <c r="R62" s="2"/>
      <c r="S62" s="2"/>
    </row>
    <row r="63" spans="2:19">
      <c r="B63" s="2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2"/>
      <c r="P63" s="2"/>
      <c r="Q63" s="2"/>
      <c r="R63" s="2"/>
      <c r="S63" s="2"/>
    </row>
    <row r="64" spans="2:19">
      <c r="B64" s="2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2"/>
      <c r="P64" s="2"/>
      <c r="Q64" s="2"/>
      <c r="R64" s="2"/>
      <c r="S64" s="2"/>
    </row>
    <row r="65" spans="2:19">
      <c r="B65" s="2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2"/>
      <c r="P65" s="2"/>
      <c r="Q65" s="2"/>
      <c r="R65" s="2"/>
      <c r="S65" s="2"/>
    </row>
    <row r="66" spans="2:19">
      <c r="B66" s="2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2"/>
      <c r="P66" s="2"/>
      <c r="Q66" s="2"/>
      <c r="R66" s="2"/>
      <c r="S66" s="2"/>
    </row>
    <row r="67" spans="2:19">
      <c r="B67" s="2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2"/>
    </row>
    <row r="68" spans="2:19">
      <c r="B68" s="2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2"/>
    </row>
    <row r="69" spans="2:19">
      <c r="B69" s="2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2"/>
    </row>
    <row r="70" spans="2:19">
      <c r="B70" s="2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2"/>
    </row>
    <row r="71" spans="2:19">
      <c r="B71" s="2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2"/>
    </row>
    <row r="72" spans="2:19">
      <c r="B72" s="2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2"/>
    </row>
    <row r="73" spans="2:19">
      <c r="B73" s="2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2"/>
    </row>
    <row r="74" spans="2:19">
      <c r="B74" s="2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  <ignoredErrors>
    <ignoredError sqref="N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D26" activePane="bottomRight" state="frozen"/>
      <selection pane="topRight"/>
      <selection pane="bottomLeft"/>
      <selection pane="bottomRight" activeCell="D6" sqref="D6:M6"/>
    </sheetView>
  </sheetViews>
  <sheetFormatPr defaultColWidth="9" defaultRowHeight="16.5"/>
  <cols>
    <col min="1" max="1" width="5.125" style="88" customWidth="1"/>
    <col min="2" max="2" width="17.5" style="88" customWidth="1"/>
    <col min="3" max="3" width="15.5" style="89" bestFit="1" customWidth="1"/>
    <col min="4" max="7" width="12" style="89" customWidth="1"/>
    <col min="8" max="8" width="7.5" style="89" customWidth="1"/>
    <col min="9" max="13" width="12" style="89" customWidth="1"/>
    <col min="14" max="14" width="18.75" style="89" customWidth="1"/>
    <col min="15" max="15" width="12.375" style="88" customWidth="1"/>
    <col min="16" max="16" width="10.125" style="88" customWidth="1"/>
    <col min="17" max="23" width="9" style="88" customWidth="1"/>
    <col min="24" max="40" width="9" style="88"/>
    <col min="41" max="41" width="4.375" style="88" customWidth="1"/>
    <col min="42" max="42" width="13.875" style="88" customWidth="1"/>
    <col min="43" max="16384" width="9" style="88"/>
  </cols>
  <sheetData>
    <row r="1" spans="1:43">
      <c r="A1" s="194" t="s">
        <v>142</v>
      </c>
      <c r="B1" s="194"/>
      <c r="C1" s="198" t="s">
        <v>173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43">
      <c r="A2" s="194" t="s">
        <v>144</v>
      </c>
      <c r="B2" s="194"/>
      <c r="C2" s="201" t="s">
        <v>145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43" ht="33">
      <c r="A3" s="194" t="s">
        <v>146</v>
      </c>
      <c r="B3" s="194"/>
      <c r="C3" s="14" t="s">
        <v>147</v>
      </c>
      <c r="D3" s="14" t="s">
        <v>147</v>
      </c>
      <c r="E3" s="14" t="s">
        <v>147</v>
      </c>
      <c r="F3" s="14" t="s">
        <v>147</v>
      </c>
      <c r="G3" s="14" t="s">
        <v>148</v>
      </c>
      <c r="H3" s="14" t="s">
        <v>148</v>
      </c>
      <c r="I3" s="14" t="s">
        <v>148</v>
      </c>
      <c r="J3" s="14" t="s">
        <v>148</v>
      </c>
      <c r="K3" s="14" t="s">
        <v>148</v>
      </c>
      <c r="L3" s="14" t="s">
        <v>149</v>
      </c>
      <c r="M3" s="14" t="s">
        <v>149</v>
      </c>
      <c r="N3" s="195" t="s">
        <v>51</v>
      </c>
    </row>
    <row r="4" spans="1:43" ht="33">
      <c r="A4" s="194" t="s">
        <v>150</v>
      </c>
      <c r="B4" s="194"/>
      <c r="C4" s="14" t="s">
        <v>151</v>
      </c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196"/>
    </row>
    <row r="5" spans="1:43">
      <c r="A5" s="194" t="s">
        <v>162</v>
      </c>
      <c r="B5" s="194"/>
      <c r="C5" s="49" t="s">
        <v>163</v>
      </c>
      <c r="D5" s="49" t="s">
        <v>163</v>
      </c>
      <c r="E5" s="16" t="s">
        <v>164</v>
      </c>
      <c r="F5" s="16" t="s">
        <v>164</v>
      </c>
      <c r="G5" s="49" t="s">
        <v>163</v>
      </c>
      <c r="H5" s="49" t="s">
        <v>163</v>
      </c>
      <c r="I5" s="16" t="s">
        <v>164</v>
      </c>
      <c r="J5" s="16" t="s">
        <v>164</v>
      </c>
      <c r="K5" s="16" t="s">
        <v>165</v>
      </c>
      <c r="L5" s="16" t="s">
        <v>166</v>
      </c>
      <c r="M5" s="16" t="s">
        <v>166</v>
      </c>
      <c r="N5" s="197"/>
      <c r="AQ5" s="88" t="s">
        <v>52</v>
      </c>
    </row>
    <row r="6" spans="1:43" ht="17.25">
      <c r="A6" s="91" t="s">
        <v>17</v>
      </c>
      <c r="B6" s="92" t="s">
        <v>167</v>
      </c>
      <c r="C6" s="93">
        <f>销量!C10</f>
        <v>10000</v>
      </c>
      <c r="D6" s="93">
        <f>销量!D10</f>
        <v>5000</v>
      </c>
      <c r="E6" s="93">
        <f>销量!E10</f>
        <v>10000</v>
      </c>
      <c r="F6" s="93">
        <f>销量!F10</f>
        <v>5000</v>
      </c>
      <c r="G6" s="93">
        <f>销量!G10</f>
        <v>10000</v>
      </c>
      <c r="H6" s="93">
        <f>销量!H10</f>
        <v>0</v>
      </c>
      <c r="I6" s="93">
        <f>销量!I10</f>
        <v>10000</v>
      </c>
      <c r="J6" s="93">
        <f>销量!J10</f>
        <v>5000</v>
      </c>
      <c r="K6" s="93">
        <f>销量!K10</f>
        <v>500</v>
      </c>
      <c r="L6" s="93">
        <f>销量!L10</f>
        <v>20000</v>
      </c>
      <c r="M6" s="93">
        <f>销量!M10</f>
        <v>10000</v>
      </c>
      <c r="N6" s="94">
        <f t="shared" ref="N6:N15" si="0">+SUM(C6:M6)</f>
        <v>85500</v>
      </c>
      <c r="Y6" s="92" t="s">
        <v>3</v>
      </c>
      <c r="AO6" s="91" t="s">
        <v>17</v>
      </c>
      <c r="AP6" s="92" t="s">
        <v>3</v>
      </c>
      <c r="AQ6" s="88" t="s">
        <v>53</v>
      </c>
    </row>
    <row r="7" spans="1:43">
      <c r="A7" s="90">
        <v>1</v>
      </c>
      <c r="B7" s="92" t="s">
        <v>54</v>
      </c>
      <c r="C7" s="94">
        <f>C6*销量!C8</f>
        <v>22831858.407079648</v>
      </c>
      <c r="D7" s="94">
        <f>D6*销量!D8</f>
        <v>11415929.203539824</v>
      </c>
      <c r="E7" s="94">
        <f>E6*销量!E8</f>
        <v>18185840.707964603</v>
      </c>
      <c r="F7" s="94">
        <f>F6*销量!F8</f>
        <v>9092920.3539823014</v>
      </c>
      <c r="G7" s="94">
        <f>G6*销量!G8</f>
        <v>6991150.4424778763</v>
      </c>
      <c r="H7" s="94">
        <f>H6*销量!H8</f>
        <v>0</v>
      </c>
      <c r="I7" s="94">
        <f>I6*销量!I8</f>
        <v>5752212.3893805314</v>
      </c>
      <c r="J7" s="94">
        <f>J6*销量!J8</f>
        <v>2876106.1946902657</v>
      </c>
      <c r="K7" s="94">
        <f>K6*销量!K8</f>
        <v>513274.33628318593</v>
      </c>
      <c r="L7" s="94">
        <f>L6*销量!L8</f>
        <v>1238938.0530973454</v>
      </c>
      <c r="M7" s="94">
        <f>M6*销量!M8</f>
        <v>619469.0265486727</v>
      </c>
      <c r="N7" s="94">
        <f t="shared" si="0"/>
        <v>79517699.115044266</v>
      </c>
      <c r="O7" s="89"/>
      <c r="Y7" s="92" t="s">
        <v>54</v>
      </c>
      <c r="AO7" s="91" t="s">
        <v>55</v>
      </c>
      <c r="AP7" s="92" t="s">
        <v>54</v>
      </c>
      <c r="AQ7" s="88" t="s">
        <v>53</v>
      </c>
    </row>
    <row r="8" spans="1:43">
      <c r="A8" s="90">
        <v>2</v>
      </c>
      <c r="B8" s="90" t="s">
        <v>56</v>
      </c>
      <c r="C8" s="94">
        <f>C7*(1-销量!$Q$7)</f>
        <v>1141592.9203539835</v>
      </c>
      <c r="D8" s="94">
        <f>D7*(1-销量!$Q$7)</f>
        <v>570796.46017699176</v>
      </c>
      <c r="E8" s="94">
        <f>E7*(1-销量!$Q$7)</f>
        <v>909292.035398231</v>
      </c>
      <c r="F8" s="94">
        <f>F7*(1-销量!$Q$7)</f>
        <v>454646.0176991155</v>
      </c>
      <c r="G8" s="94">
        <f>G7*(1-销量!$Q$7)</f>
        <v>349557.52212389413</v>
      </c>
      <c r="H8" s="94">
        <f>H7*(1-销量!$Q$7)</f>
        <v>0</v>
      </c>
      <c r="I8" s="94">
        <f>I7*(1-销量!$Q$7)</f>
        <v>287610.6194690268</v>
      </c>
      <c r="J8" s="94">
        <f>J7*(1-销量!$Q$7)</f>
        <v>143805.3097345134</v>
      </c>
      <c r="K8" s="94">
        <f>K7*(1-销量!$Q$7)</f>
        <v>25663.716814159317</v>
      </c>
      <c r="L8" s="94">
        <f>L7*(1-销量!$Q$7)</f>
        <v>61946.902654867328</v>
      </c>
      <c r="M8" s="94">
        <f>M7*(1-销量!$Q$7)</f>
        <v>30973.451327433664</v>
      </c>
      <c r="N8" s="94">
        <f t="shared" si="0"/>
        <v>3975884.9557522163</v>
      </c>
      <c r="O8" s="107"/>
      <c r="Y8" s="90" t="s">
        <v>58</v>
      </c>
      <c r="AO8" s="91" t="s">
        <v>57</v>
      </c>
      <c r="AP8" s="90" t="s">
        <v>58</v>
      </c>
      <c r="AQ8" s="88" t="s">
        <v>53</v>
      </c>
    </row>
    <row r="9" spans="1:43">
      <c r="A9" s="90">
        <v>3</v>
      </c>
      <c r="B9" s="92" t="s">
        <v>59</v>
      </c>
      <c r="C9" s="94">
        <f t="shared" ref="C9:M9" si="1">+C7-C8</f>
        <v>21690265.486725666</v>
      </c>
      <c r="D9" s="94">
        <f t="shared" si="1"/>
        <v>10845132.743362833</v>
      </c>
      <c r="E9" s="94">
        <f t="shared" si="1"/>
        <v>17276548.672566373</v>
      </c>
      <c r="F9" s="94">
        <f t="shared" si="1"/>
        <v>8638274.3362831865</v>
      </c>
      <c r="G9" s="94">
        <f t="shared" si="1"/>
        <v>6641592.9203539826</v>
      </c>
      <c r="H9" s="94">
        <f t="shared" si="1"/>
        <v>0</v>
      </c>
      <c r="I9" s="94">
        <f t="shared" si="1"/>
        <v>5464601.7699115044</v>
      </c>
      <c r="J9" s="94">
        <f t="shared" si="1"/>
        <v>2732300.8849557522</v>
      </c>
      <c r="K9" s="94">
        <f t="shared" si="1"/>
        <v>487610.61946902663</v>
      </c>
      <c r="L9" s="94">
        <f t="shared" si="1"/>
        <v>1176991.150442478</v>
      </c>
      <c r="M9" s="94">
        <f t="shared" si="1"/>
        <v>588495.57522123901</v>
      </c>
      <c r="N9" s="94">
        <f t="shared" si="0"/>
        <v>75541814.159292042</v>
      </c>
      <c r="Y9" s="92" t="s">
        <v>59</v>
      </c>
      <c r="AO9" s="91" t="s">
        <v>60</v>
      </c>
      <c r="AP9" s="92" t="s">
        <v>59</v>
      </c>
      <c r="AQ9" s="88" t="s">
        <v>61</v>
      </c>
    </row>
    <row r="10" spans="1:43">
      <c r="A10" s="90">
        <v>4</v>
      </c>
      <c r="B10" s="91" t="s">
        <v>62</v>
      </c>
      <c r="C10" s="94">
        <f t="shared" ref="C10:M10" si="2">C6*C33</f>
        <v>17407794.524835568</v>
      </c>
      <c r="D10" s="94">
        <f t="shared" si="2"/>
        <v>8640326.184798738</v>
      </c>
      <c r="E10" s="94">
        <f t="shared" si="2"/>
        <v>13007408.52099557</v>
      </c>
      <c r="F10" s="94">
        <f t="shared" si="2"/>
        <v>6440133.1828787401</v>
      </c>
      <c r="G10" s="94">
        <f t="shared" si="2"/>
        <v>6039032.3967162119</v>
      </c>
      <c r="H10" s="94">
        <f t="shared" si="2"/>
        <v>0</v>
      </c>
      <c r="I10" s="94">
        <f t="shared" si="2"/>
        <v>4762980.1308893589</v>
      </c>
      <c r="J10" s="94">
        <f t="shared" si="2"/>
        <v>2357129.6497325655</v>
      </c>
      <c r="K10" s="94">
        <f t="shared" si="2"/>
        <v>415911.61016458063</v>
      </c>
      <c r="L10" s="94">
        <f t="shared" si="2"/>
        <v>821149.32857142843</v>
      </c>
      <c r="M10" s="94">
        <f t="shared" si="2"/>
        <v>410574.66428571421</v>
      </c>
      <c r="N10" s="94">
        <f t="shared" si="0"/>
        <v>60302440.193868481</v>
      </c>
      <c r="Y10" s="91" t="s">
        <v>62</v>
      </c>
      <c r="AO10" s="91" t="s">
        <v>63</v>
      </c>
      <c r="AP10" s="91" t="s">
        <v>62</v>
      </c>
      <c r="AQ10" s="88" t="s">
        <v>64</v>
      </c>
    </row>
    <row r="11" spans="1:43">
      <c r="A11" s="90">
        <v>5</v>
      </c>
      <c r="B11" s="91" t="s">
        <v>65</v>
      </c>
      <c r="C11" s="94">
        <f t="shared" ref="C11:M11" si="3">+C6*C36</f>
        <v>984053.09734513285</v>
      </c>
      <c r="D11" s="94">
        <f t="shared" si="3"/>
        <v>492026.54867256642</v>
      </c>
      <c r="E11" s="94">
        <f t="shared" si="3"/>
        <v>783809.73451327439</v>
      </c>
      <c r="F11" s="94">
        <f t="shared" si="3"/>
        <v>391904.8672566372</v>
      </c>
      <c r="G11" s="94">
        <f t="shared" si="3"/>
        <v>301318.5840707965</v>
      </c>
      <c r="H11" s="94">
        <f t="shared" si="3"/>
        <v>0</v>
      </c>
      <c r="I11" s="94">
        <f t="shared" si="3"/>
        <v>247920.35398230091</v>
      </c>
      <c r="J11" s="94">
        <f t="shared" si="3"/>
        <v>123960.17699115045</v>
      </c>
      <c r="K11" s="94">
        <f t="shared" si="3"/>
        <v>22122.123893805314</v>
      </c>
      <c r="L11" s="94">
        <f t="shared" si="3"/>
        <v>53398.230088495584</v>
      </c>
      <c r="M11" s="94">
        <f t="shared" si="3"/>
        <v>26699.115044247792</v>
      </c>
      <c r="N11" s="94">
        <f t="shared" si="0"/>
        <v>3427212.8318584077</v>
      </c>
      <c r="Y11" s="91" t="s">
        <v>65</v>
      </c>
      <c r="AO11" s="91" t="s">
        <v>66</v>
      </c>
      <c r="AP11" s="91" t="s">
        <v>65</v>
      </c>
    </row>
    <row r="12" spans="1:43">
      <c r="A12" s="90">
        <v>6</v>
      </c>
      <c r="B12" s="91" t="s">
        <v>67</v>
      </c>
      <c r="C12" s="94">
        <f t="shared" ref="C12:M12" si="4">+C6*C37</f>
        <v>495451.32743362844</v>
      </c>
      <c r="D12" s="94">
        <f t="shared" si="4"/>
        <v>247725.66371681422</v>
      </c>
      <c r="E12" s="94">
        <f t="shared" si="4"/>
        <v>394632.74336283194</v>
      </c>
      <c r="F12" s="94">
        <f t="shared" si="4"/>
        <v>197316.37168141597</v>
      </c>
      <c r="G12" s="94">
        <f t="shared" si="4"/>
        <v>151707.96460176993</v>
      </c>
      <c r="H12" s="94">
        <f t="shared" si="4"/>
        <v>0</v>
      </c>
      <c r="I12" s="94">
        <f t="shared" si="4"/>
        <v>124823.00884955753</v>
      </c>
      <c r="J12" s="94">
        <f t="shared" si="4"/>
        <v>62411.504424778766</v>
      </c>
      <c r="K12" s="94">
        <f t="shared" si="4"/>
        <v>11138.053097345133</v>
      </c>
      <c r="L12" s="94">
        <f t="shared" si="4"/>
        <v>26884.955752212398</v>
      </c>
      <c r="M12" s="94">
        <f t="shared" si="4"/>
        <v>13442.477876106199</v>
      </c>
      <c r="N12" s="94">
        <f t="shared" si="0"/>
        <v>1725534.0707964604</v>
      </c>
      <c r="Y12" s="91" t="s">
        <v>67</v>
      </c>
      <c r="AO12" s="91" t="s">
        <v>68</v>
      </c>
      <c r="AP12" s="91" t="s">
        <v>67</v>
      </c>
    </row>
    <row r="13" spans="1:43">
      <c r="A13" s="90">
        <v>7</v>
      </c>
      <c r="B13" s="91" t="s">
        <v>69</v>
      </c>
      <c r="C13" s="94">
        <f t="shared" ref="C13:M13" si="5">+C6*C38</f>
        <v>1004601.7699115045</v>
      </c>
      <c r="D13" s="94">
        <f t="shared" si="5"/>
        <v>502300.88495575223</v>
      </c>
      <c r="E13" s="94">
        <f t="shared" si="5"/>
        <v>800176.99115044251</v>
      </c>
      <c r="F13" s="94">
        <f t="shared" si="5"/>
        <v>400088.49557522126</v>
      </c>
      <c r="G13" s="94">
        <f t="shared" si="5"/>
        <v>307610.61946902651</v>
      </c>
      <c r="H13" s="94">
        <f t="shared" si="5"/>
        <v>0</v>
      </c>
      <c r="I13" s="94">
        <f t="shared" si="5"/>
        <v>253097.34513274336</v>
      </c>
      <c r="J13" s="94">
        <f t="shared" si="5"/>
        <v>126548.67256637168</v>
      </c>
      <c r="K13" s="94">
        <f t="shared" si="5"/>
        <v>22584.070796460179</v>
      </c>
      <c r="L13" s="94">
        <f t="shared" si="5"/>
        <v>54513.27433628319</v>
      </c>
      <c r="M13" s="94">
        <f t="shared" si="5"/>
        <v>27256.637168141595</v>
      </c>
      <c r="N13" s="94">
        <f t="shared" si="0"/>
        <v>3498778.7610619473</v>
      </c>
      <c r="Y13" s="91" t="s">
        <v>69</v>
      </c>
      <c r="AO13" s="91" t="s">
        <v>70</v>
      </c>
      <c r="AP13" s="91" t="s">
        <v>69</v>
      </c>
      <c r="AQ13" s="88" t="s">
        <v>53</v>
      </c>
    </row>
    <row r="14" spans="1:43">
      <c r="A14" s="90">
        <v>8</v>
      </c>
      <c r="B14" s="95" t="s">
        <v>71</v>
      </c>
      <c r="C14" s="94">
        <f t="shared" ref="C14:M14" si="6">SUM(C11:C13)</f>
        <v>2484106.1946902657</v>
      </c>
      <c r="D14" s="94">
        <f t="shared" si="6"/>
        <v>1242053.0973451328</v>
      </c>
      <c r="E14" s="94">
        <f t="shared" si="6"/>
        <v>1978619.4690265488</v>
      </c>
      <c r="F14" s="94">
        <f t="shared" si="6"/>
        <v>989309.73451327439</v>
      </c>
      <c r="G14" s="94">
        <f t="shared" si="6"/>
        <v>760637.16814159299</v>
      </c>
      <c r="H14" s="94">
        <f t="shared" si="6"/>
        <v>0</v>
      </c>
      <c r="I14" s="94">
        <f t="shared" si="6"/>
        <v>625840.70796460181</v>
      </c>
      <c r="J14" s="94">
        <f t="shared" si="6"/>
        <v>312920.35398230091</v>
      </c>
      <c r="K14" s="94">
        <f t="shared" si="6"/>
        <v>55844.247787610628</v>
      </c>
      <c r="L14" s="94">
        <f t="shared" si="6"/>
        <v>134796.46017699118</v>
      </c>
      <c r="M14" s="94">
        <f t="shared" si="6"/>
        <v>67398.230088495591</v>
      </c>
      <c r="N14" s="94">
        <f t="shared" si="0"/>
        <v>8651525.6637168135</v>
      </c>
      <c r="Y14" s="95" t="s">
        <v>71</v>
      </c>
      <c r="AO14" s="91" t="s">
        <v>72</v>
      </c>
      <c r="AP14" s="95" t="s">
        <v>71</v>
      </c>
    </row>
    <row r="15" spans="1:43">
      <c r="A15" s="90">
        <v>9</v>
      </c>
      <c r="B15" s="95" t="s">
        <v>73</v>
      </c>
      <c r="C15" s="94">
        <f>+C9-C10-C14</f>
        <v>1798364.767199832</v>
      </c>
      <c r="D15" s="94">
        <f t="shared" ref="D15:M15" si="7">+D9-D10-D14</f>
        <v>962753.46121896198</v>
      </c>
      <c r="E15" s="94">
        <f t="shared" si="7"/>
        <v>2290520.6825442538</v>
      </c>
      <c r="F15" s="94">
        <f t="shared" si="7"/>
        <v>1208831.4188911719</v>
      </c>
      <c r="G15" s="94">
        <f t="shared" si="7"/>
        <v>-158076.64450382232</v>
      </c>
      <c r="H15" s="94">
        <f t="shared" si="7"/>
        <v>0</v>
      </c>
      <c r="I15" s="94">
        <f t="shared" si="7"/>
        <v>75780.93105754361</v>
      </c>
      <c r="J15" s="94">
        <f t="shared" si="7"/>
        <v>62250.881240885763</v>
      </c>
      <c r="K15" s="94">
        <f t="shared" si="7"/>
        <v>15854.761516835366</v>
      </c>
      <c r="L15" s="94">
        <f t="shared" si="7"/>
        <v>221045.3616940584</v>
      </c>
      <c r="M15" s="94">
        <f t="shared" si="7"/>
        <v>110522.6808470292</v>
      </c>
      <c r="N15" s="94">
        <f t="shared" si="0"/>
        <v>6587848.301706749</v>
      </c>
      <c r="Y15" s="95" t="s">
        <v>73</v>
      </c>
      <c r="AO15" s="91" t="s">
        <v>74</v>
      </c>
      <c r="AP15" s="95" t="s">
        <v>73</v>
      </c>
    </row>
    <row r="16" spans="1:43">
      <c r="A16" s="90">
        <v>10</v>
      </c>
      <c r="B16" s="91" t="s">
        <v>75</v>
      </c>
      <c r="C16" s="96">
        <f>+C15/C9</f>
        <v>8.2911145937813541E-2</v>
      </c>
      <c r="D16" s="96">
        <f t="shared" ref="D16:N16" si="8">+D15/D9</f>
        <v>8.8772860969190279E-2</v>
      </c>
      <c r="E16" s="96">
        <f t="shared" si="8"/>
        <v>0.13257976034191352</v>
      </c>
      <c r="F16" s="96">
        <f t="shared" si="8"/>
        <v>0.13993899381196304</v>
      </c>
      <c r="G16" s="96">
        <f t="shared" si="8"/>
        <v>-2.3801013762734073E-2</v>
      </c>
      <c r="H16" s="96" t="e">
        <f t="shared" si="8"/>
        <v>#DIV/0!</v>
      </c>
      <c r="I16" s="96">
        <f t="shared" si="8"/>
        <v>1.3867603578141584E-2</v>
      </c>
      <c r="J16" s="96">
        <f t="shared" si="8"/>
        <v>2.2783318478445641E-2</v>
      </c>
      <c r="K16" s="96">
        <f t="shared" si="8"/>
        <v>3.2515209644326609E-2</v>
      </c>
      <c r="L16" s="96">
        <f t="shared" si="8"/>
        <v>0.18780545767991427</v>
      </c>
      <c r="M16" s="96">
        <f t="shared" si="8"/>
        <v>0.18780545767991427</v>
      </c>
      <c r="N16" s="96">
        <f t="shared" si="8"/>
        <v>8.7207970513061991E-2</v>
      </c>
      <c r="Y16" s="91" t="s">
        <v>75</v>
      </c>
      <c r="AO16" s="91" t="s">
        <v>76</v>
      </c>
      <c r="AP16" s="91" t="s">
        <v>75</v>
      </c>
    </row>
    <row r="17" spans="1:43">
      <c r="A17" s="90">
        <v>11</v>
      </c>
      <c r="B17" s="91" t="s">
        <v>77</v>
      </c>
      <c r="C17" s="94">
        <f t="shared" ref="C17:M17" si="9">C6*C43+C18</f>
        <v>1155995.0835791545</v>
      </c>
      <c r="D17" s="94">
        <f t="shared" si="9"/>
        <v>577997.54178957723</v>
      </c>
      <c r="E17" s="94">
        <f t="shared" si="9"/>
        <v>965508.35791543766</v>
      </c>
      <c r="F17" s="94">
        <f t="shared" si="9"/>
        <v>482754.17895771883</v>
      </c>
      <c r="G17" s="94">
        <f t="shared" si="9"/>
        <v>506526.05703048181</v>
      </c>
      <c r="H17" s="94">
        <f t="shared" si="9"/>
        <v>0</v>
      </c>
      <c r="I17" s="94">
        <f t="shared" si="9"/>
        <v>455729.59685349069</v>
      </c>
      <c r="J17" s="94">
        <f t="shared" si="9"/>
        <v>227864.79842674534</v>
      </c>
      <c r="K17" s="94">
        <f t="shared" si="9"/>
        <v>32038.692232055066</v>
      </c>
      <c r="L17" s="94">
        <f t="shared" si="9"/>
        <v>490574.23795476893</v>
      </c>
      <c r="M17" s="94">
        <f t="shared" si="9"/>
        <v>245287.11897738447</v>
      </c>
      <c r="N17" s="94">
        <f t="shared" ref="N17:N20" si="10">+SUM(C17:M17)</f>
        <v>5140275.6637168145</v>
      </c>
      <c r="O17" s="107"/>
      <c r="Y17" s="91" t="s">
        <v>77</v>
      </c>
      <c r="AO17" s="91" t="s">
        <v>78</v>
      </c>
      <c r="AP17" s="91" t="s">
        <v>77</v>
      </c>
    </row>
    <row r="18" spans="1:43" s="86" customFormat="1">
      <c r="A18" s="90">
        <v>12</v>
      </c>
      <c r="B18" s="97" t="s">
        <v>168</v>
      </c>
      <c r="C18" s="98">
        <f t="shared" ref="C18:M18" si="11">$N$18/$N$6*C6</f>
        <v>219888.88888888888</v>
      </c>
      <c r="D18" s="98">
        <f t="shared" si="11"/>
        <v>109944.44444444444</v>
      </c>
      <c r="E18" s="98">
        <f t="shared" si="11"/>
        <v>219888.88888888888</v>
      </c>
      <c r="F18" s="98">
        <f t="shared" si="11"/>
        <v>109944.44444444444</v>
      </c>
      <c r="G18" s="98">
        <f t="shared" si="11"/>
        <v>219888.88888888888</v>
      </c>
      <c r="H18" s="98">
        <f t="shared" si="11"/>
        <v>0</v>
      </c>
      <c r="I18" s="98">
        <f t="shared" si="11"/>
        <v>219888.88888888888</v>
      </c>
      <c r="J18" s="98">
        <f t="shared" si="11"/>
        <v>109944.44444444444</v>
      </c>
      <c r="K18" s="98">
        <f t="shared" si="11"/>
        <v>10994.444444444443</v>
      </c>
      <c r="L18" s="98">
        <f t="shared" si="11"/>
        <v>439777.77777777775</v>
      </c>
      <c r="M18" s="98">
        <f t="shared" si="11"/>
        <v>219888.88888888888</v>
      </c>
      <c r="N18" s="94">
        <f>项目投资!E26</f>
        <v>1880050</v>
      </c>
      <c r="O18" s="109" t="s">
        <v>169</v>
      </c>
      <c r="P18" s="109"/>
      <c r="Q18" s="109"/>
    </row>
    <row r="19" spans="1:43">
      <c r="A19" s="90">
        <v>13</v>
      </c>
      <c r="B19" s="91" t="s">
        <v>79</v>
      </c>
      <c r="C19" s="94">
        <f t="shared" ref="C19:M19" si="12">C6*C44</f>
        <v>159823.00884955755</v>
      </c>
      <c r="D19" s="94">
        <f t="shared" si="12"/>
        <v>79911.504424778774</v>
      </c>
      <c r="E19" s="94">
        <f t="shared" si="12"/>
        <v>127300.88495575222</v>
      </c>
      <c r="F19" s="94">
        <f t="shared" si="12"/>
        <v>63650.442477876109</v>
      </c>
      <c r="G19" s="94">
        <f t="shared" si="12"/>
        <v>48938.053097345139</v>
      </c>
      <c r="H19" s="94">
        <f t="shared" si="12"/>
        <v>0</v>
      </c>
      <c r="I19" s="94">
        <f t="shared" si="12"/>
        <v>40265.486725663723</v>
      </c>
      <c r="J19" s="94">
        <f t="shared" si="12"/>
        <v>20132.743362831861</v>
      </c>
      <c r="K19" s="94">
        <f t="shared" si="12"/>
        <v>3592.9203539823015</v>
      </c>
      <c r="L19" s="94">
        <f t="shared" si="12"/>
        <v>8672.5663716814179</v>
      </c>
      <c r="M19" s="94">
        <f t="shared" si="12"/>
        <v>4336.2831858407089</v>
      </c>
      <c r="N19" s="94">
        <f t="shared" si="10"/>
        <v>556623.89380530966</v>
      </c>
      <c r="O19" s="86"/>
      <c r="Y19" s="91" t="s">
        <v>79</v>
      </c>
      <c r="AO19" s="91" t="s">
        <v>80</v>
      </c>
      <c r="AP19" s="91" t="s">
        <v>79</v>
      </c>
      <c r="AQ19" s="88" t="s">
        <v>53</v>
      </c>
    </row>
    <row r="20" spans="1:43">
      <c r="A20" s="90">
        <v>14</v>
      </c>
      <c r="B20" s="91" t="s">
        <v>81</v>
      </c>
      <c r="C20" s="94">
        <f t="shared" ref="C20:M20" si="13">C6*C45</f>
        <v>776283.18584070809</v>
      </c>
      <c r="D20" s="94">
        <f t="shared" si="13"/>
        <v>388141.59292035404</v>
      </c>
      <c r="E20" s="94">
        <f t="shared" si="13"/>
        <v>618318.58407079661</v>
      </c>
      <c r="F20" s="94">
        <f t="shared" si="13"/>
        <v>309159.29203539831</v>
      </c>
      <c r="G20" s="94">
        <f t="shared" si="13"/>
        <v>237699.1150442478</v>
      </c>
      <c r="H20" s="94">
        <f t="shared" si="13"/>
        <v>0</v>
      </c>
      <c r="I20" s="94">
        <f t="shared" si="13"/>
        <v>195575.22123893807</v>
      </c>
      <c r="J20" s="94">
        <f t="shared" si="13"/>
        <v>97787.610619469036</v>
      </c>
      <c r="K20" s="94">
        <f t="shared" si="13"/>
        <v>17451.327433628321</v>
      </c>
      <c r="L20" s="94">
        <f t="shared" si="13"/>
        <v>42123.893805309744</v>
      </c>
      <c r="M20" s="94">
        <f t="shared" si="13"/>
        <v>21061.946902654872</v>
      </c>
      <c r="N20" s="94">
        <f t="shared" si="10"/>
        <v>2703601.7699115053</v>
      </c>
      <c r="Y20" s="91" t="s">
        <v>81</v>
      </c>
      <c r="AO20" s="91" t="s">
        <v>82</v>
      </c>
      <c r="AP20" s="91" t="s">
        <v>81</v>
      </c>
    </row>
    <row r="21" spans="1:43">
      <c r="A21" s="90">
        <v>15</v>
      </c>
      <c r="B21" s="91" t="s">
        <v>83</v>
      </c>
      <c r="C21" s="99">
        <f>$N$21/$N$6*C6</f>
        <v>53520.46783625731</v>
      </c>
      <c r="D21" s="99">
        <f t="shared" ref="D21:M21" si="14">$N$21/$N$6*D6</f>
        <v>26760.233918128655</v>
      </c>
      <c r="E21" s="99">
        <f t="shared" si="14"/>
        <v>53520.46783625731</v>
      </c>
      <c r="F21" s="99">
        <f t="shared" si="14"/>
        <v>26760.233918128655</v>
      </c>
      <c r="G21" s="99">
        <f t="shared" si="14"/>
        <v>53520.46783625731</v>
      </c>
      <c r="H21" s="99">
        <f t="shared" si="14"/>
        <v>0</v>
      </c>
      <c r="I21" s="99">
        <f t="shared" si="14"/>
        <v>53520.46783625731</v>
      </c>
      <c r="J21" s="99">
        <f t="shared" si="14"/>
        <v>26760.233918128655</v>
      </c>
      <c r="K21" s="99">
        <f t="shared" si="14"/>
        <v>2676.0233918128656</v>
      </c>
      <c r="L21" s="99">
        <f t="shared" si="14"/>
        <v>107040.93567251462</v>
      </c>
      <c r="M21" s="99">
        <f t="shared" si="14"/>
        <v>53520.46783625731</v>
      </c>
      <c r="N21" s="94">
        <f>项目投资!E27</f>
        <v>457600</v>
      </c>
      <c r="Y21" s="91" t="s">
        <v>83</v>
      </c>
      <c r="AO21" s="91"/>
      <c r="AP21" s="91"/>
    </row>
    <row r="22" spans="1:43">
      <c r="A22" s="90">
        <v>16</v>
      </c>
      <c r="B22" s="91" t="s">
        <v>84</v>
      </c>
      <c r="C22" s="94">
        <f t="shared" ref="C22:M22" si="15">C6*C47</f>
        <v>684955.75221238937</v>
      </c>
      <c r="D22" s="94">
        <f t="shared" si="15"/>
        <v>342477.87610619469</v>
      </c>
      <c r="E22" s="94">
        <f t="shared" si="15"/>
        <v>545575.22123893804</v>
      </c>
      <c r="F22" s="94">
        <f t="shared" si="15"/>
        <v>272787.61061946902</v>
      </c>
      <c r="G22" s="94">
        <f t="shared" si="15"/>
        <v>209734.51327433629</v>
      </c>
      <c r="H22" s="94">
        <f t="shared" si="15"/>
        <v>0</v>
      </c>
      <c r="I22" s="94">
        <f t="shared" si="15"/>
        <v>172566.37168141594</v>
      </c>
      <c r="J22" s="94">
        <f t="shared" si="15"/>
        <v>86283.185840707971</v>
      </c>
      <c r="K22" s="94">
        <f t="shared" si="15"/>
        <v>15398.230088495577</v>
      </c>
      <c r="L22" s="94">
        <f t="shared" si="15"/>
        <v>37168.141592920358</v>
      </c>
      <c r="M22" s="94">
        <f t="shared" si="15"/>
        <v>18584.070796460179</v>
      </c>
      <c r="N22" s="94">
        <f>+SUM(C22:M22)</f>
        <v>2385530.9734513275</v>
      </c>
      <c r="Y22" s="91" t="s">
        <v>84</v>
      </c>
      <c r="AO22" s="91" t="s">
        <v>85</v>
      </c>
      <c r="AP22" s="91" t="s">
        <v>84</v>
      </c>
    </row>
    <row r="23" spans="1:43">
      <c r="A23" s="90">
        <v>17</v>
      </c>
      <c r="B23" s="95" t="s">
        <v>86</v>
      </c>
      <c r="C23" s="99">
        <f t="shared" ref="C23:N23" si="16">+C22+C21+C20+C19+C17</f>
        <v>2830577.4983180668</v>
      </c>
      <c r="D23" s="99">
        <f t="shared" si="16"/>
        <v>1415288.7491590334</v>
      </c>
      <c r="E23" s="99">
        <f t="shared" si="16"/>
        <v>2310223.5160171818</v>
      </c>
      <c r="F23" s="99">
        <f t="shared" si="16"/>
        <v>1155111.7580085909</v>
      </c>
      <c r="G23" s="99">
        <f t="shared" si="16"/>
        <v>1056418.2062826683</v>
      </c>
      <c r="H23" s="99">
        <f t="shared" si="16"/>
        <v>0</v>
      </c>
      <c r="I23" s="99">
        <f t="shared" si="16"/>
        <v>917657.14433576562</v>
      </c>
      <c r="J23" s="99">
        <f t="shared" si="16"/>
        <v>458828.57216788281</v>
      </c>
      <c r="K23" s="99">
        <f t="shared" si="16"/>
        <v>71157.193499974121</v>
      </c>
      <c r="L23" s="99">
        <f t="shared" si="16"/>
        <v>685579.77539719513</v>
      </c>
      <c r="M23" s="99">
        <f t="shared" si="16"/>
        <v>342789.88769859757</v>
      </c>
      <c r="N23" s="99">
        <f t="shared" si="16"/>
        <v>11243632.300884958</v>
      </c>
      <c r="Y23" s="95" t="s">
        <v>86</v>
      </c>
      <c r="AO23" s="91" t="s">
        <v>87</v>
      </c>
      <c r="AP23" s="95" t="s">
        <v>86</v>
      </c>
    </row>
    <row r="24" spans="1:43">
      <c r="A24" s="90">
        <v>18</v>
      </c>
      <c r="B24" s="100" t="s">
        <v>88</v>
      </c>
      <c r="C24" s="99">
        <f t="shared" ref="C24:N24" si="17">+C15-C23</f>
        <v>-1032212.7311182348</v>
      </c>
      <c r="D24" s="99">
        <f t="shared" si="17"/>
        <v>-452535.28794007143</v>
      </c>
      <c r="E24" s="99">
        <f t="shared" si="17"/>
        <v>-19702.833472928032</v>
      </c>
      <c r="F24" s="99">
        <f t="shared" si="17"/>
        <v>53719.660882581025</v>
      </c>
      <c r="G24" s="99">
        <f t="shared" si="17"/>
        <v>-1214494.8507864906</v>
      </c>
      <c r="H24" s="99">
        <f t="shared" si="17"/>
        <v>0</v>
      </c>
      <c r="I24" s="99">
        <f t="shared" si="17"/>
        <v>-841876.21327822201</v>
      </c>
      <c r="J24" s="99">
        <f t="shared" si="17"/>
        <v>-396577.69092699705</v>
      </c>
      <c r="K24" s="99">
        <f t="shared" si="17"/>
        <v>-55302.431983138755</v>
      </c>
      <c r="L24" s="99">
        <f t="shared" si="17"/>
        <v>-464534.41370313673</v>
      </c>
      <c r="M24" s="99">
        <f t="shared" si="17"/>
        <v>-232267.20685156836</v>
      </c>
      <c r="N24" s="99">
        <f t="shared" si="17"/>
        <v>-4655783.9991782093</v>
      </c>
      <c r="P24" s="110"/>
      <c r="Y24" s="91" t="s">
        <v>88</v>
      </c>
      <c r="AO24" s="91" t="s">
        <v>89</v>
      </c>
      <c r="AP24" s="91" t="s">
        <v>88</v>
      </c>
    </row>
    <row r="25" spans="1:43">
      <c r="A25" s="90">
        <v>19</v>
      </c>
      <c r="B25" s="91" t="s">
        <v>170</v>
      </c>
      <c r="C25" s="99">
        <f t="shared" ref="C25:N25" si="18">IF(C24&lt;0,0,C24*0.25)</f>
        <v>0</v>
      </c>
      <c r="D25" s="99">
        <f t="shared" si="18"/>
        <v>0</v>
      </c>
      <c r="E25" s="99">
        <f t="shared" si="18"/>
        <v>0</v>
      </c>
      <c r="F25" s="99">
        <f t="shared" si="18"/>
        <v>13429.915220645256</v>
      </c>
      <c r="G25" s="99">
        <f t="shared" si="18"/>
        <v>0</v>
      </c>
      <c r="H25" s="99">
        <f t="shared" si="18"/>
        <v>0</v>
      </c>
      <c r="I25" s="99">
        <f t="shared" si="18"/>
        <v>0</v>
      </c>
      <c r="J25" s="99">
        <f t="shared" si="18"/>
        <v>0</v>
      </c>
      <c r="K25" s="99">
        <f t="shared" si="18"/>
        <v>0</v>
      </c>
      <c r="L25" s="99">
        <f t="shared" si="18"/>
        <v>0</v>
      </c>
      <c r="M25" s="99">
        <f t="shared" si="18"/>
        <v>0</v>
      </c>
      <c r="N25" s="99">
        <f t="shared" si="18"/>
        <v>0</v>
      </c>
      <c r="O25" s="2"/>
      <c r="P25" s="2"/>
      <c r="Q25" s="2"/>
      <c r="Y25" s="91" t="s">
        <v>34</v>
      </c>
      <c r="AO25" s="91" t="s">
        <v>90</v>
      </c>
      <c r="AP25" s="91" t="s">
        <v>34</v>
      </c>
    </row>
    <row r="26" spans="1:43">
      <c r="A26" s="90">
        <v>20</v>
      </c>
      <c r="B26" s="91" t="s">
        <v>91</v>
      </c>
      <c r="C26" s="99">
        <f t="shared" ref="C26:M26" si="19">C24-C25</f>
        <v>-1032212.7311182348</v>
      </c>
      <c r="D26" s="99">
        <f t="shared" si="19"/>
        <v>-452535.28794007143</v>
      </c>
      <c r="E26" s="99">
        <f t="shared" si="19"/>
        <v>-19702.833472928032</v>
      </c>
      <c r="F26" s="99">
        <f t="shared" si="19"/>
        <v>40289.745661935769</v>
      </c>
      <c r="G26" s="99">
        <f t="shared" si="19"/>
        <v>-1214494.8507864906</v>
      </c>
      <c r="H26" s="99">
        <f t="shared" si="19"/>
        <v>0</v>
      </c>
      <c r="I26" s="99">
        <f t="shared" si="19"/>
        <v>-841876.21327822201</v>
      </c>
      <c r="J26" s="99">
        <f t="shared" si="19"/>
        <v>-396577.69092699705</v>
      </c>
      <c r="K26" s="99">
        <f t="shared" si="19"/>
        <v>-55302.431983138755</v>
      </c>
      <c r="L26" s="99">
        <f t="shared" si="19"/>
        <v>-464534.41370313673</v>
      </c>
      <c r="M26" s="99">
        <f t="shared" si="19"/>
        <v>-232267.20685156836</v>
      </c>
      <c r="N26" s="94">
        <f>+SUM(C26:M26)</f>
        <v>-4669213.9143988518</v>
      </c>
      <c r="O26" s="2"/>
      <c r="P26" s="2"/>
      <c r="Q26" s="2"/>
      <c r="Y26" s="91" t="s">
        <v>91</v>
      </c>
      <c r="AO26" s="91" t="s">
        <v>92</v>
      </c>
      <c r="AP26" s="91" t="s">
        <v>91</v>
      </c>
    </row>
    <row r="27" spans="1:43">
      <c r="A27" s="90">
        <v>21</v>
      </c>
      <c r="B27" s="91" t="s">
        <v>95</v>
      </c>
      <c r="C27" s="101">
        <f t="shared" ref="C27:N27" si="20">C26/C7</f>
        <v>-4.5209317293162993E-2</v>
      </c>
      <c r="D27" s="101">
        <f t="shared" si="20"/>
        <v>-3.9640688013355088E-2</v>
      </c>
      <c r="E27" s="101">
        <f t="shared" si="20"/>
        <v>-1.0834161471731715E-3</v>
      </c>
      <c r="F27" s="101">
        <f t="shared" si="20"/>
        <v>4.4308917370304056E-3</v>
      </c>
      <c r="G27" s="101">
        <f t="shared" si="20"/>
        <v>-0.17371888372009295</v>
      </c>
      <c r="H27" s="101" t="e">
        <f t="shared" si="20"/>
        <v>#DIV/0!</v>
      </c>
      <c r="I27" s="101">
        <f t="shared" si="20"/>
        <v>-0.14635694169298319</v>
      </c>
      <c r="J27" s="101">
        <f t="shared" si="20"/>
        <v>-0.13788701253769434</v>
      </c>
      <c r="K27" s="101">
        <f t="shared" si="20"/>
        <v>-0.10774439334645997</v>
      </c>
      <c r="L27" s="101">
        <f t="shared" si="20"/>
        <v>-0.37494563391753172</v>
      </c>
      <c r="M27" s="101">
        <f t="shared" si="20"/>
        <v>-0.37494563391753172</v>
      </c>
      <c r="N27" s="111">
        <f t="shared" si="20"/>
        <v>-5.8719177822833465E-2</v>
      </c>
      <c r="O27" s="2"/>
      <c r="P27" s="2"/>
      <c r="Q27" s="2"/>
      <c r="Y27" s="91" t="s">
        <v>95</v>
      </c>
      <c r="AO27" s="91" t="s">
        <v>94</v>
      </c>
      <c r="AP27" s="91" t="s">
        <v>95</v>
      </c>
    </row>
    <row r="28" spans="1:43">
      <c r="O28" s="2"/>
      <c r="P28" s="2"/>
      <c r="Q28" s="2"/>
      <c r="Y28" s="91"/>
    </row>
    <row r="29" spans="1:43">
      <c r="A29" s="88" t="s">
        <v>96</v>
      </c>
      <c r="N29" s="89" t="s">
        <v>171</v>
      </c>
      <c r="O29" s="2"/>
      <c r="P29" s="2"/>
      <c r="Q29" s="2"/>
      <c r="Y29" s="91"/>
      <c r="AO29" s="88" t="s">
        <v>96</v>
      </c>
    </row>
    <row r="30" spans="1:43">
      <c r="A30" s="91" t="s">
        <v>97</v>
      </c>
      <c r="B30" s="95" t="s">
        <v>98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2"/>
      <c r="P30" s="2"/>
      <c r="Q30" s="2"/>
      <c r="S30" s="2"/>
      <c r="Y30" s="95" t="s">
        <v>98</v>
      </c>
      <c r="AO30" s="91" t="s">
        <v>99</v>
      </c>
      <c r="AP30" s="95" t="s">
        <v>98</v>
      </c>
    </row>
    <row r="31" spans="1:43">
      <c r="A31" s="90">
        <v>1</v>
      </c>
      <c r="B31" s="97" t="s">
        <v>100</v>
      </c>
      <c r="C31" s="102">
        <f>销量!C8</f>
        <v>2283.1858407079649</v>
      </c>
      <c r="D31" s="102">
        <f>销量!D8</f>
        <v>2283.1858407079649</v>
      </c>
      <c r="E31" s="102">
        <f>销量!E8</f>
        <v>1818.5840707964603</v>
      </c>
      <c r="F31" s="102">
        <f>销量!F8</f>
        <v>1818.5840707964603</v>
      </c>
      <c r="G31" s="102">
        <f>销量!G8</f>
        <v>699.11504424778764</v>
      </c>
      <c r="H31" s="102">
        <f>销量!H8</f>
        <v>0</v>
      </c>
      <c r="I31" s="102">
        <f>销量!I8</f>
        <v>575.22123893805315</v>
      </c>
      <c r="J31" s="102">
        <f>销量!J8</f>
        <v>575.22123893805315</v>
      </c>
      <c r="K31" s="102">
        <f>销量!K8</f>
        <v>1026.5486725663718</v>
      </c>
      <c r="L31" s="102">
        <f>销量!L8</f>
        <v>61.946902654867266</v>
      </c>
      <c r="M31" s="102">
        <f>销量!M8</f>
        <v>61.946902654867266</v>
      </c>
      <c r="N31" s="99"/>
      <c r="O31" s="2"/>
      <c r="P31" s="2"/>
      <c r="Q31" s="2"/>
      <c r="S31" s="2"/>
      <c r="Y31" s="91" t="s">
        <v>100</v>
      </c>
      <c r="AO31" s="91" t="s">
        <v>55</v>
      </c>
      <c r="AP31" s="91" t="s">
        <v>100</v>
      </c>
    </row>
    <row r="32" spans="1:43">
      <c r="A32" s="90">
        <v>2</v>
      </c>
      <c r="B32" s="91" t="s">
        <v>172</v>
      </c>
      <c r="C32" s="94">
        <f t="shared" ref="C32:M32" si="21">C31*1</f>
        <v>2283.1858407079649</v>
      </c>
      <c r="D32" s="94">
        <f t="shared" si="21"/>
        <v>2283.1858407079649</v>
      </c>
      <c r="E32" s="94">
        <f t="shared" si="21"/>
        <v>1818.5840707964603</v>
      </c>
      <c r="F32" s="94">
        <f t="shared" si="21"/>
        <v>1818.5840707964603</v>
      </c>
      <c r="G32" s="94">
        <f t="shared" si="21"/>
        <v>699.11504424778764</v>
      </c>
      <c r="H32" s="94">
        <f t="shared" si="21"/>
        <v>0</v>
      </c>
      <c r="I32" s="94">
        <f t="shared" si="21"/>
        <v>575.22123893805315</v>
      </c>
      <c r="J32" s="94">
        <f t="shared" si="21"/>
        <v>575.22123893805315</v>
      </c>
      <c r="K32" s="94">
        <f t="shared" si="21"/>
        <v>1026.5486725663718</v>
      </c>
      <c r="L32" s="94">
        <f t="shared" si="21"/>
        <v>61.946902654867266</v>
      </c>
      <c r="M32" s="94">
        <f t="shared" si="21"/>
        <v>61.946902654867266</v>
      </c>
      <c r="N32" s="99"/>
      <c r="O32" s="2"/>
      <c r="P32" s="2"/>
      <c r="Q32" s="2"/>
      <c r="R32" s="2"/>
      <c r="S32" s="2"/>
      <c r="T32" s="2"/>
      <c r="U32" s="2"/>
      <c r="AO32" s="91"/>
      <c r="AP32" s="91"/>
    </row>
    <row r="33" spans="1:42">
      <c r="A33" s="90">
        <v>3</v>
      </c>
      <c r="B33" s="97" t="s">
        <v>101</v>
      </c>
      <c r="C33" s="94">
        <f>材料成本!D27</f>
        <v>1740.779452483557</v>
      </c>
      <c r="D33" s="94">
        <f>材料成本!E27</f>
        <v>1728.0652369597476</v>
      </c>
      <c r="E33" s="94">
        <f>材料成本!F27</f>
        <v>1300.7408520995571</v>
      </c>
      <c r="F33" s="94">
        <f>材料成本!G27</f>
        <v>1288.0266365757479</v>
      </c>
      <c r="G33" s="94">
        <f>材料成本!H27</f>
        <v>603.90323967162124</v>
      </c>
      <c r="H33" s="94">
        <f>材料成本!I27</f>
        <v>0</v>
      </c>
      <c r="I33" s="94">
        <f>材料成本!J27</f>
        <v>476.29801308893593</v>
      </c>
      <c r="J33" s="94">
        <f>材料成本!K27</f>
        <v>471.42592994651307</v>
      </c>
      <c r="K33" s="94">
        <f>材料成本!L27</f>
        <v>831.82322032916124</v>
      </c>
      <c r="L33" s="94">
        <f>材料成本!M27</f>
        <v>41.057466428571423</v>
      </c>
      <c r="M33" s="94">
        <f>材料成本!N27</f>
        <v>41.057466428571423</v>
      </c>
      <c r="N33" s="99"/>
      <c r="P33" s="2"/>
      <c r="Q33" s="2"/>
      <c r="R33" s="2"/>
      <c r="S33" s="2"/>
      <c r="T33" s="2"/>
      <c r="U33" s="2"/>
      <c r="Y33" s="91" t="s">
        <v>101</v>
      </c>
      <c r="AO33" s="91" t="s">
        <v>57</v>
      </c>
      <c r="AP33" s="91" t="s">
        <v>101</v>
      </c>
    </row>
    <row r="34" spans="1:42" ht="17.25" customHeight="1">
      <c r="A34" s="90">
        <v>4</v>
      </c>
      <c r="B34" s="91" t="s">
        <v>103</v>
      </c>
      <c r="C34" s="103">
        <f t="shared" ref="C34:M34" si="22">C32-C33</f>
        <v>542.40638822440792</v>
      </c>
      <c r="D34" s="103">
        <f t="shared" si="22"/>
        <v>555.12060374821726</v>
      </c>
      <c r="E34" s="103">
        <f t="shared" si="22"/>
        <v>517.84321869690325</v>
      </c>
      <c r="F34" s="103">
        <f t="shared" si="22"/>
        <v>530.55743422071237</v>
      </c>
      <c r="G34" s="103">
        <f t="shared" si="22"/>
        <v>95.211804576166401</v>
      </c>
      <c r="H34" s="103">
        <f t="shared" si="22"/>
        <v>0</v>
      </c>
      <c r="I34" s="103">
        <f t="shared" si="22"/>
        <v>98.923225849117216</v>
      </c>
      <c r="J34" s="103">
        <f t="shared" si="22"/>
        <v>103.79530899154008</v>
      </c>
      <c r="K34" s="103">
        <f t="shared" si="22"/>
        <v>194.72545223721056</v>
      </c>
      <c r="L34" s="103">
        <f t="shared" si="22"/>
        <v>20.889436226295842</v>
      </c>
      <c r="M34" s="103">
        <f t="shared" si="22"/>
        <v>20.889436226295842</v>
      </c>
      <c r="N34" s="99"/>
      <c r="P34" s="2"/>
      <c r="Q34" s="2"/>
      <c r="R34" s="2"/>
      <c r="S34" s="2"/>
      <c r="T34" s="2"/>
      <c r="U34" s="2"/>
      <c r="Y34" s="91" t="s">
        <v>103</v>
      </c>
      <c r="AO34" s="91" t="s">
        <v>102</v>
      </c>
      <c r="AP34" s="91" t="s">
        <v>103</v>
      </c>
    </row>
    <row r="35" spans="1:42">
      <c r="A35" s="91" t="s">
        <v>99</v>
      </c>
      <c r="B35" s="95" t="s">
        <v>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2"/>
      <c r="P35" s="2"/>
      <c r="Q35" s="2"/>
      <c r="R35" s="2"/>
      <c r="S35" s="2"/>
      <c r="T35" s="2"/>
      <c r="U35" s="2"/>
      <c r="V35" s="2"/>
      <c r="W35" s="2"/>
      <c r="X35" s="2"/>
      <c r="Y35" s="95" t="s">
        <v>8</v>
      </c>
      <c r="AO35" s="91" t="s">
        <v>105</v>
      </c>
      <c r="AP35" s="95" t="s">
        <v>8</v>
      </c>
    </row>
    <row r="36" spans="1:42">
      <c r="A36" s="90">
        <v>1</v>
      </c>
      <c r="B36" s="91" t="s">
        <v>106</v>
      </c>
      <c r="C36" s="98">
        <f>标准成本!E4</f>
        <v>98.405309734513281</v>
      </c>
      <c r="D36" s="98">
        <f>标准成本!E16</f>
        <v>98.405309734513281</v>
      </c>
      <c r="E36" s="98">
        <f>标准成本!E29</f>
        <v>78.380973451327435</v>
      </c>
      <c r="F36" s="98">
        <f>标准成本!E42</f>
        <v>78.380973451327435</v>
      </c>
      <c r="G36" s="98">
        <f>标准成本!E55</f>
        <v>30.131858407079648</v>
      </c>
      <c r="H36" s="98">
        <f>标准成本!E68</f>
        <v>0</v>
      </c>
      <c r="I36" s="98">
        <f>标准成本!E81</f>
        <v>24.792035398230091</v>
      </c>
      <c r="J36" s="98">
        <f>标准成本!E94</f>
        <v>24.792035398230091</v>
      </c>
      <c r="K36" s="98">
        <f>标准成本!E107</f>
        <v>44.244247787610625</v>
      </c>
      <c r="L36" s="98">
        <f>标准成本!E120</f>
        <v>2.6699115044247792</v>
      </c>
      <c r="M36" s="98">
        <f>标准成本!E133</f>
        <v>2.6699115044247792</v>
      </c>
      <c r="N36" s="102"/>
      <c r="O36" s="2"/>
      <c r="P36" s="2"/>
      <c r="Q36" s="2"/>
      <c r="R36" s="2"/>
      <c r="S36" s="2"/>
      <c r="T36" s="2"/>
      <c r="U36" s="2"/>
      <c r="V36" s="2"/>
      <c r="W36" s="2"/>
      <c r="X36" s="2"/>
      <c r="Y36" s="91" t="s">
        <v>106</v>
      </c>
      <c r="AO36" s="91" t="s">
        <v>102</v>
      </c>
      <c r="AP36" s="91" t="s">
        <v>106</v>
      </c>
    </row>
    <row r="37" spans="1:42">
      <c r="A37" s="90">
        <v>2</v>
      </c>
      <c r="B37" s="91" t="s">
        <v>107</v>
      </c>
      <c r="C37" s="98">
        <f>标准成本!E6</f>
        <v>49.545132743362842</v>
      </c>
      <c r="D37" s="98">
        <f>标准成本!E18</f>
        <v>49.545132743362842</v>
      </c>
      <c r="E37" s="98">
        <f>标准成本!E31</f>
        <v>39.463274336283192</v>
      </c>
      <c r="F37" s="98">
        <f>标准成本!E44</f>
        <v>39.463274336283192</v>
      </c>
      <c r="G37" s="98">
        <f>标准成本!E57</f>
        <v>15.170796460176993</v>
      </c>
      <c r="H37" s="98">
        <f>标准成本!E70</f>
        <v>0</v>
      </c>
      <c r="I37" s="98">
        <f>标准成本!E83</f>
        <v>12.482300884955754</v>
      </c>
      <c r="J37" s="98">
        <f>标准成本!E96</f>
        <v>12.482300884955754</v>
      </c>
      <c r="K37" s="98">
        <f>标准成本!E109</f>
        <v>22.276106194690268</v>
      </c>
      <c r="L37" s="98">
        <f>标准成本!E122</f>
        <v>1.3442477876106198</v>
      </c>
      <c r="M37" s="98">
        <f>标准成本!E135</f>
        <v>1.3442477876106198</v>
      </c>
      <c r="N37" s="102"/>
      <c r="O37" s="2"/>
      <c r="P37" s="2"/>
      <c r="Q37" s="2"/>
      <c r="R37" s="2"/>
      <c r="S37" s="2"/>
      <c r="T37" s="2"/>
      <c r="U37" s="2"/>
      <c r="V37" s="2"/>
      <c r="W37" s="2"/>
      <c r="X37" s="2"/>
      <c r="Y37" s="91" t="s">
        <v>107</v>
      </c>
      <c r="AO37" s="91" t="s">
        <v>60</v>
      </c>
      <c r="AP37" s="91" t="s">
        <v>107</v>
      </c>
    </row>
    <row r="38" spans="1:42">
      <c r="A38" s="90">
        <v>3</v>
      </c>
      <c r="B38" s="91" t="s">
        <v>108</v>
      </c>
      <c r="C38" s="98">
        <f>标准成本!E10</f>
        <v>100.46017699115045</v>
      </c>
      <c r="D38" s="98">
        <f>标准成本!E22</f>
        <v>100.46017699115045</v>
      </c>
      <c r="E38" s="98">
        <f>标准成本!E35</f>
        <v>80.017699115044252</v>
      </c>
      <c r="F38" s="98">
        <f>标准成本!E48</f>
        <v>80.017699115044252</v>
      </c>
      <c r="G38" s="98">
        <f>标准成本!E61</f>
        <v>30.761061946902654</v>
      </c>
      <c r="H38" s="98">
        <f>标准成本!E74</f>
        <v>0</v>
      </c>
      <c r="I38" s="98">
        <f>标准成本!E87</f>
        <v>25.309734513274336</v>
      </c>
      <c r="J38" s="98">
        <f>标准成本!E100</f>
        <v>25.309734513274336</v>
      </c>
      <c r="K38" s="98">
        <f>标准成本!E113</f>
        <v>45.168141592920357</v>
      </c>
      <c r="L38" s="98">
        <f>标准成本!E126</f>
        <v>2.7256637168141595</v>
      </c>
      <c r="M38" s="98">
        <f>标准成本!E139</f>
        <v>2.7256637168141595</v>
      </c>
      <c r="N38" s="102"/>
      <c r="O38" s="2"/>
      <c r="P38" s="2"/>
      <c r="Q38" s="2"/>
      <c r="R38" s="2"/>
      <c r="S38" s="2"/>
      <c r="T38" s="2"/>
      <c r="U38" s="2"/>
      <c r="V38" s="2"/>
      <c r="W38" s="2"/>
      <c r="X38" s="2"/>
      <c r="Y38" s="91" t="s">
        <v>108</v>
      </c>
      <c r="AO38" s="91" t="s">
        <v>66</v>
      </c>
      <c r="AP38" s="91" t="s">
        <v>108</v>
      </c>
    </row>
    <row r="39" spans="1:42">
      <c r="A39" s="91" t="s">
        <v>105</v>
      </c>
      <c r="B39" s="95" t="s">
        <v>110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Y39" s="95" t="s">
        <v>110</v>
      </c>
      <c r="AO39" s="91" t="s">
        <v>109</v>
      </c>
      <c r="AP39" s="95" t="s">
        <v>110</v>
      </c>
    </row>
    <row r="40" spans="1:42">
      <c r="A40" s="90">
        <v>1</v>
      </c>
      <c r="B40" s="91" t="s">
        <v>112</v>
      </c>
      <c r="C40" s="99">
        <f t="shared" ref="C40:M40" si="23">C34-C36-C37-C38</f>
        <v>293.99576875538139</v>
      </c>
      <c r="D40" s="99">
        <f t="shared" si="23"/>
        <v>306.70998427919073</v>
      </c>
      <c r="E40" s="99">
        <f t="shared" si="23"/>
        <v>319.98127179424836</v>
      </c>
      <c r="F40" s="99">
        <f t="shared" si="23"/>
        <v>332.69548731805747</v>
      </c>
      <c r="G40" s="99">
        <f t="shared" si="23"/>
        <v>19.148087762007105</v>
      </c>
      <c r="H40" s="99">
        <f t="shared" si="23"/>
        <v>0</v>
      </c>
      <c r="I40" s="99">
        <f t="shared" si="23"/>
        <v>36.339155052657027</v>
      </c>
      <c r="J40" s="99">
        <f t="shared" si="23"/>
        <v>41.2112381950799</v>
      </c>
      <c r="K40" s="99">
        <f t="shared" si="23"/>
        <v>83.036956661989308</v>
      </c>
      <c r="L40" s="99">
        <f t="shared" si="23"/>
        <v>14.149613217446285</v>
      </c>
      <c r="M40" s="99">
        <f t="shared" si="23"/>
        <v>14.149613217446285</v>
      </c>
      <c r="N40" s="99"/>
      <c r="Y40" s="91" t="s">
        <v>112</v>
      </c>
      <c r="AO40" s="91" t="s">
        <v>55</v>
      </c>
      <c r="AP40" s="91" t="s">
        <v>112</v>
      </c>
    </row>
    <row r="41" spans="1:42">
      <c r="A41" s="90">
        <v>2</v>
      </c>
      <c r="B41" s="91" t="s">
        <v>113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Y41" s="91" t="s">
        <v>113</v>
      </c>
      <c r="AO41" s="91" t="s">
        <v>57</v>
      </c>
      <c r="AP41" s="91" t="s">
        <v>113</v>
      </c>
    </row>
    <row r="42" spans="1:42">
      <c r="A42" s="91" t="s">
        <v>109</v>
      </c>
      <c r="B42" s="95" t="s">
        <v>115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Y42" s="95" t="s">
        <v>115</v>
      </c>
      <c r="AO42" s="91" t="s">
        <v>114</v>
      </c>
      <c r="AP42" s="95" t="s">
        <v>115</v>
      </c>
    </row>
    <row r="43" spans="1:42">
      <c r="A43" s="90">
        <v>1</v>
      </c>
      <c r="B43" s="100" t="s">
        <v>116</v>
      </c>
      <c r="C43" s="98">
        <f>标准成本!E5</f>
        <v>93.61061946902656</v>
      </c>
      <c r="D43" s="98">
        <f>标准成本!E17</f>
        <v>93.61061946902656</v>
      </c>
      <c r="E43" s="98">
        <f>标准成本!E30</f>
        <v>74.561946902654881</v>
      </c>
      <c r="F43" s="98">
        <f>标准成本!E43</f>
        <v>74.561946902654881</v>
      </c>
      <c r="G43" s="98">
        <f>标准成本!E56</f>
        <v>28.663716814159294</v>
      </c>
      <c r="H43" s="98">
        <f>标准成本!E69</f>
        <v>0</v>
      </c>
      <c r="I43" s="98">
        <f>标准成本!E82</f>
        <v>23.584070796460178</v>
      </c>
      <c r="J43" s="98">
        <f>标准成本!E95</f>
        <v>23.584070796460178</v>
      </c>
      <c r="K43" s="98">
        <f>标准成本!E108</f>
        <v>42.088495575221245</v>
      </c>
      <c r="L43" s="98">
        <f>标准成本!E121</f>
        <v>2.5398230088495581</v>
      </c>
      <c r="M43" s="98">
        <f>标准成本!E134</f>
        <v>2.5398230088495581</v>
      </c>
      <c r="N43" s="99"/>
      <c r="Y43" s="91" t="s">
        <v>116</v>
      </c>
      <c r="AO43" s="91" t="s">
        <v>55</v>
      </c>
      <c r="AP43" s="91" t="s">
        <v>116</v>
      </c>
    </row>
    <row r="44" spans="1:42">
      <c r="A44" s="90">
        <v>2</v>
      </c>
      <c r="B44" s="100" t="s">
        <v>117</v>
      </c>
      <c r="C44" s="98">
        <f>标准成本!E9</f>
        <v>15.982300884955755</v>
      </c>
      <c r="D44" s="98">
        <f>标准成本!E21</f>
        <v>15.982300884955755</v>
      </c>
      <c r="E44" s="98">
        <f>标准成本!E34</f>
        <v>12.730088495575222</v>
      </c>
      <c r="F44" s="98">
        <f>标准成本!E47</f>
        <v>12.730088495575222</v>
      </c>
      <c r="G44" s="98">
        <f>标准成本!E60</f>
        <v>4.893805309734514</v>
      </c>
      <c r="H44" s="98">
        <f>标准成本!E73</f>
        <v>0</v>
      </c>
      <c r="I44" s="98">
        <f>标准成本!E86</f>
        <v>4.0265486725663724</v>
      </c>
      <c r="J44" s="98">
        <f>标准成本!E99</f>
        <v>4.0265486725663724</v>
      </c>
      <c r="K44" s="98">
        <f>标准成本!E112</f>
        <v>7.1858407079646032</v>
      </c>
      <c r="L44" s="98">
        <f>标准成本!E125</f>
        <v>0.43362831858407086</v>
      </c>
      <c r="M44" s="98">
        <f>标准成本!E138</f>
        <v>0.43362831858407086</v>
      </c>
      <c r="N44" s="99"/>
      <c r="Y44" s="91" t="s">
        <v>117</v>
      </c>
      <c r="AO44" s="91" t="s">
        <v>57</v>
      </c>
      <c r="AP44" s="91" t="s">
        <v>117</v>
      </c>
    </row>
    <row r="45" spans="1:42">
      <c r="A45" s="90">
        <v>3</v>
      </c>
      <c r="B45" s="100" t="s">
        <v>118</v>
      </c>
      <c r="C45" s="98">
        <f>标准成本!E8</f>
        <v>77.628318584070811</v>
      </c>
      <c r="D45" s="98">
        <f>标准成本!E20</f>
        <v>77.628318584070811</v>
      </c>
      <c r="E45" s="98">
        <f>标准成本!E33</f>
        <v>61.831858407079658</v>
      </c>
      <c r="F45" s="98">
        <f>标准成本!E46</f>
        <v>61.831858407079658</v>
      </c>
      <c r="G45" s="98">
        <f>标准成本!E59</f>
        <v>23.76991150442478</v>
      </c>
      <c r="H45" s="98">
        <f>标准成本!E72</f>
        <v>0</v>
      </c>
      <c r="I45" s="98">
        <f>标准成本!E85</f>
        <v>19.557522123893808</v>
      </c>
      <c r="J45" s="98">
        <f>标准成本!E98</f>
        <v>19.557522123893808</v>
      </c>
      <c r="K45" s="98">
        <f>标准成本!E111</f>
        <v>34.902654867256643</v>
      </c>
      <c r="L45" s="98">
        <f>标准成本!E124</f>
        <v>2.1061946902654873</v>
      </c>
      <c r="M45" s="98">
        <f>标准成本!E137</f>
        <v>2.1061946902654873</v>
      </c>
      <c r="N45" s="99"/>
      <c r="Y45" s="91" t="s">
        <v>118</v>
      </c>
      <c r="AO45" s="91" t="s">
        <v>102</v>
      </c>
      <c r="AP45" s="91" t="s">
        <v>118</v>
      </c>
    </row>
    <row r="46" spans="1:42" s="87" customFormat="1">
      <c r="A46" s="90">
        <v>4</v>
      </c>
      <c r="B46" s="100" t="s">
        <v>119</v>
      </c>
      <c r="C46" s="104">
        <f>C21/C6</f>
        <v>5.3520467836257311</v>
      </c>
      <c r="D46" s="104">
        <f t="shared" ref="D46:M46" si="24">D21/D6</f>
        <v>5.3520467836257311</v>
      </c>
      <c r="E46" s="104">
        <f t="shared" si="24"/>
        <v>5.3520467836257311</v>
      </c>
      <c r="F46" s="104">
        <f t="shared" si="24"/>
        <v>5.3520467836257311</v>
      </c>
      <c r="G46" s="104">
        <f t="shared" si="24"/>
        <v>5.3520467836257311</v>
      </c>
      <c r="H46" s="104" t="e">
        <f t="shared" si="24"/>
        <v>#DIV/0!</v>
      </c>
      <c r="I46" s="104">
        <f t="shared" si="24"/>
        <v>5.3520467836257311</v>
      </c>
      <c r="J46" s="104">
        <f t="shared" si="24"/>
        <v>5.3520467836257311</v>
      </c>
      <c r="K46" s="104">
        <f t="shared" si="24"/>
        <v>5.3520467836257311</v>
      </c>
      <c r="L46" s="104">
        <f t="shared" si="24"/>
        <v>5.3520467836257311</v>
      </c>
      <c r="M46" s="104">
        <f t="shared" si="24"/>
        <v>5.3520467836257311</v>
      </c>
      <c r="N46" s="104"/>
      <c r="Y46" s="100" t="s">
        <v>121</v>
      </c>
      <c r="AO46" s="100" t="s">
        <v>63</v>
      </c>
      <c r="AP46" s="100" t="s">
        <v>121</v>
      </c>
    </row>
    <row r="47" spans="1:42" s="87" customFormat="1">
      <c r="A47" s="90">
        <v>5</v>
      </c>
      <c r="B47" s="100" t="s">
        <v>121</v>
      </c>
      <c r="C47" s="104">
        <f>标准成本!E11</f>
        <v>68.495575221238937</v>
      </c>
      <c r="D47" s="104">
        <f>标准成本!E23</f>
        <v>68.495575221238937</v>
      </c>
      <c r="E47" s="104">
        <f>标准成本!E36</f>
        <v>54.557522123893804</v>
      </c>
      <c r="F47" s="104">
        <f>标准成本!E49</f>
        <v>54.557522123893804</v>
      </c>
      <c r="G47" s="104">
        <f>标准成本!E62</f>
        <v>20.973451327433629</v>
      </c>
      <c r="H47" s="104">
        <f>标准成本!E75</f>
        <v>0</v>
      </c>
      <c r="I47" s="104">
        <f>标准成本!E88</f>
        <v>17.256637168141594</v>
      </c>
      <c r="J47" s="104">
        <f>标准成本!E101</f>
        <v>17.256637168141594</v>
      </c>
      <c r="K47" s="104">
        <f>标准成本!E114</f>
        <v>30.796460176991154</v>
      </c>
      <c r="L47" s="104">
        <f>标准成本!E127</f>
        <v>1.8584070796460179</v>
      </c>
      <c r="M47" s="104">
        <f>标准成本!E140</f>
        <v>1.8584070796460179</v>
      </c>
      <c r="N47" s="104"/>
      <c r="Y47" s="100" t="s">
        <v>121</v>
      </c>
      <c r="AO47" s="100" t="s">
        <v>63</v>
      </c>
      <c r="AP47" s="100" t="s">
        <v>121</v>
      </c>
    </row>
    <row r="48" spans="1:42">
      <c r="A48" s="91" t="s">
        <v>114</v>
      </c>
      <c r="B48" s="95" t="s">
        <v>132</v>
      </c>
      <c r="C48" s="99">
        <f>C40-C43-C44-C45-C47-C46</f>
        <v>32.92690781246359</v>
      </c>
      <c r="D48" s="99">
        <f t="shared" ref="D48:M48" si="25">D40-D43-D44-D45-D47-D46</f>
        <v>45.641123336272933</v>
      </c>
      <c r="E48" s="99">
        <f t="shared" si="25"/>
        <v>110.94780908141905</v>
      </c>
      <c r="F48" s="99">
        <f t="shared" si="25"/>
        <v>123.66202460522817</v>
      </c>
      <c r="G48" s="99">
        <f t="shared" si="25"/>
        <v>-64.50484397737084</v>
      </c>
      <c r="H48" s="99" t="e">
        <f t="shared" si="25"/>
        <v>#DIV/0!</v>
      </c>
      <c r="I48" s="99">
        <f t="shared" si="25"/>
        <v>-33.437670492030655</v>
      </c>
      <c r="J48" s="99">
        <f t="shared" si="25"/>
        <v>-28.565587349607782</v>
      </c>
      <c r="K48" s="99">
        <f t="shared" si="25"/>
        <v>-37.288541449070067</v>
      </c>
      <c r="L48" s="99">
        <f t="shared" si="25"/>
        <v>1.8595133364754197</v>
      </c>
      <c r="M48" s="99">
        <f t="shared" si="25"/>
        <v>1.8595133364754197</v>
      </c>
      <c r="N48" s="99"/>
      <c r="Y48" s="95" t="s">
        <v>132</v>
      </c>
      <c r="AO48" s="91" t="s">
        <v>131</v>
      </c>
      <c r="AP48" s="95" t="s">
        <v>132</v>
      </c>
    </row>
    <row r="51" spans="2:19"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</row>
    <row r="54" spans="2:19">
      <c r="B54" s="2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2"/>
      <c r="P54" s="2"/>
      <c r="Q54" s="2"/>
      <c r="R54" s="2"/>
      <c r="S54" s="2"/>
    </row>
    <row r="55" spans="2:19">
      <c r="B55" s="2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2"/>
      <c r="P55" s="2"/>
      <c r="Q55" s="2"/>
      <c r="R55" s="2"/>
      <c r="S55" s="2"/>
    </row>
    <row r="56" spans="2:19">
      <c r="B56" s="2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"/>
      <c r="P56" s="2"/>
      <c r="Q56" s="2"/>
      <c r="R56" s="2"/>
      <c r="S56" s="2"/>
    </row>
    <row r="57" spans="2:19">
      <c r="B57" s="2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2"/>
      <c r="P57" s="2"/>
      <c r="Q57" s="2"/>
      <c r="R57" s="2"/>
      <c r="S57" s="2"/>
    </row>
    <row r="58" spans="2:19">
      <c r="B58" s="2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2"/>
      <c r="P58" s="2"/>
      <c r="Q58" s="2"/>
      <c r="R58" s="2"/>
      <c r="S58" s="2"/>
    </row>
    <row r="59" spans="2:19">
      <c r="B59" s="2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2"/>
      <c r="P59" s="2"/>
      <c r="Q59" s="2"/>
      <c r="R59" s="2"/>
      <c r="S59" s="2"/>
    </row>
    <row r="60" spans="2:19">
      <c r="B60" s="2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2"/>
      <c r="P60" s="2"/>
      <c r="Q60" s="2"/>
      <c r="R60" s="2"/>
      <c r="S60" s="2"/>
    </row>
    <row r="61" spans="2:19">
      <c r="B61" s="2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2"/>
      <c r="P61" s="2"/>
      <c r="Q61" s="2"/>
      <c r="R61" s="2"/>
      <c r="S61" s="2"/>
    </row>
    <row r="62" spans="2:19">
      <c r="B62" s="2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2"/>
      <c r="P62" s="2"/>
      <c r="Q62" s="2"/>
      <c r="R62" s="2"/>
      <c r="S62" s="2"/>
    </row>
    <row r="63" spans="2:19">
      <c r="B63" s="2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2"/>
      <c r="P63" s="2"/>
      <c r="Q63" s="2"/>
      <c r="R63" s="2"/>
      <c r="S63" s="2"/>
    </row>
    <row r="64" spans="2:19">
      <c r="B64" s="2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2"/>
      <c r="P64" s="2"/>
      <c r="Q64" s="2"/>
      <c r="R64" s="2"/>
      <c r="S64" s="2"/>
    </row>
    <row r="65" spans="2:19">
      <c r="B65" s="2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2"/>
      <c r="P65" s="2"/>
      <c r="Q65" s="2"/>
      <c r="R65" s="2"/>
      <c r="S65" s="2"/>
    </row>
    <row r="66" spans="2:19">
      <c r="B66" s="2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2"/>
      <c r="P66" s="2"/>
      <c r="Q66" s="2"/>
      <c r="R66" s="2"/>
      <c r="S66" s="2"/>
    </row>
    <row r="67" spans="2:19">
      <c r="B67" s="2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2"/>
    </row>
    <row r="68" spans="2:19">
      <c r="B68" s="2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2"/>
    </row>
    <row r="69" spans="2:19">
      <c r="B69" s="2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2"/>
    </row>
    <row r="70" spans="2:19">
      <c r="B70" s="2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2"/>
    </row>
    <row r="71" spans="2:19">
      <c r="B71" s="2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2"/>
    </row>
    <row r="72" spans="2:19">
      <c r="B72" s="2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2"/>
    </row>
    <row r="73" spans="2:19">
      <c r="B73" s="2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2"/>
    </row>
    <row r="74" spans="2:19">
      <c r="B74" s="2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4"/>
  <sheetViews>
    <sheetView zoomScale="85" zoomScaleNormal="85" workbookViewId="0">
      <pane xSplit="2" ySplit="7" topLeftCell="C29" activePane="bottomRight" state="frozen"/>
      <selection pane="topRight"/>
      <selection pane="bottomLeft"/>
      <selection pane="bottomRight" activeCell="J33" sqref="J33"/>
    </sheetView>
  </sheetViews>
  <sheetFormatPr defaultColWidth="9" defaultRowHeight="16.5"/>
  <cols>
    <col min="1" max="1" width="5.125" style="88" customWidth="1"/>
    <col min="2" max="2" width="17.5" style="88" customWidth="1"/>
    <col min="3" max="13" width="11.75" style="89" customWidth="1"/>
    <col min="14" max="14" width="18.75" style="89" customWidth="1"/>
    <col min="15" max="15" width="12.375" style="88" customWidth="1"/>
    <col min="16" max="16" width="10.125" style="88" customWidth="1"/>
    <col min="17" max="23" width="9" style="88" customWidth="1"/>
    <col min="24" max="40" width="9" style="88"/>
    <col min="41" max="41" width="4.375" style="88" customWidth="1"/>
    <col min="42" max="42" width="13.875" style="88" customWidth="1"/>
    <col min="43" max="16384" width="9" style="88"/>
  </cols>
  <sheetData>
    <row r="1" spans="1:43">
      <c r="A1" s="194" t="s">
        <v>142</v>
      </c>
      <c r="B1" s="194"/>
      <c r="C1" s="198" t="s">
        <v>174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43">
      <c r="A2" s="194" t="s">
        <v>144</v>
      </c>
      <c r="B2" s="194"/>
      <c r="C2" s="201" t="s">
        <v>145</v>
      </c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43" ht="33">
      <c r="A3" s="194" t="s">
        <v>146</v>
      </c>
      <c r="B3" s="194"/>
      <c r="C3" s="14" t="s">
        <v>147</v>
      </c>
      <c r="D3" s="14" t="s">
        <v>147</v>
      </c>
      <c r="E3" s="14" t="s">
        <v>147</v>
      </c>
      <c r="F3" s="14" t="s">
        <v>147</v>
      </c>
      <c r="G3" s="14" t="s">
        <v>148</v>
      </c>
      <c r="H3" s="14" t="s">
        <v>148</v>
      </c>
      <c r="I3" s="14" t="s">
        <v>148</v>
      </c>
      <c r="J3" s="14" t="s">
        <v>148</v>
      </c>
      <c r="K3" s="14" t="s">
        <v>148</v>
      </c>
      <c r="L3" s="14" t="s">
        <v>149</v>
      </c>
      <c r="M3" s="14" t="s">
        <v>149</v>
      </c>
      <c r="N3" s="195" t="s">
        <v>51</v>
      </c>
    </row>
    <row r="4" spans="1:43" ht="33">
      <c r="A4" s="194" t="s">
        <v>150</v>
      </c>
      <c r="B4" s="194"/>
      <c r="C4" s="14" t="s">
        <v>151</v>
      </c>
      <c r="D4" s="16" t="s">
        <v>152</v>
      </c>
      <c r="E4" s="16" t="s">
        <v>153</v>
      </c>
      <c r="F4" s="16" t="s">
        <v>154</v>
      </c>
      <c r="G4" s="16" t="s">
        <v>155</v>
      </c>
      <c r="H4" s="16" t="s">
        <v>156</v>
      </c>
      <c r="I4" s="16" t="s">
        <v>157</v>
      </c>
      <c r="J4" s="16" t="s">
        <v>158</v>
      </c>
      <c r="K4" s="16" t="s">
        <v>159</v>
      </c>
      <c r="L4" s="16" t="s">
        <v>160</v>
      </c>
      <c r="M4" s="16" t="s">
        <v>161</v>
      </c>
      <c r="N4" s="196"/>
    </row>
    <row r="5" spans="1:43">
      <c r="A5" s="194" t="s">
        <v>162</v>
      </c>
      <c r="B5" s="194"/>
      <c r="C5" s="49" t="s">
        <v>163</v>
      </c>
      <c r="D5" s="49" t="s">
        <v>163</v>
      </c>
      <c r="E5" s="16" t="s">
        <v>164</v>
      </c>
      <c r="F5" s="16" t="s">
        <v>164</v>
      </c>
      <c r="G5" s="49" t="s">
        <v>163</v>
      </c>
      <c r="H5" s="49" t="s">
        <v>163</v>
      </c>
      <c r="I5" s="16" t="s">
        <v>164</v>
      </c>
      <c r="J5" s="16" t="s">
        <v>164</v>
      </c>
      <c r="K5" s="16" t="s">
        <v>165</v>
      </c>
      <c r="L5" s="16" t="s">
        <v>166</v>
      </c>
      <c r="M5" s="16" t="s">
        <v>166</v>
      </c>
      <c r="N5" s="197"/>
      <c r="AQ5" s="88" t="s">
        <v>52</v>
      </c>
    </row>
    <row r="6" spans="1:43" ht="17.25">
      <c r="A6" s="91" t="s">
        <v>17</v>
      </c>
      <c r="B6" s="92" t="s">
        <v>167</v>
      </c>
      <c r="C6" s="93">
        <f>销量!C11</f>
        <v>10000</v>
      </c>
      <c r="D6" s="93">
        <f>销量!D11</f>
        <v>5000</v>
      </c>
      <c r="E6" s="93">
        <f>销量!E11</f>
        <v>10000</v>
      </c>
      <c r="F6" s="93">
        <f>销量!F11</f>
        <v>5000</v>
      </c>
      <c r="G6" s="93">
        <f>销量!G11</f>
        <v>10000</v>
      </c>
      <c r="H6" s="93">
        <f>销量!H11</f>
        <v>0</v>
      </c>
      <c r="I6" s="93">
        <f>销量!I11</f>
        <v>10000</v>
      </c>
      <c r="J6" s="93">
        <f>销量!J11</f>
        <v>5000</v>
      </c>
      <c r="K6" s="93">
        <f>销量!K11</f>
        <v>1000</v>
      </c>
      <c r="L6" s="93">
        <f>销量!L11</f>
        <v>20000</v>
      </c>
      <c r="M6" s="93">
        <f>销量!M11</f>
        <v>10000</v>
      </c>
      <c r="N6" s="94">
        <f t="shared" ref="N6:N15" si="0">+SUM(C6:M6)</f>
        <v>86000</v>
      </c>
      <c r="Y6" s="92" t="s">
        <v>3</v>
      </c>
      <c r="AO6" s="91" t="s">
        <v>17</v>
      </c>
      <c r="AP6" s="92" t="s">
        <v>3</v>
      </c>
      <c r="AQ6" s="88" t="s">
        <v>53</v>
      </c>
    </row>
    <row r="7" spans="1:43">
      <c r="A7" s="90">
        <v>1</v>
      </c>
      <c r="B7" s="92" t="s">
        <v>54</v>
      </c>
      <c r="C7" s="94">
        <f>C6*销量!C8</f>
        <v>22831858.407079648</v>
      </c>
      <c r="D7" s="94">
        <f>D6*销量!D8</f>
        <v>11415929.203539824</v>
      </c>
      <c r="E7" s="94">
        <f>E6*销量!E8</f>
        <v>18185840.707964603</v>
      </c>
      <c r="F7" s="94">
        <f>F6*销量!F8</f>
        <v>9092920.3539823014</v>
      </c>
      <c r="G7" s="94">
        <f>G6*销量!G8</f>
        <v>6991150.4424778763</v>
      </c>
      <c r="H7" s="94">
        <f>H6*销量!H8</f>
        <v>0</v>
      </c>
      <c r="I7" s="94">
        <f>I6*销量!I8</f>
        <v>5752212.3893805314</v>
      </c>
      <c r="J7" s="94">
        <f>J6*销量!J8</f>
        <v>2876106.1946902657</v>
      </c>
      <c r="K7" s="94">
        <f>K6*销量!K8</f>
        <v>1026548.6725663719</v>
      </c>
      <c r="L7" s="94">
        <f>L6*销量!L8</f>
        <v>1238938.0530973454</v>
      </c>
      <c r="M7" s="94">
        <f>M6*销量!M8</f>
        <v>619469.0265486727</v>
      </c>
      <c r="N7" s="94">
        <f t="shared" si="0"/>
        <v>80030973.451327443</v>
      </c>
      <c r="O7" s="89"/>
      <c r="Y7" s="92" t="s">
        <v>54</v>
      </c>
      <c r="AO7" s="91" t="s">
        <v>55</v>
      </c>
      <c r="AP7" s="92" t="s">
        <v>54</v>
      </c>
      <c r="AQ7" s="88" t="s">
        <v>53</v>
      </c>
    </row>
    <row r="8" spans="1:43">
      <c r="A8" s="90">
        <v>2</v>
      </c>
      <c r="B8" s="90" t="s">
        <v>56</v>
      </c>
      <c r="C8" s="94">
        <f>C7*(1-销量!$Q$8)</f>
        <v>2226106.1946902666</v>
      </c>
      <c r="D8" s="94">
        <f>D7*(1-销量!$Q$8)</f>
        <v>1113053.0973451333</v>
      </c>
      <c r="E8" s="94">
        <f>E7*(1-销量!$Q$8)</f>
        <v>1773119.4690265493</v>
      </c>
      <c r="F8" s="94">
        <f>F7*(1-销量!$Q$8)</f>
        <v>886559.73451327463</v>
      </c>
      <c r="G8" s="94">
        <f>G7*(1-销量!$Q$8)</f>
        <v>681637.16814159311</v>
      </c>
      <c r="H8" s="94">
        <f>H7*(1-销量!$Q$8)</f>
        <v>0</v>
      </c>
      <c r="I8" s="94">
        <f>I7*(1-销量!$Q$8)</f>
        <v>560840.70796460204</v>
      </c>
      <c r="J8" s="94">
        <f>J7*(1-销量!$Q$8)</f>
        <v>280420.35398230102</v>
      </c>
      <c r="K8" s="94">
        <f>K7*(1-销量!$Q$8)</f>
        <v>100088.49557522128</v>
      </c>
      <c r="L8" s="94">
        <f>L7*(1-销量!$Q$8)</f>
        <v>120796.46017699121</v>
      </c>
      <c r="M8" s="94">
        <f>M7*(1-销量!$Q$8)</f>
        <v>60398.230088495606</v>
      </c>
      <c r="N8" s="94">
        <f t="shared" si="0"/>
        <v>7803019.9115044288</v>
      </c>
      <c r="O8" s="107"/>
      <c r="Y8" s="90" t="s">
        <v>58</v>
      </c>
      <c r="AO8" s="91" t="s">
        <v>57</v>
      </c>
      <c r="AP8" s="90" t="s">
        <v>58</v>
      </c>
      <c r="AQ8" s="88" t="s">
        <v>53</v>
      </c>
    </row>
    <row r="9" spans="1:43">
      <c r="A9" s="90">
        <v>3</v>
      </c>
      <c r="B9" s="92" t="s">
        <v>59</v>
      </c>
      <c r="C9" s="94">
        <f t="shared" ref="C9:M9" si="1">+C7-C8</f>
        <v>20605752.21238938</v>
      </c>
      <c r="D9" s="94">
        <f t="shared" si="1"/>
        <v>10302876.10619469</v>
      </c>
      <c r="E9" s="94">
        <f t="shared" si="1"/>
        <v>16412721.238938054</v>
      </c>
      <c r="F9" s="94">
        <f t="shared" si="1"/>
        <v>8206360.619469027</v>
      </c>
      <c r="G9" s="94">
        <f t="shared" si="1"/>
        <v>6309513.2743362831</v>
      </c>
      <c r="H9" s="94">
        <f t="shared" si="1"/>
        <v>0</v>
      </c>
      <c r="I9" s="94">
        <f t="shared" si="1"/>
        <v>5191371.6814159295</v>
      </c>
      <c r="J9" s="94">
        <f t="shared" si="1"/>
        <v>2595685.8407079647</v>
      </c>
      <c r="K9" s="94">
        <f t="shared" si="1"/>
        <v>926460.1769911506</v>
      </c>
      <c r="L9" s="94">
        <f t="shared" si="1"/>
        <v>1118141.5929203541</v>
      </c>
      <c r="M9" s="94">
        <f t="shared" si="1"/>
        <v>559070.79646017705</v>
      </c>
      <c r="N9" s="94">
        <f t="shared" si="0"/>
        <v>72227953.539823011</v>
      </c>
      <c r="Y9" s="92" t="s">
        <v>59</v>
      </c>
      <c r="AO9" s="91" t="s">
        <v>60</v>
      </c>
      <c r="AP9" s="92" t="s">
        <v>59</v>
      </c>
      <c r="AQ9" s="88" t="s">
        <v>61</v>
      </c>
    </row>
    <row r="10" spans="1:43">
      <c r="A10" s="90">
        <v>4</v>
      </c>
      <c r="B10" s="91" t="s">
        <v>62</v>
      </c>
      <c r="C10" s="94">
        <f t="shared" ref="C10:M10" si="2">C6*C33</f>
        <v>16537404.798593791</v>
      </c>
      <c r="D10" s="94">
        <f t="shared" si="2"/>
        <v>8208309.8755588001</v>
      </c>
      <c r="E10" s="94">
        <f t="shared" si="2"/>
        <v>12357038.094945792</v>
      </c>
      <c r="F10" s="94">
        <f t="shared" si="2"/>
        <v>6118126.5237348024</v>
      </c>
      <c r="G10" s="94">
        <f t="shared" si="2"/>
        <v>5737080.7768804012</v>
      </c>
      <c r="H10" s="94">
        <f t="shared" si="2"/>
        <v>0</v>
      </c>
      <c r="I10" s="94">
        <f t="shared" si="2"/>
        <v>4524831.1243448909</v>
      </c>
      <c r="J10" s="94">
        <f t="shared" si="2"/>
        <v>2239273.167245937</v>
      </c>
      <c r="K10" s="94">
        <f t="shared" si="2"/>
        <v>790232.0593127032</v>
      </c>
      <c r="L10" s="94">
        <f t="shared" si="2"/>
        <v>780091.86214285705</v>
      </c>
      <c r="M10" s="94">
        <f t="shared" si="2"/>
        <v>390045.93107142852</v>
      </c>
      <c r="N10" s="94">
        <f t="shared" si="0"/>
        <v>57682434.213831402</v>
      </c>
      <c r="Y10" s="91" t="s">
        <v>62</v>
      </c>
      <c r="AO10" s="91" t="s">
        <v>63</v>
      </c>
      <c r="AP10" s="91" t="s">
        <v>62</v>
      </c>
      <c r="AQ10" s="88" t="s">
        <v>64</v>
      </c>
    </row>
    <row r="11" spans="1:43">
      <c r="A11" s="90">
        <v>5</v>
      </c>
      <c r="B11" s="91" t="s">
        <v>65</v>
      </c>
      <c r="C11" s="94">
        <f t="shared" ref="C11:M11" si="3">+C6*C36</f>
        <v>984053.09734513285</v>
      </c>
      <c r="D11" s="94">
        <f t="shared" si="3"/>
        <v>492026.54867256642</v>
      </c>
      <c r="E11" s="94">
        <f t="shared" si="3"/>
        <v>783809.73451327439</v>
      </c>
      <c r="F11" s="94">
        <f t="shared" si="3"/>
        <v>391904.8672566372</v>
      </c>
      <c r="G11" s="94">
        <f t="shared" si="3"/>
        <v>301318.5840707965</v>
      </c>
      <c r="H11" s="94">
        <f t="shared" si="3"/>
        <v>0</v>
      </c>
      <c r="I11" s="94">
        <f t="shared" si="3"/>
        <v>247920.35398230091</v>
      </c>
      <c r="J11" s="94">
        <f t="shared" si="3"/>
        <v>123960.17699115045</v>
      </c>
      <c r="K11" s="94">
        <f t="shared" si="3"/>
        <v>44244.247787610628</v>
      </c>
      <c r="L11" s="94">
        <f t="shared" si="3"/>
        <v>53398.230088495584</v>
      </c>
      <c r="M11" s="94">
        <f t="shared" si="3"/>
        <v>26699.115044247792</v>
      </c>
      <c r="N11" s="94">
        <f t="shared" si="0"/>
        <v>3449334.955752213</v>
      </c>
      <c r="Y11" s="91" t="s">
        <v>65</v>
      </c>
      <c r="AO11" s="91" t="s">
        <v>66</v>
      </c>
      <c r="AP11" s="91" t="s">
        <v>65</v>
      </c>
    </row>
    <row r="12" spans="1:43">
      <c r="A12" s="90">
        <v>6</v>
      </c>
      <c r="B12" s="91" t="s">
        <v>67</v>
      </c>
      <c r="C12" s="94">
        <f t="shared" ref="C12:M12" si="4">+C6*C37</f>
        <v>495451.32743362844</v>
      </c>
      <c r="D12" s="94">
        <f t="shared" si="4"/>
        <v>247725.66371681422</v>
      </c>
      <c r="E12" s="94">
        <f t="shared" si="4"/>
        <v>394632.74336283194</v>
      </c>
      <c r="F12" s="94">
        <f t="shared" si="4"/>
        <v>197316.37168141597</v>
      </c>
      <c r="G12" s="94">
        <f t="shared" si="4"/>
        <v>151707.96460176993</v>
      </c>
      <c r="H12" s="94">
        <f t="shared" si="4"/>
        <v>0</v>
      </c>
      <c r="I12" s="94">
        <f t="shared" si="4"/>
        <v>124823.00884955753</v>
      </c>
      <c r="J12" s="94">
        <f t="shared" si="4"/>
        <v>62411.504424778766</v>
      </c>
      <c r="K12" s="94">
        <f t="shared" si="4"/>
        <v>22276.106194690266</v>
      </c>
      <c r="L12" s="94">
        <f t="shared" si="4"/>
        <v>26884.955752212398</v>
      </c>
      <c r="M12" s="94">
        <f t="shared" si="4"/>
        <v>13442.477876106199</v>
      </c>
      <c r="N12" s="94">
        <f t="shared" si="0"/>
        <v>1736672.1238938055</v>
      </c>
      <c r="Y12" s="91" t="s">
        <v>67</v>
      </c>
      <c r="AO12" s="91" t="s">
        <v>68</v>
      </c>
      <c r="AP12" s="91" t="s">
        <v>67</v>
      </c>
    </row>
    <row r="13" spans="1:43">
      <c r="A13" s="90">
        <v>7</v>
      </c>
      <c r="B13" s="91" t="s">
        <v>69</v>
      </c>
      <c r="C13" s="94">
        <f t="shared" ref="C13:M13" si="5">+C6*C38</f>
        <v>1004601.7699115045</v>
      </c>
      <c r="D13" s="94">
        <f t="shared" si="5"/>
        <v>502300.88495575223</v>
      </c>
      <c r="E13" s="94">
        <f t="shared" si="5"/>
        <v>800176.99115044251</v>
      </c>
      <c r="F13" s="94">
        <f t="shared" si="5"/>
        <v>400088.49557522126</v>
      </c>
      <c r="G13" s="94">
        <f t="shared" si="5"/>
        <v>307610.61946902651</v>
      </c>
      <c r="H13" s="94">
        <f t="shared" si="5"/>
        <v>0</v>
      </c>
      <c r="I13" s="94">
        <f t="shared" si="5"/>
        <v>253097.34513274336</v>
      </c>
      <c r="J13" s="94">
        <f t="shared" si="5"/>
        <v>126548.67256637168</v>
      </c>
      <c r="K13" s="94">
        <f t="shared" si="5"/>
        <v>45168.141592920358</v>
      </c>
      <c r="L13" s="94">
        <f t="shared" si="5"/>
        <v>54513.27433628319</v>
      </c>
      <c r="M13" s="94">
        <f t="shared" si="5"/>
        <v>27256.637168141595</v>
      </c>
      <c r="N13" s="94">
        <f t="shared" si="0"/>
        <v>3521362.8318584072</v>
      </c>
      <c r="Y13" s="91" t="s">
        <v>69</v>
      </c>
      <c r="AO13" s="91" t="s">
        <v>70</v>
      </c>
      <c r="AP13" s="91" t="s">
        <v>69</v>
      </c>
      <c r="AQ13" s="88" t="s">
        <v>53</v>
      </c>
    </row>
    <row r="14" spans="1:43">
      <c r="A14" s="90">
        <v>8</v>
      </c>
      <c r="B14" s="95" t="s">
        <v>71</v>
      </c>
      <c r="C14" s="94">
        <f t="shared" ref="C14:M14" si="6">SUM(C11:C13)</f>
        <v>2484106.1946902657</v>
      </c>
      <c r="D14" s="94">
        <f t="shared" si="6"/>
        <v>1242053.0973451328</v>
      </c>
      <c r="E14" s="94">
        <f t="shared" si="6"/>
        <v>1978619.4690265488</v>
      </c>
      <c r="F14" s="94">
        <f t="shared" si="6"/>
        <v>989309.73451327439</v>
      </c>
      <c r="G14" s="94">
        <f t="shared" si="6"/>
        <v>760637.16814159299</v>
      </c>
      <c r="H14" s="94">
        <f t="shared" si="6"/>
        <v>0</v>
      </c>
      <c r="I14" s="94">
        <f t="shared" si="6"/>
        <v>625840.70796460181</v>
      </c>
      <c r="J14" s="94">
        <f t="shared" si="6"/>
        <v>312920.35398230091</v>
      </c>
      <c r="K14" s="94">
        <f t="shared" si="6"/>
        <v>111688.49557522126</v>
      </c>
      <c r="L14" s="94">
        <f t="shared" si="6"/>
        <v>134796.46017699118</v>
      </c>
      <c r="M14" s="94">
        <f t="shared" si="6"/>
        <v>67398.230088495591</v>
      </c>
      <c r="N14" s="94">
        <f t="shared" si="0"/>
        <v>8707369.9115044251</v>
      </c>
      <c r="Y14" s="95" t="s">
        <v>71</v>
      </c>
      <c r="AO14" s="91" t="s">
        <v>72</v>
      </c>
      <c r="AP14" s="95" t="s">
        <v>71</v>
      </c>
    </row>
    <row r="15" spans="1:43">
      <c r="A15" s="90">
        <v>9</v>
      </c>
      <c r="B15" s="95" t="s">
        <v>73</v>
      </c>
      <c r="C15" s="94">
        <f t="shared" ref="C15:M15" si="7">+C9-C10-C14</f>
        <v>1584241.2191053228</v>
      </c>
      <c r="D15" s="94">
        <f t="shared" si="7"/>
        <v>852513.13329075696</v>
      </c>
      <c r="E15" s="94">
        <f t="shared" si="7"/>
        <v>2077063.6749657132</v>
      </c>
      <c r="F15" s="94">
        <f t="shared" si="7"/>
        <v>1098924.3612209503</v>
      </c>
      <c r="G15" s="94">
        <f t="shared" si="7"/>
        <v>-188204.67068571108</v>
      </c>
      <c r="H15" s="94">
        <f t="shared" si="7"/>
        <v>0</v>
      </c>
      <c r="I15" s="94">
        <f t="shared" si="7"/>
        <v>40699.849106436712</v>
      </c>
      <c r="J15" s="94">
        <f t="shared" si="7"/>
        <v>43492.319479726779</v>
      </c>
      <c r="K15" s="94">
        <f t="shared" si="7"/>
        <v>24539.622103226138</v>
      </c>
      <c r="L15" s="94">
        <f t="shared" si="7"/>
        <v>203253.27060050587</v>
      </c>
      <c r="M15" s="94">
        <f t="shared" si="7"/>
        <v>101626.63530025294</v>
      </c>
      <c r="N15" s="94">
        <f t="shared" si="0"/>
        <v>5838149.4144871812</v>
      </c>
      <c r="Y15" s="95" t="s">
        <v>73</v>
      </c>
      <c r="AO15" s="91" t="s">
        <v>74</v>
      </c>
      <c r="AP15" s="95" t="s">
        <v>73</v>
      </c>
    </row>
    <row r="16" spans="1:43">
      <c r="A16" s="90">
        <v>10</v>
      </c>
      <c r="B16" s="91" t="s">
        <v>75</v>
      </c>
      <c r="C16" s="96">
        <f t="shared" ref="C16:N16" si="8">+C15/C9</f>
        <v>7.688344510678842E-2</v>
      </c>
      <c r="D16" s="96">
        <f t="shared" si="8"/>
        <v>8.2745160138165338E-2</v>
      </c>
      <c r="E16" s="96">
        <f t="shared" si="8"/>
        <v>0.12655205951088855</v>
      </c>
      <c r="F16" s="96">
        <f t="shared" si="8"/>
        <v>0.13391129298093818</v>
      </c>
      <c r="G16" s="96">
        <f t="shared" si="8"/>
        <v>-2.9828714593759041E-2</v>
      </c>
      <c r="H16" s="96" t="e">
        <f t="shared" si="8"/>
        <v>#DIV/0!</v>
      </c>
      <c r="I16" s="96">
        <f t="shared" si="8"/>
        <v>7.8399027471167237E-3</v>
      </c>
      <c r="J16" s="96">
        <f t="shared" si="8"/>
        <v>1.6755617647420843E-2</v>
      </c>
      <c r="K16" s="96">
        <f t="shared" si="8"/>
        <v>2.6487508813301683E-2</v>
      </c>
      <c r="L16" s="96">
        <f t="shared" si="8"/>
        <v>0.18177775684888928</v>
      </c>
      <c r="M16" s="96">
        <f t="shared" si="8"/>
        <v>0.18177775684888928</v>
      </c>
      <c r="N16" s="96">
        <f t="shared" si="8"/>
        <v>8.0829500606968016E-2</v>
      </c>
      <c r="O16" s="108"/>
      <c r="P16" s="108"/>
      <c r="Q16" s="108"/>
      <c r="Y16" s="91" t="s">
        <v>75</v>
      </c>
      <c r="AO16" s="91" t="s">
        <v>76</v>
      </c>
      <c r="AP16" s="91" t="s">
        <v>75</v>
      </c>
    </row>
    <row r="17" spans="1:43">
      <c r="A17" s="90">
        <v>11</v>
      </c>
      <c r="B17" s="91" t="s">
        <v>77</v>
      </c>
      <c r="C17" s="94">
        <f t="shared" ref="C17:M17" si="9">C6*C43+C18</f>
        <v>1154716.6598065447</v>
      </c>
      <c r="D17" s="94">
        <f t="shared" si="9"/>
        <v>577358.32990327233</v>
      </c>
      <c r="E17" s="94">
        <f t="shared" si="9"/>
        <v>964229.93414282787</v>
      </c>
      <c r="F17" s="94">
        <f t="shared" si="9"/>
        <v>482114.96707141394</v>
      </c>
      <c r="G17" s="94">
        <f t="shared" si="9"/>
        <v>505247.63325787202</v>
      </c>
      <c r="H17" s="94">
        <f t="shared" si="9"/>
        <v>0</v>
      </c>
      <c r="I17" s="94">
        <f t="shared" si="9"/>
        <v>454451.17308088089</v>
      </c>
      <c r="J17" s="94">
        <f t="shared" si="9"/>
        <v>227225.58654044045</v>
      </c>
      <c r="K17" s="94">
        <f t="shared" si="9"/>
        <v>63949.542086849156</v>
      </c>
      <c r="L17" s="94">
        <f t="shared" si="9"/>
        <v>488017.39040954935</v>
      </c>
      <c r="M17" s="94">
        <f t="shared" si="9"/>
        <v>244008.69520477467</v>
      </c>
      <c r="N17" s="94">
        <f t="shared" ref="N17:N20" si="10">+SUM(C17:M17)</f>
        <v>5161319.9115044251</v>
      </c>
      <c r="O17" s="107"/>
      <c r="Y17" s="91" t="s">
        <v>77</v>
      </c>
      <c r="AO17" s="91" t="s">
        <v>78</v>
      </c>
      <c r="AP17" s="91" t="s">
        <v>77</v>
      </c>
    </row>
    <row r="18" spans="1:43" s="86" customFormat="1">
      <c r="A18" s="90">
        <v>12</v>
      </c>
      <c r="B18" s="97" t="s">
        <v>168</v>
      </c>
      <c r="C18" s="98">
        <f t="shared" ref="C18:M18" si="11">$N$18/$N$6*C6</f>
        <v>218610.46511627908</v>
      </c>
      <c r="D18" s="98">
        <f t="shared" si="11"/>
        <v>109305.23255813954</v>
      </c>
      <c r="E18" s="98">
        <f t="shared" si="11"/>
        <v>218610.46511627908</v>
      </c>
      <c r="F18" s="98">
        <f t="shared" si="11"/>
        <v>109305.23255813954</v>
      </c>
      <c r="G18" s="98">
        <f t="shared" si="11"/>
        <v>218610.46511627908</v>
      </c>
      <c r="H18" s="98">
        <f t="shared" si="11"/>
        <v>0</v>
      </c>
      <c r="I18" s="98">
        <f t="shared" si="11"/>
        <v>218610.46511627908</v>
      </c>
      <c r="J18" s="98">
        <f t="shared" si="11"/>
        <v>109305.23255813954</v>
      </c>
      <c r="K18" s="98">
        <f t="shared" si="11"/>
        <v>21861.046511627908</v>
      </c>
      <c r="L18" s="98">
        <f t="shared" si="11"/>
        <v>437220.93023255817</v>
      </c>
      <c r="M18" s="98">
        <f t="shared" si="11"/>
        <v>218610.46511627908</v>
      </c>
      <c r="N18" s="94">
        <f>项目投资!F26</f>
        <v>1880050</v>
      </c>
      <c r="O18" s="109" t="s">
        <v>169</v>
      </c>
      <c r="P18" s="109"/>
      <c r="Q18" s="109"/>
    </row>
    <row r="19" spans="1:43">
      <c r="A19" s="90">
        <v>13</v>
      </c>
      <c r="B19" s="91" t="s">
        <v>79</v>
      </c>
      <c r="C19" s="94">
        <f t="shared" ref="C19:M19" si="12">C6*C44</f>
        <v>159823.00884955755</v>
      </c>
      <c r="D19" s="94">
        <f t="shared" si="12"/>
        <v>79911.504424778774</v>
      </c>
      <c r="E19" s="94">
        <f t="shared" si="12"/>
        <v>127300.88495575222</v>
      </c>
      <c r="F19" s="94">
        <f t="shared" si="12"/>
        <v>63650.442477876109</v>
      </c>
      <c r="G19" s="94">
        <f t="shared" si="12"/>
        <v>48938.053097345139</v>
      </c>
      <c r="H19" s="94">
        <f t="shared" si="12"/>
        <v>0</v>
      </c>
      <c r="I19" s="94">
        <f t="shared" si="12"/>
        <v>40265.486725663723</v>
      </c>
      <c r="J19" s="94">
        <f t="shared" si="12"/>
        <v>20132.743362831861</v>
      </c>
      <c r="K19" s="94">
        <f t="shared" si="12"/>
        <v>7185.8407079646031</v>
      </c>
      <c r="L19" s="94">
        <f t="shared" si="12"/>
        <v>8672.5663716814179</v>
      </c>
      <c r="M19" s="94">
        <f t="shared" si="12"/>
        <v>4336.2831858407089</v>
      </c>
      <c r="N19" s="94">
        <f t="shared" si="10"/>
        <v>560216.81415929203</v>
      </c>
      <c r="O19" s="86"/>
      <c r="Y19" s="91" t="s">
        <v>79</v>
      </c>
      <c r="AO19" s="91" t="s">
        <v>80</v>
      </c>
      <c r="AP19" s="91" t="s">
        <v>79</v>
      </c>
      <c r="AQ19" s="88" t="s">
        <v>53</v>
      </c>
    </row>
    <row r="20" spans="1:43">
      <c r="A20" s="90">
        <v>14</v>
      </c>
      <c r="B20" s="91" t="s">
        <v>81</v>
      </c>
      <c r="C20" s="94">
        <f t="shared" ref="C20:M20" si="13">C6*C45</f>
        <v>776283.18584070809</v>
      </c>
      <c r="D20" s="94">
        <f t="shared" si="13"/>
        <v>388141.59292035404</v>
      </c>
      <c r="E20" s="94">
        <f t="shared" si="13"/>
        <v>618318.58407079661</v>
      </c>
      <c r="F20" s="94">
        <f t="shared" si="13"/>
        <v>309159.29203539831</v>
      </c>
      <c r="G20" s="94">
        <f t="shared" si="13"/>
        <v>237699.1150442478</v>
      </c>
      <c r="H20" s="94">
        <f t="shared" si="13"/>
        <v>0</v>
      </c>
      <c r="I20" s="94">
        <f t="shared" si="13"/>
        <v>195575.22123893807</v>
      </c>
      <c r="J20" s="94">
        <f t="shared" si="13"/>
        <v>97787.610619469036</v>
      </c>
      <c r="K20" s="94">
        <f t="shared" si="13"/>
        <v>34902.654867256642</v>
      </c>
      <c r="L20" s="94">
        <f t="shared" si="13"/>
        <v>42123.893805309744</v>
      </c>
      <c r="M20" s="94">
        <f t="shared" si="13"/>
        <v>21061.946902654872</v>
      </c>
      <c r="N20" s="94">
        <f t="shared" si="10"/>
        <v>2721053.0973451333</v>
      </c>
      <c r="Y20" s="91" t="s">
        <v>81</v>
      </c>
      <c r="AO20" s="91" t="s">
        <v>82</v>
      </c>
      <c r="AP20" s="91" t="s">
        <v>81</v>
      </c>
    </row>
    <row r="21" spans="1:43">
      <c r="A21" s="90">
        <v>15</v>
      </c>
      <c r="B21" s="91" t="s">
        <v>83</v>
      </c>
      <c r="C21" s="99">
        <f t="shared" ref="C21:M21" si="14">$N$21/$N$6*C6</f>
        <v>53209.302325581397</v>
      </c>
      <c r="D21" s="99">
        <f t="shared" si="14"/>
        <v>26604.651162790698</v>
      </c>
      <c r="E21" s="99">
        <f t="shared" si="14"/>
        <v>53209.302325581397</v>
      </c>
      <c r="F21" s="99">
        <f t="shared" si="14"/>
        <v>26604.651162790698</v>
      </c>
      <c r="G21" s="99">
        <f t="shared" si="14"/>
        <v>53209.302325581397</v>
      </c>
      <c r="H21" s="99">
        <f t="shared" si="14"/>
        <v>0</v>
      </c>
      <c r="I21" s="99">
        <f t="shared" si="14"/>
        <v>53209.302325581397</v>
      </c>
      <c r="J21" s="99">
        <f t="shared" si="14"/>
        <v>26604.651162790698</v>
      </c>
      <c r="K21" s="99">
        <f t="shared" si="14"/>
        <v>5320.9302325581393</v>
      </c>
      <c r="L21" s="99">
        <f t="shared" si="14"/>
        <v>106418.60465116279</v>
      </c>
      <c r="M21" s="99">
        <f t="shared" si="14"/>
        <v>53209.302325581397</v>
      </c>
      <c r="N21" s="94">
        <f>项目投资!F27</f>
        <v>457600</v>
      </c>
      <c r="Y21" s="91" t="s">
        <v>83</v>
      </c>
      <c r="AO21" s="91"/>
      <c r="AP21" s="91"/>
    </row>
    <row r="22" spans="1:43">
      <c r="A22" s="90">
        <v>16</v>
      </c>
      <c r="B22" s="91" t="s">
        <v>84</v>
      </c>
      <c r="C22" s="94">
        <f t="shared" ref="C22:M22" si="15">C6*C47</f>
        <v>684955.75221238937</v>
      </c>
      <c r="D22" s="94">
        <f t="shared" si="15"/>
        <v>342477.87610619469</v>
      </c>
      <c r="E22" s="94">
        <f t="shared" si="15"/>
        <v>545575.22123893804</v>
      </c>
      <c r="F22" s="94">
        <f t="shared" si="15"/>
        <v>272787.61061946902</v>
      </c>
      <c r="G22" s="94">
        <f t="shared" si="15"/>
        <v>209734.51327433629</v>
      </c>
      <c r="H22" s="94">
        <f t="shared" si="15"/>
        <v>0</v>
      </c>
      <c r="I22" s="94">
        <f t="shared" si="15"/>
        <v>172566.37168141594</v>
      </c>
      <c r="J22" s="94">
        <f t="shared" si="15"/>
        <v>86283.185840707971</v>
      </c>
      <c r="K22" s="94">
        <f t="shared" si="15"/>
        <v>30796.460176991153</v>
      </c>
      <c r="L22" s="94">
        <f t="shared" si="15"/>
        <v>37168.141592920358</v>
      </c>
      <c r="M22" s="94">
        <f t="shared" si="15"/>
        <v>18584.070796460179</v>
      </c>
      <c r="N22" s="94">
        <f>+SUM(C22:M22)</f>
        <v>2400929.2035398232</v>
      </c>
      <c r="Y22" s="91" t="s">
        <v>84</v>
      </c>
      <c r="AO22" s="91" t="s">
        <v>85</v>
      </c>
      <c r="AP22" s="91" t="s">
        <v>84</v>
      </c>
    </row>
    <row r="23" spans="1:43">
      <c r="A23" s="90">
        <v>17</v>
      </c>
      <c r="B23" s="95" t="s">
        <v>86</v>
      </c>
      <c r="C23" s="99">
        <f t="shared" ref="C23:N23" si="16">+C22+C21+C20+C19+C17</f>
        <v>2828987.9090347812</v>
      </c>
      <c r="D23" s="99">
        <f t="shared" si="16"/>
        <v>1414493.9545173906</v>
      </c>
      <c r="E23" s="99">
        <f t="shared" si="16"/>
        <v>2308633.9267338961</v>
      </c>
      <c r="F23" s="99">
        <f t="shared" si="16"/>
        <v>1154316.9633669481</v>
      </c>
      <c r="G23" s="99">
        <f t="shared" si="16"/>
        <v>1054828.6169993826</v>
      </c>
      <c r="H23" s="99">
        <f t="shared" si="16"/>
        <v>0</v>
      </c>
      <c r="I23" s="99">
        <f t="shared" si="16"/>
        <v>916067.55505247996</v>
      </c>
      <c r="J23" s="99">
        <f t="shared" si="16"/>
        <v>458033.77752623998</v>
      </c>
      <c r="K23" s="99">
        <f t="shared" si="16"/>
        <v>142155.42807161968</v>
      </c>
      <c r="L23" s="99">
        <f t="shared" si="16"/>
        <v>682400.59683062369</v>
      </c>
      <c r="M23" s="99">
        <f t="shared" si="16"/>
        <v>341200.29841531185</v>
      </c>
      <c r="N23" s="99">
        <f t="shared" si="16"/>
        <v>11301119.026548672</v>
      </c>
      <c r="Y23" s="95" t="s">
        <v>86</v>
      </c>
      <c r="AO23" s="91" t="s">
        <v>87</v>
      </c>
      <c r="AP23" s="95" t="s">
        <v>86</v>
      </c>
    </row>
    <row r="24" spans="1:43">
      <c r="A24" s="90">
        <v>18</v>
      </c>
      <c r="B24" s="100" t="s">
        <v>88</v>
      </c>
      <c r="C24" s="99">
        <f t="shared" ref="C24:N24" si="17">+C15-C23</f>
        <v>-1244746.6899294583</v>
      </c>
      <c r="D24" s="99">
        <f t="shared" si="17"/>
        <v>-561980.82122663362</v>
      </c>
      <c r="E24" s="99">
        <f t="shared" si="17"/>
        <v>-231570.25176818296</v>
      </c>
      <c r="F24" s="99">
        <f t="shared" si="17"/>
        <v>-55392.602145997807</v>
      </c>
      <c r="G24" s="99">
        <f t="shared" si="17"/>
        <v>-1243033.2876850937</v>
      </c>
      <c r="H24" s="99">
        <f t="shared" si="17"/>
        <v>0</v>
      </c>
      <c r="I24" s="99">
        <f t="shared" si="17"/>
        <v>-875367.70594604325</v>
      </c>
      <c r="J24" s="99">
        <f t="shared" si="17"/>
        <v>-414541.4580465132</v>
      </c>
      <c r="K24" s="99">
        <f t="shared" si="17"/>
        <v>-117615.80596839354</v>
      </c>
      <c r="L24" s="99">
        <f t="shared" si="17"/>
        <v>-479147.32623011782</v>
      </c>
      <c r="M24" s="99">
        <f t="shared" si="17"/>
        <v>-239573.66311505891</v>
      </c>
      <c r="N24" s="99">
        <f t="shared" si="17"/>
        <v>-5462969.6120614912</v>
      </c>
      <c r="P24" s="110"/>
      <c r="Y24" s="91" t="s">
        <v>88</v>
      </c>
      <c r="AO24" s="91" t="s">
        <v>89</v>
      </c>
      <c r="AP24" s="91" t="s">
        <v>88</v>
      </c>
    </row>
    <row r="25" spans="1:43">
      <c r="A25" s="90">
        <v>19</v>
      </c>
      <c r="B25" s="91" t="s">
        <v>170</v>
      </c>
      <c r="C25" s="99">
        <f t="shared" ref="C25:N25" si="18">IF(C24&lt;0,0,C24*0.25)</f>
        <v>0</v>
      </c>
      <c r="D25" s="99">
        <f t="shared" si="18"/>
        <v>0</v>
      </c>
      <c r="E25" s="99">
        <f t="shared" si="18"/>
        <v>0</v>
      </c>
      <c r="F25" s="99">
        <f t="shared" si="18"/>
        <v>0</v>
      </c>
      <c r="G25" s="99">
        <f t="shared" si="18"/>
        <v>0</v>
      </c>
      <c r="H25" s="99">
        <f t="shared" si="18"/>
        <v>0</v>
      </c>
      <c r="I25" s="99">
        <f t="shared" si="18"/>
        <v>0</v>
      </c>
      <c r="J25" s="99">
        <f t="shared" si="18"/>
        <v>0</v>
      </c>
      <c r="K25" s="99">
        <f t="shared" si="18"/>
        <v>0</v>
      </c>
      <c r="L25" s="99">
        <f t="shared" si="18"/>
        <v>0</v>
      </c>
      <c r="M25" s="99">
        <f t="shared" si="18"/>
        <v>0</v>
      </c>
      <c r="N25" s="99">
        <f t="shared" si="18"/>
        <v>0</v>
      </c>
      <c r="O25" s="2"/>
      <c r="P25" s="2"/>
      <c r="Q25" s="2"/>
      <c r="Y25" s="91" t="s">
        <v>34</v>
      </c>
      <c r="AO25" s="91" t="s">
        <v>90</v>
      </c>
      <c r="AP25" s="91" t="s">
        <v>34</v>
      </c>
    </row>
    <row r="26" spans="1:43">
      <c r="A26" s="90">
        <v>20</v>
      </c>
      <c r="B26" s="91" t="s">
        <v>91</v>
      </c>
      <c r="C26" s="99">
        <f t="shared" ref="C26:M26" si="19">C24-C25</f>
        <v>-1244746.6899294583</v>
      </c>
      <c r="D26" s="99">
        <f t="shared" si="19"/>
        <v>-561980.82122663362</v>
      </c>
      <c r="E26" s="99">
        <f t="shared" si="19"/>
        <v>-231570.25176818296</v>
      </c>
      <c r="F26" s="99">
        <f t="shared" si="19"/>
        <v>-55392.602145997807</v>
      </c>
      <c r="G26" s="99">
        <f t="shared" si="19"/>
        <v>-1243033.2876850937</v>
      </c>
      <c r="H26" s="99">
        <f t="shared" si="19"/>
        <v>0</v>
      </c>
      <c r="I26" s="99">
        <f t="shared" si="19"/>
        <v>-875367.70594604325</v>
      </c>
      <c r="J26" s="99">
        <f t="shared" si="19"/>
        <v>-414541.4580465132</v>
      </c>
      <c r="K26" s="99">
        <f t="shared" si="19"/>
        <v>-117615.80596839354</v>
      </c>
      <c r="L26" s="99">
        <f t="shared" si="19"/>
        <v>-479147.32623011782</v>
      </c>
      <c r="M26" s="99">
        <f t="shared" si="19"/>
        <v>-239573.66311505891</v>
      </c>
      <c r="N26" s="94">
        <f>+SUM(C26:M26)</f>
        <v>-5462969.612061494</v>
      </c>
      <c r="O26" s="2"/>
      <c r="P26" s="2"/>
      <c r="Q26" s="2"/>
      <c r="Y26" s="91" t="s">
        <v>91</v>
      </c>
      <c r="AO26" s="91" t="s">
        <v>92</v>
      </c>
      <c r="AP26" s="91" t="s">
        <v>91</v>
      </c>
    </row>
    <row r="27" spans="1:43">
      <c r="A27" s="90">
        <v>21</v>
      </c>
      <c r="B27" s="91" t="s">
        <v>95</v>
      </c>
      <c r="C27" s="101">
        <f t="shared" ref="C27:N27" si="20">C26/C7</f>
        <v>-5.451797517908092E-2</v>
      </c>
      <c r="D27" s="101">
        <f t="shared" si="20"/>
        <v>-4.9227777363263253E-2</v>
      </c>
      <c r="E27" s="101">
        <f t="shared" si="20"/>
        <v>-1.2733546690902518E-2</v>
      </c>
      <c r="F27" s="101">
        <f t="shared" si="20"/>
        <v>-6.0918384841827265E-3</v>
      </c>
      <c r="G27" s="101">
        <f t="shared" si="20"/>
        <v>-0.17780096393470327</v>
      </c>
      <c r="H27" s="101" t="e">
        <f t="shared" si="20"/>
        <v>#DIV/0!</v>
      </c>
      <c r="I27" s="101">
        <f t="shared" si="20"/>
        <v>-0.15217930887985059</v>
      </c>
      <c r="J27" s="101">
        <f t="shared" si="20"/>
        <v>-0.14413287618232612</v>
      </c>
      <c r="K27" s="101">
        <f t="shared" si="20"/>
        <v>-0.11457401788300403</v>
      </c>
      <c r="L27" s="101">
        <f t="shared" si="20"/>
        <v>-0.38674034188573786</v>
      </c>
      <c r="M27" s="101">
        <f t="shared" si="20"/>
        <v>-0.38674034188573786</v>
      </c>
      <c r="N27" s="111">
        <f t="shared" si="20"/>
        <v>-6.8260691785586192E-2</v>
      </c>
      <c r="O27" s="2"/>
      <c r="P27" s="2"/>
      <c r="Q27" s="2"/>
      <c r="Y27" s="91" t="s">
        <v>95</v>
      </c>
      <c r="AO27" s="91" t="s">
        <v>94</v>
      </c>
      <c r="AP27" s="91" t="s">
        <v>95</v>
      </c>
    </row>
    <row r="28" spans="1:43">
      <c r="O28" s="2"/>
      <c r="P28" s="2"/>
      <c r="Q28" s="2"/>
      <c r="Y28" s="91"/>
    </row>
    <row r="29" spans="1:43">
      <c r="A29" s="88" t="s">
        <v>96</v>
      </c>
      <c r="N29" s="89" t="s">
        <v>171</v>
      </c>
      <c r="O29" s="2"/>
      <c r="P29" s="2"/>
      <c r="Q29" s="2"/>
      <c r="Y29" s="91"/>
      <c r="AO29" s="88" t="s">
        <v>96</v>
      </c>
    </row>
    <row r="30" spans="1:43">
      <c r="A30" s="91" t="s">
        <v>97</v>
      </c>
      <c r="B30" s="95" t="s">
        <v>98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2"/>
      <c r="P30" s="2"/>
      <c r="Q30" s="2"/>
      <c r="S30" s="2"/>
      <c r="Y30" s="95" t="s">
        <v>98</v>
      </c>
      <c r="AO30" s="91" t="s">
        <v>99</v>
      </c>
      <c r="AP30" s="95" t="s">
        <v>98</v>
      </c>
    </row>
    <row r="31" spans="1:43">
      <c r="A31" s="90">
        <v>1</v>
      </c>
      <c r="B31" s="97" t="s">
        <v>100</v>
      </c>
      <c r="C31" s="102">
        <f>销量!C8</f>
        <v>2283.1858407079649</v>
      </c>
      <c r="D31" s="102">
        <f>销量!D8</f>
        <v>2283.1858407079649</v>
      </c>
      <c r="E31" s="102">
        <f>销量!E8</f>
        <v>1818.5840707964603</v>
      </c>
      <c r="F31" s="102">
        <f>销量!F8</f>
        <v>1818.5840707964603</v>
      </c>
      <c r="G31" s="102">
        <f>销量!G8</f>
        <v>699.11504424778764</v>
      </c>
      <c r="H31" s="102">
        <f>销量!H8</f>
        <v>0</v>
      </c>
      <c r="I31" s="102">
        <f>销量!I8</f>
        <v>575.22123893805315</v>
      </c>
      <c r="J31" s="102">
        <f>销量!J8</f>
        <v>575.22123893805315</v>
      </c>
      <c r="K31" s="102">
        <f>销量!K8</f>
        <v>1026.5486725663718</v>
      </c>
      <c r="L31" s="102">
        <f>销量!L8</f>
        <v>61.946902654867266</v>
      </c>
      <c r="M31" s="102">
        <f>销量!M8</f>
        <v>61.946902654867266</v>
      </c>
      <c r="N31" s="99"/>
      <c r="O31" s="2"/>
      <c r="P31" s="2"/>
      <c r="Q31" s="2"/>
      <c r="S31" s="2"/>
      <c r="Y31" s="91" t="s">
        <v>100</v>
      </c>
      <c r="AO31" s="91" t="s">
        <v>55</v>
      </c>
      <c r="AP31" s="91" t="s">
        <v>100</v>
      </c>
    </row>
    <row r="32" spans="1:43">
      <c r="A32" s="90">
        <v>2</v>
      </c>
      <c r="B32" s="91" t="s">
        <v>172</v>
      </c>
      <c r="C32" s="94">
        <f t="shared" ref="C32:M32" si="21">C31*1</f>
        <v>2283.1858407079649</v>
      </c>
      <c r="D32" s="94">
        <f t="shared" si="21"/>
        <v>2283.1858407079649</v>
      </c>
      <c r="E32" s="94">
        <f t="shared" si="21"/>
        <v>1818.5840707964603</v>
      </c>
      <c r="F32" s="94">
        <f t="shared" si="21"/>
        <v>1818.5840707964603</v>
      </c>
      <c r="G32" s="94">
        <f t="shared" si="21"/>
        <v>699.11504424778764</v>
      </c>
      <c r="H32" s="94">
        <f t="shared" si="21"/>
        <v>0</v>
      </c>
      <c r="I32" s="94">
        <f t="shared" si="21"/>
        <v>575.22123893805315</v>
      </c>
      <c r="J32" s="94">
        <f t="shared" si="21"/>
        <v>575.22123893805315</v>
      </c>
      <c r="K32" s="94">
        <f t="shared" si="21"/>
        <v>1026.5486725663718</v>
      </c>
      <c r="L32" s="94">
        <f t="shared" si="21"/>
        <v>61.946902654867266</v>
      </c>
      <c r="M32" s="94">
        <f t="shared" si="21"/>
        <v>61.946902654867266</v>
      </c>
      <c r="N32" s="99"/>
      <c r="O32" s="2"/>
      <c r="P32" s="2"/>
      <c r="Q32" s="2"/>
      <c r="R32" s="2"/>
      <c r="S32" s="2"/>
      <c r="T32" s="2"/>
      <c r="U32" s="2"/>
      <c r="AO32" s="91"/>
      <c r="AP32" s="91"/>
    </row>
    <row r="33" spans="1:42">
      <c r="A33" s="90">
        <v>3</v>
      </c>
      <c r="B33" s="97" t="s">
        <v>101</v>
      </c>
      <c r="C33" s="94">
        <f>材料成本!D28</f>
        <v>1653.7404798593791</v>
      </c>
      <c r="D33" s="94">
        <f>材料成本!E28</f>
        <v>1641.6619751117601</v>
      </c>
      <c r="E33" s="94">
        <f>材料成本!F28</f>
        <v>1235.7038094945792</v>
      </c>
      <c r="F33" s="94">
        <f>材料成本!G28</f>
        <v>1223.6253047469604</v>
      </c>
      <c r="G33" s="94">
        <f>材料成本!H28</f>
        <v>573.70807768804013</v>
      </c>
      <c r="H33" s="94">
        <f>材料成本!I28</f>
        <v>0</v>
      </c>
      <c r="I33" s="94">
        <f>材料成本!J28</f>
        <v>452.4831124344891</v>
      </c>
      <c r="J33" s="94">
        <f>材料成本!K28</f>
        <v>447.85463344918742</v>
      </c>
      <c r="K33" s="94">
        <f>材料成本!L28</f>
        <v>790.2320593127032</v>
      </c>
      <c r="L33" s="94">
        <f>材料成本!M28</f>
        <v>39.004593107142853</v>
      </c>
      <c r="M33" s="94">
        <f>材料成本!N28</f>
        <v>39.004593107142853</v>
      </c>
      <c r="N33" s="99"/>
      <c r="P33" s="2"/>
      <c r="Q33" s="2"/>
      <c r="R33" s="2"/>
      <c r="S33" s="2"/>
      <c r="T33" s="2"/>
      <c r="U33" s="2"/>
      <c r="Y33" s="91" t="s">
        <v>101</v>
      </c>
      <c r="AO33" s="91" t="s">
        <v>57</v>
      </c>
      <c r="AP33" s="91" t="s">
        <v>101</v>
      </c>
    </row>
    <row r="34" spans="1:42" ht="17.25" customHeight="1">
      <c r="A34" s="90">
        <v>4</v>
      </c>
      <c r="B34" s="91" t="s">
        <v>103</v>
      </c>
      <c r="C34" s="103">
        <f t="shared" ref="C34:M34" si="22">C32-C33</f>
        <v>629.44536084858578</v>
      </c>
      <c r="D34" s="103">
        <f t="shared" si="22"/>
        <v>641.52386559620481</v>
      </c>
      <c r="E34" s="103">
        <f t="shared" si="22"/>
        <v>582.88026130188109</v>
      </c>
      <c r="F34" s="103">
        <f t="shared" si="22"/>
        <v>594.9587660494999</v>
      </c>
      <c r="G34" s="103">
        <f t="shared" si="22"/>
        <v>125.4069665597475</v>
      </c>
      <c r="H34" s="103">
        <f t="shared" si="22"/>
        <v>0</v>
      </c>
      <c r="I34" s="103">
        <f t="shared" si="22"/>
        <v>122.73812650356405</v>
      </c>
      <c r="J34" s="103">
        <f t="shared" si="22"/>
        <v>127.36660548886573</v>
      </c>
      <c r="K34" s="103">
        <f t="shared" si="22"/>
        <v>236.31661325366861</v>
      </c>
      <c r="L34" s="103">
        <f t="shared" si="22"/>
        <v>22.942309547724413</v>
      </c>
      <c r="M34" s="103">
        <f t="shared" si="22"/>
        <v>22.942309547724413</v>
      </c>
      <c r="N34" s="99"/>
      <c r="P34" s="2"/>
      <c r="Q34" s="2"/>
      <c r="R34" s="2"/>
      <c r="S34" s="2"/>
      <c r="T34" s="2"/>
      <c r="U34" s="2"/>
      <c r="Y34" s="91" t="s">
        <v>103</v>
      </c>
      <c r="AO34" s="91" t="s">
        <v>102</v>
      </c>
      <c r="AP34" s="91" t="s">
        <v>103</v>
      </c>
    </row>
    <row r="35" spans="1:42">
      <c r="A35" s="91" t="s">
        <v>99</v>
      </c>
      <c r="B35" s="95" t="s">
        <v>8</v>
      </c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2"/>
      <c r="P35" s="2"/>
      <c r="Q35" s="2"/>
      <c r="R35" s="2"/>
      <c r="S35" s="2"/>
      <c r="T35" s="2"/>
      <c r="U35" s="2"/>
      <c r="V35" s="2"/>
      <c r="W35" s="2"/>
      <c r="X35" s="2"/>
      <c r="Y35" s="95" t="s">
        <v>8</v>
      </c>
      <c r="AO35" s="91" t="s">
        <v>105</v>
      </c>
      <c r="AP35" s="95" t="s">
        <v>8</v>
      </c>
    </row>
    <row r="36" spans="1:42">
      <c r="A36" s="90">
        <v>1</v>
      </c>
      <c r="B36" s="91" t="s">
        <v>106</v>
      </c>
      <c r="C36" s="98">
        <f>标准成本!E4</f>
        <v>98.405309734513281</v>
      </c>
      <c r="D36" s="98">
        <f>标准成本!E16</f>
        <v>98.405309734513281</v>
      </c>
      <c r="E36" s="98">
        <f>标准成本!E29</f>
        <v>78.380973451327435</v>
      </c>
      <c r="F36" s="98">
        <f>标准成本!E42</f>
        <v>78.380973451327435</v>
      </c>
      <c r="G36" s="98">
        <f>标准成本!E55</f>
        <v>30.131858407079648</v>
      </c>
      <c r="H36" s="98">
        <f>标准成本!E68</f>
        <v>0</v>
      </c>
      <c r="I36" s="98">
        <f>标准成本!E81</f>
        <v>24.792035398230091</v>
      </c>
      <c r="J36" s="98">
        <f>标准成本!E94</f>
        <v>24.792035398230091</v>
      </c>
      <c r="K36" s="98">
        <f>标准成本!E107</f>
        <v>44.244247787610625</v>
      </c>
      <c r="L36" s="98">
        <f>标准成本!E120</f>
        <v>2.6699115044247792</v>
      </c>
      <c r="M36" s="98">
        <f>标准成本!E133</f>
        <v>2.6699115044247792</v>
      </c>
      <c r="N36" s="102"/>
      <c r="O36" s="2"/>
      <c r="P36" s="2"/>
      <c r="Q36" s="2"/>
      <c r="R36" s="2"/>
      <c r="S36" s="2"/>
      <c r="T36" s="2"/>
      <c r="U36" s="2"/>
      <c r="V36" s="2"/>
      <c r="W36" s="2"/>
      <c r="X36" s="2"/>
      <c r="Y36" s="91" t="s">
        <v>106</v>
      </c>
      <c r="AO36" s="91" t="s">
        <v>102</v>
      </c>
      <c r="AP36" s="91" t="s">
        <v>106</v>
      </c>
    </row>
    <row r="37" spans="1:42">
      <c r="A37" s="90">
        <v>2</v>
      </c>
      <c r="B37" s="91" t="s">
        <v>107</v>
      </c>
      <c r="C37" s="98">
        <f>标准成本!E6</f>
        <v>49.545132743362842</v>
      </c>
      <c r="D37" s="98">
        <f>标准成本!E18</f>
        <v>49.545132743362842</v>
      </c>
      <c r="E37" s="98">
        <f>标准成本!E31</f>
        <v>39.463274336283192</v>
      </c>
      <c r="F37" s="98">
        <f>标准成本!E44</f>
        <v>39.463274336283192</v>
      </c>
      <c r="G37" s="98">
        <f>标准成本!E57</f>
        <v>15.170796460176993</v>
      </c>
      <c r="H37" s="98">
        <f>标准成本!E70</f>
        <v>0</v>
      </c>
      <c r="I37" s="98">
        <f>标准成本!E83</f>
        <v>12.482300884955754</v>
      </c>
      <c r="J37" s="98">
        <f>标准成本!E96</f>
        <v>12.482300884955754</v>
      </c>
      <c r="K37" s="98">
        <f>标准成本!E109</f>
        <v>22.276106194690268</v>
      </c>
      <c r="L37" s="98">
        <f>标准成本!E122</f>
        <v>1.3442477876106198</v>
      </c>
      <c r="M37" s="98">
        <f>标准成本!E135</f>
        <v>1.3442477876106198</v>
      </c>
      <c r="N37" s="102"/>
      <c r="O37" s="2"/>
      <c r="P37" s="2"/>
      <c r="Q37" s="2"/>
      <c r="R37" s="2"/>
      <c r="S37" s="2"/>
      <c r="T37" s="2"/>
      <c r="U37" s="2"/>
      <c r="V37" s="2"/>
      <c r="W37" s="2"/>
      <c r="X37" s="2"/>
      <c r="Y37" s="91" t="s">
        <v>107</v>
      </c>
      <c r="AO37" s="91" t="s">
        <v>60</v>
      </c>
      <c r="AP37" s="91" t="s">
        <v>107</v>
      </c>
    </row>
    <row r="38" spans="1:42">
      <c r="A38" s="90">
        <v>3</v>
      </c>
      <c r="B38" s="91" t="s">
        <v>108</v>
      </c>
      <c r="C38" s="98">
        <f>标准成本!E10</f>
        <v>100.46017699115045</v>
      </c>
      <c r="D38" s="98">
        <f>标准成本!E22</f>
        <v>100.46017699115045</v>
      </c>
      <c r="E38" s="98">
        <f>标准成本!E35</f>
        <v>80.017699115044252</v>
      </c>
      <c r="F38" s="98">
        <f>标准成本!E48</f>
        <v>80.017699115044252</v>
      </c>
      <c r="G38" s="98">
        <f>标准成本!E61</f>
        <v>30.761061946902654</v>
      </c>
      <c r="H38" s="98">
        <f>标准成本!E74</f>
        <v>0</v>
      </c>
      <c r="I38" s="98">
        <f>标准成本!E87</f>
        <v>25.309734513274336</v>
      </c>
      <c r="J38" s="98">
        <f>标准成本!E100</f>
        <v>25.309734513274336</v>
      </c>
      <c r="K38" s="98">
        <f>标准成本!E113</f>
        <v>45.168141592920357</v>
      </c>
      <c r="L38" s="98">
        <f>标准成本!E126</f>
        <v>2.7256637168141595</v>
      </c>
      <c r="M38" s="98">
        <f>标准成本!E139</f>
        <v>2.7256637168141595</v>
      </c>
      <c r="N38" s="102"/>
      <c r="O38" s="2"/>
      <c r="P38" s="2"/>
      <c r="Q38" s="2"/>
      <c r="R38" s="2"/>
      <c r="S38" s="2"/>
      <c r="T38" s="2"/>
      <c r="U38" s="2"/>
      <c r="V38" s="2"/>
      <c r="W38" s="2"/>
      <c r="X38" s="2"/>
      <c r="Y38" s="91" t="s">
        <v>108</v>
      </c>
      <c r="AO38" s="91" t="s">
        <v>66</v>
      </c>
      <c r="AP38" s="91" t="s">
        <v>108</v>
      </c>
    </row>
    <row r="39" spans="1:42">
      <c r="A39" s="91" t="s">
        <v>105</v>
      </c>
      <c r="B39" s="95" t="s">
        <v>110</v>
      </c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Y39" s="95" t="s">
        <v>110</v>
      </c>
      <c r="AO39" s="91" t="s">
        <v>109</v>
      </c>
      <c r="AP39" s="95" t="s">
        <v>110</v>
      </c>
    </row>
    <row r="40" spans="1:42">
      <c r="A40" s="90">
        <v>1</v>
      </c>
      <c r="B40" s="91" t="s">
        <v>112</v>
      </c>
      <c r="C40" s="99">
        <f t="shared" ref="C40:M40" si="23">C34-C36-C37-C38</f>
        <v>381.03474137955925</v>
      </c>
      <c r="D40" s="99">
        <f t="shared" si="23"/>
        <v>393.11324612717829</v>
      </c>
      <c r="E40" s="99">
        <f t="shared" si="23"/>
        <v>385.0183143992262</v>
      </c>
      <c r="F40" s="99">
        <f t="shared" si="23"/>
        <v>397.09681914684501</v>
      </c>
      <c r="G40" s="99">
        <f t="shared" si="23"/>
        <v>49.34324974558821</v>
      </c>
      <c r="H40" s="99">
        <f t="shared" si="23"/>
        <v>0</v>
      </c>
      <c r="I40" s="99">
        <f t="shared" si="23"/>
        <v>60.154055707103865</v>
      </c>
      <c r="J40" s="99">
        <f t="shared" si="23"/>
        <v>64.782534692405548</v>
      </c>
      <c r="K40" s="99">
        <f t="shared" si="23"/>
        <v>124.62811767844735</v>
      </c>
      <c r="L40" s="99">
        <f t="shared" si="23"/>
        <v>16.202486538874854</v>
      </c>
      <c r="M40" s="99">
        <f t="shared" si="23"/>
        <v>16.202486538874854</v>
      </c>
      <c r="N40" s="99"/>
      <c r="Y40" s="91" t="s">
        <v>112</v>
      </c>
      <c r="AO40" s="91" t="s">
        <v>55</v>
      </c>
      <c r="AP40" s="91" t="s">
        <v>112</v>
      </c>
    </row>
    <row r="41" spans="1:42">
      <c r="A41" s="90">
        <v>2</v>
      </c>
      <c r="B41" s="91" t="s">
        <v>113</v>
      </c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Y41" s="91" t="s">
        <v>113</v>
      </c>
      <c r="AO41" s="91" t="s">
        <v>57</v>
      </c>
      <c r="AP41" s="91" t="s">
        <v>113</v>
      </c>
    </row>
    <row r="42" spans="1:42">
      <c r="A42" s="91" t="s">
        <v>109</v>
      </c>
      <c r="B42" s="95" t="s">
        <v>115</v>
      </c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Y42" s="95" t="s">
        <v>115</v>
      </c>
      <c r="AO42" s="91" t="s">
        <v>114</v>
      </c>
      <c r="AP42" s="95" t="s">
        <v>115</v>
      </c>
    </row>
    <row r="43" spans="1:42">
      <c r="A43" s="90">
        <v>1</v>
      </c>
      <c r="B43" s="100" t="s">
        <v>116</v>
      </c>
      <c r="C43" s="98">
        <f>标准成本!E5</f>
        <v>93.61061946902656</v>
      </c>
      <c r="D43" s="98">
        <f>标准成本!E17</f>
        <v>93.61061946902656</v>
      </c>
      <c r="E43" s="98">
        <f>标准成本!E30</f>
        <v>74.561946902654881</v>
      </c>
      <c r="F43" s="98">
        <f>标准成本!E43</f>
        <v>74.561946902654881</v>
      </c>
      <c r="G43" s="98">
        <f>标准成本!E56</f>
        <v>28.663716814159294</v>
      </c>
      <c r="H43" s="98">
        <f>标准成本!E69</f>
        <v>0</v>
      </c>
      <c r="I43" s="98">
        <f>标准成本!E82</f>
        <v>23.584070796460178</v>
      </c>
      <c r="J43" s="98">
        <f>标准成本!E95</f>
        <v>23.584070796460178</v>
      </c>
      <c r="K43" s="98">
        <f>标准成本!E108</f>
        <v>42.088495575221245</v>
      </c>
      <c r="L43" s="98">
        <f>标准成本!E121</f>
        <v>2.5398230088495581</v>
      </c>
      <c r="M43" s="98">
        <f>标准成本!E134</f>
        <v>2.5398230088495581</v>
      </c>
      <c r="N43" s="99"/>
      <c r="Y43" s="91" t="s">
        <v>116</v>
      </c>
      <c r="AO43" s="91" t="s">
        <v>55</v>
      </c>
      <c r="AP43" s="91" t="s">
        <v>116</v>
      </c>
    </row>
    <row r="44" spans="1:42">
      <c r="A44" s="90">
        <v>2</v>
      </c>
      <c r="B44" s="100" t="s">
        <v>117</v>
      </c>
      <c r="C44" s="98">
        <f>标准成本!E9</f>
        <v>15.982300884955755</v>
      </c>
      <c r="D44" s="98">
        <f>标准成本!E21</f>
        <v>15.982300884955755</v>
      </c>
      <c r="E44" s="98">
        <f>标准成本!E34</f>
        <v>12.730088495575222</v>
      </c>
      <c r="F44" s="98">
        <f>标准成本!E47</f>
        <v>12.730088495575222</v>
      </c>
      <c r="G44" s="98">
        <f>标准成本!E60</f>
        <v>4.893805309734514</v>
      </c>
      <c r="H44" s="98">
        <f>标准成本!E73</f>
        <v>0</v>
      </c>
      <c r="I44" s="98">
        <f>标准成本!E86</f>
        <v>4.0265486725663724</v>
      </c>
      <c r="J44" s="98">
        <f>标准成本!E99</f>
        <v>4.0265486725663724</v>
      </c>
      <c r="K44" s="98">
        <f>标准成本!E112</f>
        <v>7.1858407079646032</v>
      </c>
      <c r="L44" s="98">
        <f>标准成本!E125</f>
        <v>0.43362831858407086</v>
      </c>
      <c r="M44" s="98">
        <f>标准成本!E138</f>
        <v>0.43362831858407086</v>
      </c>
      <c r="N44" s="99"/>
      <c r="Y44" s="91" t="s">
        <v>117</v>
      </c>
      <c r="AO44" s="91" t="s">
        <v>57</v>
      </c>
      <c r="AP44" s="91" t="s">
        <v>117</v>
      </c>
    </row>
    <row r="45" spans="1:42">
      <c r="A45" s="90">
        <v>3</v>
      </c>
      <c r="B45" s="100" t="s">
        <v>118</v>
      </c>
      <c r="C45" s="98">
        <f>标准成本!E8</f>
        <v>77.628318584070811</v>
      </c>
      <c r="D45" s="98">
        <f>标准成本!E20</f>
        <v>77.628318584070811</v>
      </c>
      <c r="E45" s="98">
        <f>标准成本!E33</f>
        <v>61.831858407079658</v>
      </c>
      <c r="F45" s="98">
        <f>标准成本!E46</f>
        <v>61.831858407079658</v>
      </c>
      <c r="G45" s="98">
        <f>标准成本!E59</f>
        <v>23.76991150442478</v>
      </c>
      <c r="H45" s="98">
        <f>标准成本!E72</f>
        <v>0</v>
      </c>
      <c r="I45" s="98">
        <f>标准成本!E85</f>
        <v>19.557522123893808</v>
      </c>
      <c r="J45" s="98">
        <f>标准成本!E98</f>
        <v>19.557522123893808</v>
      </c>
      <c r="K45" s="98">
        <f>标准成本!E111</f>
        <v>34.902654867256643</v>
      </c>
      <c r="L45" s="98">
        <f>标准成本!E124</f>
        <v>2.1061946902654873</v>
      </c>
      <c r="M45" s="98">
        <f>标准成本!E137</f>
        <v>2.1061946902654873</v>
      </c>
      <c r="N45" s="99"/>
      <c r="Y45" s="91" t="s">
        <v>118</v>
      </c>
      <c r="AO45" s="91" t="s">
        <v>102</v>
      </c>
      <c r="AP45" s="91" t="s">
        <v>118</v>
      </c>
    </row>
    <row r="46" spans="1:42" s="87" customFormat="1">
      <c r="A46" s="90">
        <v>4</v>
      </c>
      <c r="B46" s="100" t="s">
        <v>119</v>
      </c>
      <c r="C46" s="104">
        <f t="shared" ref="C46:M46" si="24">C21/C6</f>
        <v>5.3209302325581396</v>
      </c>
      <c r="D46" s="104">
        <f t="shared" si="24"/>
        <v>5.3209302325581396</v>
      </c>
      <c r="E46" s="104">
        <f t="shared" si="24"/>
        <v>5.3209302325581396</v>
      </c>
      <c r="F46" s="104">
        <f t="shared" si="24"/>
        <v>5.3209302325581396</v>
      </c>
      <c r="G46" s="104">
        <f t="shared" si="24"/>
        <v>5.3209302325581396</v>
      </c>
      <c r="H46" s="104" t="e">
        <f t="shared" si="24"/>
        <v>#DIV/0!</v>
      </c>
      <c r="I46" s="104">
        <f t="shared" si="24"/>
        <v>5.3209302325581396</v>
      </c>
      <c r="J46" s="104">
        <f t="shared" si="24"/>
        <v>5.3209302325581396</v>
      </c>
      <c r="K46" s="104">
        <f t="shared" si="24"/>
        <v>5.3209302325581396</v>
      </c>
      <c r="L46" s="104">
        <f t="shared" si="24"/>
        <v>5.3209302325581396</v>
      </c>
      <c r="M46" s="104">
        <f t="shared" si="24"/>
        <v>5.3209302325581396</v>
      </c>
      <c r="N46" s="104"/>
      <c r="Y46" s="100" t="s">
        <v>121</v>
      </c>
      <c r="AO46" s="100" t="s">
        <v>63</v>
      </c>
      <c r="AP46" s="100" t="s">
        <v>121</v>
      </c>
    </row>
    <row r="47" spans="1:42" s="87" customFormat="1">
      <c r="A47" s="90">
        <v>5</v>
      </c>
      <c r="B47" s="100" t="s">
        <v>121</v>
      </c>
      <c r="C47" s="104">
        <f>标准成本!E11</f>
        <v>68.495575221238937</v>
      </c>
      <c r="D47" s="104">
        <f>标准成本!E23</f>
        <v>68.495575221238937</v>
      </c>
      <c r="E47" s="104">
        <f>标准成本!E36</f>
        <v>54.557522123893804</v>
      </c>
      <c r="F47" s="104">
        <f>标准成本!E49</f>
        <v>54.557522123893804</v>
      </c>
      <c r="G47" s="104">
        <f>标准成本!E62</f>
        <v>20.973451327433629</v>
      </c>
      <c r="H47" s="104">
        <f>标准成本!E75</f>
        <v>0</v>
      </c>
      <c r="I47" s="104">
        <f>标准成本!E88</f>
        <v>17.256637168141594</v>
      </c>
      <c r="J47" s="104">
        <f>标准成本!E101</f>
        <v>17.256637168141594</v>
      </c>
      <c r="K47" s="104">
        <f>标准成本!E114</f>
        <v>30.796460176991154</v>
      </c>
      <c r="L47" s="104">
        <f>标准成本!E127</f>
        <v>1.8584070796460179</v>
      </c>
      <c r="M47" s="104">
        <f>标准成本!E140</f>
        <v>1.8584070796460179</v>
      </c>
      <c r="N47" s="104"/>
      <c r="Y47" s="100" t="s">
        <v>121</v>
      </c>
      <c r="AO47" s="100" t="s">
        <v>63</v>
      </c>
      <c r="AP47" s="100" t="s">
        <v>121</v>
      </c>
    </row>
    <row r="48" spans="1:42">
      <c r="A48" s="91" t="s">
        <v>114</v>
      </c>
      <c r="B48" s="95" t="s">
        <v>132</v>
      </c>
      <c r="C48" s="99">
        <f t="shared" ref="C48:M48" si="25">C40-C43-C44-C45-C47-C46</f>
        <v>119.99699698770903</v>
      </c>
      <c r="D48" s="99">
        <f t="shared" si="25"/>
        <v>132.07550173532806</v>
      </c>
      <c r="E48" s="99">
        <f t="shared" si="25"/>
        <v>176.01596823746448</v>
      </c>
      <c r="F48" s="99">
        <f t="shared" si="25"/>
        <v>188.09447298508329</v>
      </c>
      <c r="G48" s="99">
        <f t="shared" si="25"/>
        <v>-34.278565442722147</v>
      </c>
      <c r="H48" s="99" t="e">
        <f t="shared" si="25"/>
        <v>#DIV/0!</v>
      </c>
      <c r="I48" s="99">
        <f t="shared" si="25"/>
        <v>-9.5916532865162303</v>
      </c>
      <c r="J48" s="99">
        <f t="shared" si="25"/>
        <v>-4.9631743012145462</v>
      </c>
      <c r="K48" s="99">
        <f t="shared" si="25"/>
        <v>4.3337361184555698</v>
      </c>
      <c r="L48" s="99">
        <f t="shared" si="25"/>
        <v>3.9435032089715802</v>
      </c>
      <c r="M48" s="99">
        <f t="shared" si="25"/>
        <v>3.9435032089715802</v>
      </c>
      <c r="N48" s="99"/>
      <c r="Y48" s="95" t="s">
        <v>132</v>
      </c>
      <c r="AO48" s="91" t="s">
        <v>131</v>
      </c>
      <c r="AP48" s="95" t="s">
        <v>132</v>
      </c>
    </row>
    <row r="51" spans="2:19"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</row>
    <row r="54" spans="2:19">
      <c r="B54" s="2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2"/>
      <c r="P54" s="2"/>
      <c r="Q54" s="2"/>
      <c r="R54" s="2"/>
      <c r="S54" s="2"/>
    </row>
    <row r="55" spans="2:19">
      <c r="B55" s="2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2"/>
      <c r="P55" s="2"/>
      <c r="Q55" s="2"/>
      <c r="R55" s="2"/>
      <c r="S55" s="2"/>
    </row>
    <row r="56" spans="2:19">
      <c r="B56" s="2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2"/>
      <c r="P56" s="2"/>
      <c r="Q56" s="2"/>
      <c r="R56" s="2"/>
      <c r="S56" s="2"/>
    </row>
    <row r="57" spans="2:19">
      <c r="B57" s="2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2"/>
      <c r="P57" s="2"/>
      <c r="Q57" s="2"/>
      <c r="R57" s="2"/>
      <c r="S57" s="2"/>
    </row>
    <row r="58" spans="2:19">
      <c r="B58" s="2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2"/>
      <c r="P58" s="2"/>
      <c r="Q58" s="2"/>
      <c r="R58" s="2"/>
      <c r="S58" s="2"/>
    </row>
    <row r="59" spans="2:19">
      <c r="B59" s="2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2"/>
      <c r="P59" s="2"/>
      <c r="Q59" s="2"/>
      <c r="R59" s="2"/>
      <c r="S59" s="2"/>
    </row>
    <row r="60" spans="2:19">
      <c r="B60" s="2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2"/>
      <c r="P60" s="2"/>
      <c r="Q60" s="2"/>
      <c r="R60" s="2"/>
      <c r="S60" s="2"/>
    </row>
    <row r="61" spans="2:19">
      <c r="B61" s="2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2"/>
      <c r="P61" s="2"/>
      <c r="Q61" s="2"/>
      <c r="R61" s="2"/>
      <c r="S61" s="2"/>
    </row>
    <row r="62" spans="2:19">
      <c r="B62" s="2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2"/>
      <c r="P62" s="2"/>
      <c r="Q62" s="2"/>
      <c r="R62" s="2"/>
      <c r="S62" s="2"/>
    </row>
    <row r="63" spans="2:19">
      <c r="B63" s="2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2"/>
      <c r="P63" s="2"/>
      <c r="Q63" s="2"/>
      <c r="R63" s="2"/>
      <c r="S63" s="2"/>
    </row>
    <row r="64" spans="2:19">
      <c r="B64" s="2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2"/>
      <c r="P64" s="2"/>
      <c r="Q64" s="2"/>
      <c r="R64" s="2"/>
      <c r="S64" s="2"/>
    </row>
    <row r="65" spans="2:19">
      <c r="B65" s="2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2"/>
      <c r="P65" s="2"/>
      <c r="Q65" s="2"/>
      <c r="R65" s="2"/>
      <c r="S65" s="2"/>
    </row>
    <row r="66" spans="2:19">
      <c r="B66" s="2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2"/>
      <c r="P66" s="2"/>
      <c r="Q66" s="2"/>
      <c r="R66" s="2"/>
      <c r="S66" s="2"/>
    </row>
    <row r="67" spans="2:19">
      <c r="B67" s="2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2"/>
    </row>
    <row r="68" spans="2:19">
      <c r="B68" s="2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2"/>
    </row>
    <row r="69" spans="2:19">
      <c r="B69" s="2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2"/>
    </row>
    <row r="70" spans="2:19">
      <c r="B70" s="2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2"/>
    </row>
    <row r="71" spans="2:19">
      <c r="B71" s="2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2"/>
    </row>
    <row r="72" spans="2:19">
      <c r="B72" s="2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2"/>
    </row>
    <row r="73" spans="2:19">
      <c r="B73" s="2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2"/>
    </row>
    <row r="74" spans="2:19">
      <c r="B74" s="2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2"/>
    </row>
  </sheetData>
  <mergeCells count="8">
    <mergeCell ref="A4:B4"/>
    <mergeCell ref="A5:B5"/>
    <mergeCell ref="N3:N5"/>
    <mergeCell ref="A1:B1"/>
    <mergeCell ref="C1:N1"/>
    <mergeCell ref="A2:B2"/>
    <mergeCell ref="C2:N2"/>
    <mergeCell ref="A3:B3"/>
  </mergeCells>
  <phoneticPr fontId="40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pane xSplit="6" ySplit="2" topLeftCell="G18" activePane="bottomRight" state="frozen"/>
      <selection pane="topRight"/>
      <selection pane="bottomLeft"/>
      <selection pane="bottomRight" activeCell="I33" sqref="I33"/>
    </sheetView>
  </sheetViews>
  <sheetFormatPr defaultColWidth="9" defaultRowHeight="13.5"/>
  <cols>
    <col min="1" max="1" width="19.5" customWidth="1"/>
    <col min="2" max="2" width="14.875" style="58" customWidth="1"/>
    <col min="3" max="3" width="9.25" customWidth="1"/>
    <col min="4" max="4" width="15.5" bestFit="1" customWidth="1"/>
    <col min="5" max="5" width="19.25" customWidth="1"/>
    <col min="6" max="6" width="15.5" bestFit="1" customWidth="1"/>
    <col min="7" max="7" width="20.5" bestFit="1" customWidth="1"/>
    <col min="8" max="8" width="13" customWidth="1"/>
    <col min="9" max="9" width="14.875" customWidth="1"/>
    <col min="10" max="10" width="13" customWidth="1"/>
  </cols>
  <sheetData>
    <row r="1" spans="1:10" ht="20.25">
      <c r="A1" s="202" t="s">
        <v>175</v>
      </c>
      <c r="B1" s="202"/>
      <c r="C1" s="202"/>
      <c r="E1" s="203" t="s">
        <v>176</v>
      </c>
      <c r="F1" s="204"/>
      <c r="G1" s="204"/>
      <c r="H1" s="205"/>
    </row>
    <row r="2" spans="1:10" ht="23.45" customHeight="1">
      <c r="A2" s="59" t="s">
        <v>1</v>
      </c>
      <c r="B2" s="60" t="s">
        <v>177</v>
      </c>
      <c r="C2" s="61" t="s">
        <v>178</v>
      </c>
      <c r="E2" s="62" t="s">
        <v>179</v>
      </c>
      <c r="F2" s="62" t="s">
        <v>1</v>
      </c>
      <c r="G2" s="63" t="s">
        <v>180</v>
      </c>
      <c r="H2" s="62" t="s">
        <v>178</v>
      </c>
    </row>
    <row r="3" spans="1:10" ht="15.75" customHeight="1">
      <c r="A3" s="64" t="s">
        <v>181</v>
      </c>
      <c r="B3" s="65"/>
      <c r="C3" s="66"/>
      <c r="E3" s="210" t="s">
        <v>182</v>
      </c>
      <c r="F3" s="67" t="s">
        <v>183</v>
      </c>
      <c r="G3" s="68">
        <v>0</v>
      </c>
      <c r="H3" s="67"/>
    </row>
    <row r="4" spans="1:10" ht="15.75" customHeight="1">
      <c r="A4" s="64" t="s">
        <v>184</v>
      </c>
      <c r="B4" s="65"/>
      <c r="C4" s="69"/>
      <c r="E4" s="211"/>
      <c r="F4" s="67" t="s">
        <v>185</v>
      </c>
      <c r="G4" s="68">
        <v>178.5</v>
      </c>
      <c r="H4" s="67"/>
    </row>
    <row r="5" spans="1:10" ht="15.75" customHeight="1">
      <c r="A5" s="64" t="s">
        <v>186</v>
      </c>
      <c r="B5" s="70">
        <f>SUM(G3:G4)</f>
        <v>178.5</v>
      </c>
      <c r="C5" s="66"/>
      <c r="E5" s="212" t="s">
        <v>187</v>
      </c>
      <c r="F5" s="71" t="s">
        <v>188</v>
      </c>
      <c r="G5" s="68">
        <v>0</v>
      </c>
      <c r="H5" s="71"/>
    </row>
    <row r="6" spans="1:10" ht="15.75" customHeight="1">
      <c r="A6" s="64" t="s">
        <v>189</v>
      </c>
      <c r="B6" s="65"/>
      <c r="C6" s="66"/>
      <c r="E6" s="213"/>
      <c r="F6" s="71" t="s">
        <v>190</v>
      </c>
      <c r="G6" s="68">
        <v>281.5</v>
      </c>
      <c r="H6" s="67"/>
      <c r="J6">
        <v>10000</v>
      </c>
    </row>
    <row r="7" spans="1:10" ht="15.75" customHeight="1">
      <c r="A7" s="72" t="s">
        <v>191</v>
      </c>
      <c r="B7" s="70">
        <f>SUM(B3:B6)</f>
        <v>178.5</v>
      </c>
      <c r="C7" s="66"/>
      <c r="E7" s="213"/>
      <c r="F7" s="71" t="s">
        <v>192</v>
      </c>
      <c r="G7" s="68">
        <v>10.6</v>
      </c>
      <c r="H7" s="67"/>
    </row>
    <row r="8" spans="1:10" ht="15.75" customHeight="1">
      <c r="A8" s="73" t="s">
        <v>193</v>
      </c>
      <c r="B8" s="70">
        <f>SUM(G5:G12)</f>
        <v>415.2</v>
      </c>
      <c r="C8" s="74"/>
      <c r="E8" s="213"/>
      <c r="F8" s="71" t="s">
        <v>194</v>
      </c>
      <c r="G8" s="68">
        <v>0</v>
      </c>
      <c r="H8" s="67"/>
    </row>
    <row r="9" spans="1:10" ht="15.75" customHeight="1">
      <c r="A9" s="64" t="s">
        <v>195</v>
      </c>
      <c r="B9" s="70">
        <f>SUM(G13:G21)</f>
        <v>137.28</v>
      </c>
      <c r="C9" s="66"/>
      <c r="E9" s="213"/>
      <c r="F9" s="67" t="s">
        <v>196</v>
      </c>
      <c r="G9" s="75">
        <v>95.9</v>
      </c>
      <c r="H9" s="76"/>
    </row>
    <row r="10" spans="1:10" ht="15.75" customHeight="1">
      <c r="A10" s="69" t="s">
        <v>51</v>
      </c>
      <c r="B10" s="70">
        <f>B7+B8+B9</f>
        <v>730.98</v>
      </c>
      <c r="C10" s="66"/>
      <c r="E10" s="213"/>
      <c r="F10" s="67" t="s">
        <v>197</v>
      </c>
      <c r="G10" s="75">
        <v>27.2</v>
      </c>
      <c r="H10" s="67"/>
    </row>
    <row r="11" spans="1:10" ht="15.75" customHeight="1">
      <c r="E11" s="213"/>
      <c r="F11" s="67" t="s">
        <v>198</v>
      </c>
      <c r="G11" s="68">
        <v>0</v>
      </c>
      <c r="H11" s="67"/>
    </row>
    <row r="12" spans="1:10" ht="15.75" customHeight="1">
      <c r="E12" s="214"/>
      <c r="F12" s="67" t="s">
        <v>199</v>
      </c>
      <c r="G12" s="68">
        <v>0</v>
      </c>
      <c r="H12" s="76"/>
    </row>
    <row r="13" spans="1:10" ht="15.75" customHeight="1">
      <c r="E13" s="210" t="s">
        <v>83</v>
      </c>
      <c r="F13" s="67" t="s">
        <v>200</v>
      </c>
      <c r="G13" s="68">
        <v>0</v>
      </c>
      <c r="H13" s="77"/>
    </row>
    <row r="14" spans="1:10" ht="15.75" customHeight="1">
      <c r="E14" s="211"/>
      <c r="F14" s="67" t="s">
        <v>201</v>
      </c>
      <c r="G14" s="68">
        <v>1.44</v>
      </c>
      <c r="H14" s="67"/>
    </row>
    <row r="15" spans="1:10" ht="15.75" customHeight="1">
      <c r="E15" s="211"/>
      <c r="F15" s="67" t="s">
        <v>202</v>
      </c>
      <c r="G15" s="68">
        <v>0.14000000000000001</v>
      </c>
      <c r="H15" s="67"/>
    </row>
    <row r="16" spans="1:10" ht="15.75" customHeight="1">
      <c r="E16" s="211"/>
      <c r="F16" s="67" t="s">
        <v>203</v>
      </c>
      <c r="G16" s="68">
        <v>3.5</v>
      </c>
      <c r="H16" s="67"/>
    </row>
    <row r="17" spans="1:10" ht="15.75" customHeight="1">
      <c r="E17" s="211"/>
      <c r="F17" s="67" t="s">
        <v>204</v>
      </c>
      <c r="G17" s="68">
        <v>25.2</v>
      </c>
      <c r="H17" s="67"/>
    </row>
    <row r="18" spans="1:10" ht="15.75" customHeight="1">
      <c r="E18" s="211"/>
      <c r="F18" s="67" t="s">
        <v>205</v>
      </c>
      <c r="G18" s="68">
        <v>32</v>
      </c>
      <c r="H18" s="67"/>
    </row>
    <row r="19" spans="1:10" ht="15.75" customHeight="1">
      <c r="E19" s="211"/>
      <c r="F19" s="67" t="s">
        <v>206</v>
      </c>
      <c r="G19" s="68">
        <v>75</v>
      </c>
      <c r="H19" s="67"/>
    </row>
    <row r="20" spans="1:10" ht="15.75" customHeight="1">
      <c r="E20" s="211"/>
      <c r="F20" s="67" t="s">
        <v>207</v>
      </c>
      <c r="G20" s="68"/>
      <c r="H20" s="67"/>
    </row>
    <row r="21" spans="1:10" ht="15.75" customHeight="1">
      <c r="E21" s="215"/>
      <c r="F21" s="67" t="s">
        <v>35</v>
      </c>
      <c r="G21" s="68"/>
      <c r="H21" s="67"/>
    </row>
    <row r="22" spans="1:10" ht="15.75" customHeight="1">
      <c r="E22" s="62" t="s">
        <v>51</v>
      </c>
      <c r="F22" s="67"/>
      <c r="G22" s="63">
        <f>SUM(G3:G21)</f>
        <v>730.98000000000013</v>
      </c>
      <c r="H22" s="67"/>
    </row>
    <row r="23" spans="1:10" ht="30.75" customHeight="1">
      <c r="E23" s="206" t="s">
        <v>208</v>
      </c>
      <c r="F23" s="206"/>
      <c r="G23" s="206"/>
      <c r="H23" s="206"/>
    </row>
    <row r="25" spans="1:10" ht="17.25">
      <c r="A25" s="78" t="s">
        <v>1</v>
      </c>
      <c r="B25" s="78" t="s">
        <v>177</v>
      </c>
      <c r="C25" s="78" t="s">
        <v>209</v>
      </c>
      <c r="D25" s="79" t="s">
        <v>48</v>
      </c>
      <c r="E25" s="79" t="s">
        <v>49</v>
      </c>
      <c r="F25" s="79" t="s">
        <v>50</v>
      </c>
      <c r="G25" s="79" t="s">
        <v>210</v>
      </c>
      <c r="H25" s="79" t="s">
        <v>211</v>
      </c>
      <c r="I25" s="79" t="s">
        <v>51</v>
      </c>
      <c r="J25" s="84" t="s">
        <v>212</v>
      </c>
    </row>
    <row r="26" spans="1:10" ht="16.5">
      <c r="A26" s="80" t="s">
        <v>168</v>
      </c>
      <c r="B26" s="81">
        <f>(B5+B8)*10000</f>
        <v>5937000</v>
      </c>
      <c r="C26" s="82">
        <v>0.05</v>
      </c>
      <c r="D26" s="83">
        <f>B26*(1-C26)/3</f>
        <v>1880050</v>
      </c>
      <c r="E26" s="83">
        <f t="shared" ref="E26:F27" si="0">D26</f>
        <v>1880050</v>
      </c>
      <c r="F26" s="83">
        <f t="shared" si="0"/>
        <v>1880050</v>
      </c>
      <c r="G26" s="83"/>
      <c r="H26" s="83"/>
      <c r="I26" s="83">
        <f>SUM(D26:H26)</f>
        <v>5640150</v>
      </c>
      <c r="J26" s="83">
        <f>B26*0.05</f>
        <v>296850</v>
      </c>
    </row>
    <row r="27" spans="1:10" ht="16.5">
      <c r="A27" s="80" t="s">
        <v>213</v>
      </c>
      <c r="B27" s="81">
        <f>B9*10000</f>
        <v>1372800</v>
      </c>
      <c r="C27" s="83"/>
      <c r="D27" s="83">
        <f>B27/3</f>
        <v>457600</v>
      </c>
      <c r="E27" s="83">
        <f t="shared" si="0"/>
        <v>457600</v>
      </c>
      <c r="F27" s="83">
        <f t="shared" si="0"/>
        <v>457600</v>
      </c>
      <c r="G27" s="83"/>
      <c r="H27" s="83"/>
      <c r="I27" s="83">
        <f>SUM(D27:H27)</f>
        <v>1372800</v>
      </c>
      <c r="J27" s="83"/>
    </row>
    <row r="28" spans="1:10" ht="16.5">
      <c r="A28" s="207" t="s">
        <v>140</v>
      </c>
      <c r="B28" s="208"/>
      <c r="C28" s="209"/>
      <c r="D28" s="83">
        <f>SUM(D26:D27)</f>
        <v>2337650</v>
      </c>
      <c r="E28" s="83">
        <f t="shared" ref="E28:H28" si="1">SUM(E26:E27)</f>
        <v>2337650</v>
      </c>
      <c r="F28" s="83">
        <f t="shared" si="1"/>
        <v>2337650</v>
      </c>
      <c r="G28" s="83">
        <f t="shared" si="1"/>
        <v>0</v>
      </c>
      <c r="H28" s="83">
        <f t="shared" si="1"/>
        <v>0</v>
      </c>
      <c r="I28" s="85"/>
      <c r="J28" s="8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0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5" zoomScaleNormal="85" workbookViewId="0">
      <selection activeCell="C15" sqref="C15"/>
    </sheetView>
  </sheetViews>
  <sheetFormatPr defaultColWidth="9" defaultRowHeight="16.5"/>
  <cols>
    <col min="1" max="1" width="14" style="42" customWidth="1"/>
    <col min="2" max="2" width="14.125" style="42" customWidth="1"/>
    <col min="3" max="3" width="14.75" style="42" bestFit="1" customWidth="1"/>
    <col min="4" max="4" width="11.125" style="42" customWidth="1"/>
    <col min="5" max="5" width="12.875" style="42" bestFit="1" customWidth="1"/>
    <col min="6" max="6" width="11.125" style="42" customWidth="1"/>
    <col min="7" max="7" width="13.25" style="42" customWidth="1"/>
    <col min="8" max="8" width="12.125" style="42" customWidth="1"/>
    <col min="9" max="9" width="13.125" style="42" customWidth="1"/>
    <col min="10" max="13" width="12.125" style="42" customWidth="1"/>
    <col min="14" max="14" width="11.625" style="42" customWidth="1"/>
    <col min="15" max="15" width="9.25" style="42" customWidth="1"/>
    <col min="16" max="16" width="9.125" style="43" customWidth="1"/>
    <col min="17" max="17" width="12.875" style="43"/>
    <col min="18" max="16384" width="9" style="42"/>
  </cols>
  <sheetData>
    <row r="1" spans="1:17" ht="29.25" customHeight="1">
      <c r="A1" s="44" t="s">
        <v>214</v>
      </c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 ht="24" customHeight="1">
      <c r="A2" s="46" t="s">
        <v>215</v>
      </c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7">
      <c r="C3" s="42" t="s">
        <v>216</v>
      </c>
      <c r="D3" s="42" t="s">
        <v>217</v>
      </c>
      <c r="E3" s="47">
        <v>0.05</v>
      </c>
    </row>
    <row r="5" spans="1:17" ht="45" customHeight="1">
      <c r="A5" s="217" t="s">
        <v>218</v>
      </c>
      <c r="B5" s="48" t="s">
        <v>146</v>
      </c>
      <c r="C5" s="14" t="s">
        <v>147</v>
      </c>
      <c r="D5" s="14" t="s">
        <v>147</v>
      </c>
      <c r="E5" s="14" t="s">
        <v>147</v>
      </c>
      <c r="F5" s="14" t="s">
        <v>147</v>
      </c>
      <c r="G5" s="14" t="s">
        <v>148</v>
      </c>
      <c r="H5" s="14" t="s">
        <v>148</v>
      </c>
      <c r="I5" s="14" t="s">
        <v>148</v>
      </c>
      <c r="J5" s="14" t="s">
        <v>148</v>
      </c>
      <c r="K5" s="14" t="s">
        <v>148</v>
      </c>
      <c r="L5" s="14" t="s">
        <v>149</v>
      </c>
      <c r="M5" s="14" t="s">
        <v>149</v>
      </c>
      <c r="N5" s="218" t="s">
        <v>51</v>
      </c>
    </row>
    <row r="6" spans="1:17" ht="31.5" customHeight="1">
      <c r="A6" s="217"/>
      <c r="B6" s="48" t="s">
        <v>150</v>
      </c>
      <c r="C6" s="14" t="s">
        <v>151</v>
      </c>
      <c r="D6" s="16" t="s">
        <v>152</v>
      </c>
      <c r="E6" s="16" t="s">
        <v>153</v>
      </c>
      <c r="F6" s="16" t="s">
        <v>154</v>
      </c>
      <c r="G6" s="16" t="s">
        <v>155</v>
      </c>
      <c r="H6" s="16" t="s">
        <v>156</v>
      </c>
      <c r="I6" s="16" t="s">
        <v>157</v>
      </c>
      <c r="J6" s="16" t="s">
        <v>158</v>
      </c>
      <c r="K6" s="16" t="s">
        <v>159</v>
      </c>
      <c r="L6" s="16" t="s">
        <v>160</v>
      </c>
      <c r="M6" s="16" t="s">
        <v>161</v>
      </c>
      <c r="N6" s="219"/>
      <c r="P6" s="43">
        <v>100</v>
      </c>
    </row>
    <row r="7" spans="1:17" ht="15.6" customHeight="1">
      <c r="A7" s="217"/>
      <c r="B7" s="16" t="s">
        <v>219</v>
      </c>
      <c r="C7" s="49" t="s">
        <v>163</v>
      </c>
      <c r="D7" s="49" t="s">
        <v>163</v>
      </c>
      <c r="E7" s="16" t="s">
        <v>164</v>
      </c>
      <c r="F7" s="16" t="s">
        <v>164</v>
      </c>
      <c r="G7" s="49" t="s">
        <v>163</v>
      </c>
      <c r="H7" s="49" t="s">
        <v>163</v>
      </c>
      <c r="I7" s="16" t="s">
        <v>164</v>
      </c>
      <c r="J7" s="16" t="s">
        <v>164</v>
      </c>
      <c r="K7" s="16" t="s">
        <v>165</v>
      </c>
      <c r="L7" s="16" t="s">
        <v>166</v>
      </c>
      <c r="M7" s="16" t="s">
        <v>166</v>
      </c>
      <c r="N7" s="220"/>
      <c r="O7" s="42">
        <v>2026</v>
      </c>
      <c r="P7" s="43">
        <f>P6*(1-$E$3)</f>
        <v>95</v>
      </c>
      <c r="Q7" s="43">
        <f>P7/$P$6</f>
        <v>0.95</v>
      </c>
    </row>
    <row r="8" spans="1:17" ht="33">
      <c r="A8" s="217"/>
      <c r="B8" s="16" t="s">
        <v>220</v>
      </c>
      <c r="C8" s="50">
        <f>2580/1.13</f>
        <v>2283.1858407079649</v>
      </c>
      <c r="D8" s="50">
        <f>2580/1.13</f>
        <v>2283.1858407079649</v>
      </c>
      <c r="E8" s="50">
        <f>2055/1.13</f>
        <v>1818.5840707964603</v>
      </c>
      <c r="F8" s="50">
        <f>2055/1.13</f>
        <v>1818.5840707964603</v>
      </c>
      <c r="G8" s="51">
        <f>790/1.13</f>
        <v>699.11504424778764</v>
      </c>
      <c r="H8" s="51"/>
      <c r="I8" s="51">
        <f>650/1.13</f>
        <v>575.22123893805315</v>
      </c>
      <c r="J8" s="51">
        <f>650/1.13</f>
        <v>575.22123893805315</v>
      </c>
      <c r="K8" s="51">
        <f>1160/1.13</f>
        <v>1026.5486725663718</v>
      </c>
      <c r="L8" s="51">
        <f>70/1.13</f>
        <v>61.946902654867266</v>
      </c>
      <c r="M8" s="51">
        <f>70/1.13</f>
        <v>61.946902654867266</v>
      </c>
      <c r="N8" s="57">
        <f>SUM(C8:M8)</f>
        <v>11203.53982300885</v>
      </c>
      <c r="O8" s="42">
        <v>2027</v>
      </c>
      <c r="P8" s="43">
        <f t="shared" ref="P8:P10" si="0">P7*(1-$E$3)</f>
        <v>90.25</v>
      </c>
      <c r="Q8" s="43">
        <f>P8/$P$6</f>
        <v>0.90249999999999997</v>
      </c>
    </row>
    <row r="9" spans="1:17" ht="17.25">
      <c r="A9" s="217" t="s">
        <v>221</v>
      </c>
      <c r="B9" s="52" t="s">
        <v>48</v>
      </c>
      <c r="C9" s="53">
        <v>2000</v>
      </c>
      <c r="D9" s="53">
        <v>500</v>
      </c>
      <c r="E9" s="53">
        <v>3000</v>
      </c>
      <c r="F9" s="53">
        <v>500</v>
      </c>
      <c r="G9" s="53">
        <v>2000</v>
      </c>
      <c r="H9" s="53"/>
      <c r="I9" s="53">
        <v>3000</v>
      </c>
      <c r="J9" s="53">
        <v>500</v>
      </c>
      <c r="K9" s="53">
        <v>50</v>
      </c>
      <c r="L9" s="53">
        <v>5000</v>
      </c>
      <c r="M9" s="53">
        <v>1000</v>
      </c>
      <c r="N9" s="57">
        <f>SUM(C9:M9)</f>
        <v>17550</v>
      </c>
      <c r="P9" s="43">
        <f t="shared" si="0"/>
        <v>85.737499999999997</v>
      </c>
      <c r="Q9" s="43">
        <f>P9/$P$6</f>
        <v>0.857375</v>
      </c>
    </row>
    <row r="10" spans="1:17" ht="17.25">
      <c r="A10" s="217"/>
      <c r="B10" s="52" t="s">
        <v>49</v>
      </c>
      <c r="C10" s="53">
        <v>10000</v>
      </c>
      <c r="D10" s="53">
        <v>5000</v>
      </c>
      <c r="E10" s="53">
        <v>10000</v>
      </c>
      <c r="F10" s="53">
        <v>5000</v>
      </c>
      <c r="G10" s="53">
        <v>10000</v>
      </c>
      <c r="H10" s="53"/>
      <c r="I10" s="53">
        <v>10000</v>
      </c>
      <c r="J10" s="53">
        <v>5000</v>
      </c>
      <c r="K10" s="53">
        <v>500</v>
      </c>
      <c r="L10" s="53">
        <v>20000</v>
      </c>
      <c r="M10" s="53">
        <v>10000</v>
      </c>
      <c r="N10" s="57">
        <f>SUM(C10:M10)</f>
        <v>85500</v>
      </c>
      <c r="P10" s="43">
        <f t="shared" si="0"/>
        <v>81.450624999999988</v>
      </c>
      <c r="Q10" s="43">
        <f t="shared" ref="Q10" si="1">P10/$P$6</f>
        <v>0.81450624999999988</v>
      </c>
    </row>
    <row r="11" spans="1:17" ht="17.25">
      <c r="A11" s="217"/>
      <c r="B11" s="52" t="s">
        <v>50</v>
      </c>
      <c r="C11" s="53">
        <v>10000</v>
      </c>
      <c r="D11" s="53">
        <v>5000</v>
      </c>
      <c r="E11" s="53">
        <v>10000</v>
      </c>
      <c r="F11" s="53">
        <v>5000</v>
      </c>
      <c r="G11" s="53">
        <v>10000</v>
      </c>
      <c r="H11" s="53"/>
      <c r="I11" s="53">
        <v>10000</v>
      </c>
      <c r="J11" s="53">
        <v>5000</v>
      </c>
      <c r="K11" s="53">
        <v>1000</v>
      </c>
      <c r="L11" s="53">
        <v>20000</v>
      </c>
      <c r="M11" s="53">
        <v>10000</v>
      </c>
      <c r="N11" s="57">
        <f>SUM(C11:M11)</f>
        <v>86000</v>
      </c>
    </row>
    <row r="12" spans="1:17" ht="17.25">
      <c r="A12" s="217"/>
      <c r="B12" s="52" t="s">
        <v>210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7">
        <f>SUM(C12:H12)</f>
        <v>0</v>
      </c>
    </row>
    <row r="13" spans="1:17" ht="18.75">
      <c r="A13" s="217"/>
      <c r="B13" s="52" t="s">
        <v>211</v>
      </c>
      <c r="C13" s="53"/>
      <c r="D13" s="53"/>
      <c r="E13" s="53"/>
      <c r="F13" s="53"/>
      <c r="G13" s="53"/>
      <c r="H13" s="54"/>
      <c r="I13" s="54"/>
      <c r="J13" s="54"/>
      <c r="K13" s="54"/>
      <c r="L13" s="54"/>
      <c r="M13" s="54"/>
      <c r="N13" s="57">
        <f>SUM(C13:H13)</f>
        <v>0</v>
      </c>
    </row>
    <row r="14" spans="1:17" ht="17.25">
      <c r="A14" s="216" t="s">
        <v>51</v>
      </c>
      <c r="B14" s="216"/>
      <c r="C14" s="55">
        <f t="shared" ref="C14:N14" si="2">SUM(C9:C13)</f>
        <v>22000</v>
      </c>
      <c r="D14" s="55">
        <f t="shared" si="2"/>
        <v>10500</v>
      </c>
      <c r="E14" s="55">
        <f t="shared" si="2"/>
        <v>23000</v>
      </c>
      <c r="F14" s="55">
        <f t="shared" si="2"/>
        <v>10500</v>
      </c>
      <c r="G14" s="55">
        <f t="shared" si="2"/>
        <v>22000</v>
      </c>
      <c r="H14" s="55">
        <f t="shared" si="2"/>
        <v>0</v>
      </c>
      <c r="I14" s="55">
        <f t="shared" si="2"/>
        <v>23000</v>
      </c>
      <c r="J14" s="55">
        <f t="shared" si="2"/>
        <v>10500</v>
      </c>
      <c r="K14" s="55">
        <f t="shared" si="2"/>
        <v>1550</v>
      </c>
      <c r="L14" s="55">
        <f t="shared" si="2"/>
        <v>45000</v>
      </c>
      <c r="M14" s="55">
        <f t="shared" si="2"/>
        <v>21000</v>
      </c>
      <c r="N14" s="55">
        <f t="shared" si="2"/>
        <v>189050</v>
      </c>
    </row>
    <row r="15" spans="1:17" ht="36">
      <c r="A15" s="56"/>
      <c r="B15" s="56"/>
      <c r="C15" s="251" t="s">
        <v>300</v>
      </c>
    </row>
    <row r="16" spans="1:17">
      <c r="B16" s="42" t="s">
        <v>291</v>
      </c>
      <c r="C16" s="185">
        <f>材料成本!D24</f>
        <v>1832.3994236669021</v>
      </c>
      <c r="D16" s="185">
        <f>材料成本!E24</f>
        <v>1819.0160389049977</v>
      </c>
      <c r="E16" s="185">
        <f>材料成本!F24</f>
        <v>1369.2008969469023</v>
      </c>
      <c r="F16" s="185">
        <f>材料成本!G24</f>
        <v>1355.8175121849979</v>
      </c>
      <c r="G16" s="185">
        <f>材料成本!H24</f>
        <v>635.68762070696971</v>
      </c>
      <c r="H16" s="185"/>
      <c r="I16" s="185">
        <f>材料成本!J24</f>
        <v>501.36632956730102</v>
      </c>
      <c r="J16" s="185">
        <f>材料成本!K24</f>
        <v>496.23782099632956</v>
      </c>
      <c r="K16" s="185">
        <f>材料成本!L24</f>
        <v>875.60338982016981</v>
      </c>
      <c r="L16" s="185">
        <f>材料成本!M24</f>
        <v>43.218385714285709</v>
      </c>
      <c r="M16" s="185">
        <f>材料成本!N24</f>
        <v>43.218385714285709</v>
      </c>
      <c r="N16" s="56">
        <f>SUM(C16:M16)</f>
        <v>8971.7658042231433</v>
      </c>
    </row>
    <row r="17" spans="2:14">
      <c r="B17" s="42" t="s">
        <v>292</v>
      </c>
      <c r="C17" s="185">
        <f>C8-C16</f>
        <v>450.7864170410628</v>
      </c>
      <c r="D17" s="185">
        <f t="shared" ref="D17:M17" si="3">D8-D16</f>
        <v>464.16980180296719</v>
      </c>
      <c r="E17" s="185">
        <f t="shared" si="3"/>
        <v>449.38317384955803</v>
      </c>
      <c r="F17" s="185">
        <f t="shared" si="3"/>
        <v>462.76655861146241</v>
      </c>
      <c r="G17" s="185">
        <f t="shared" si="3"/>
        <v>63.427423540817927</v>
      </c>
      <c r="H17" s="185">
        <f t="shared" si="3"/>
        <v>0</v>
      </c>
      <c r="I17" s="185">
        <f t="shared" si="3"/>
        <v>73.854909370752125</v>
      </c>
      <c r="J17" s="185">
        <f t="shared" si="3"/>
        <v>78.983417941723587</v>
      </c>
      <c r="K17" s="185">
        <f t="shared" si="3"/>
        <v>150.945282746202</v>
      </c>
      <c r="L17" s="185">
        <f t="shared" si="3"/>
        <v>18.728516940581557</v>
      </c>
      <c r="M17" s="185">
        <f t="shared" si="3"/>
        <v>18.728516940581557</v>
      </c>
      <c r="N17" s="56">
        <f>SUM(C17:M17)</f>
        <v>2231.7740187857084</v>
      </c>
    </row>
    <row r="18" spans="2:14">
      <c r="B18" s="42" t="s">
        <v>293</v>
      </c>
      <c r="C18" s="186">
        <f>C17/C8</f>
        <v>0.19743746172728718</v>
      </c>
      <c r="D18" s="186">
        <f t="shared" ref="D18:N18" si="4">D17/D8</f>
        <v>0.20329917675866391</v>
      </c>
      <c r="E18" s="186">
        <f t="shared" si="4"/>
        <v>0.24710607613138713</v>
      </c>
      <c r="F18" s="186">
        <f t="shared" si="4"/>
        <v>0.25446530960143676</v>
      </c>
      <c r="G18" s="187">
        <f t="shared" si="4"/>
        <v>9.0725302026739563E-2</v>
      </c>
      <c r="H18" s="187" t="e">
        <f t="shared" si="4"/>
        <v>#DIV/0!</v>
      </c>
      <c r="I18" s="187">
        <f t="shared" si="4"/>
        <v>0.12839391936761521</v>
      </c>
      <c r="J18" s="187">
        <f t="shared" si="4"/>
        <v>0.13730963426791945</v>
      </c>
      <c r="K18" s="186">
        <f t="shared" si="4"/>
        <v>0.1470415254338002</v>
      </c>
      <c r="L18" s="186">
        <f t="shared" si="4"/>
        <v>0.30233177346938794</v>
      </c>
      <c r="M18" s="186">
        <f t="shared" si="4"/>
        <v>0.30233177346938794</v>
      </c>
      <c r="N18" s="186">
        <f t="shared" si="4"/>
        <v>0.19920257829603874</v>
      </c>
    </row>
  </sheetData>
  <mergeCells count="4">
    <mergeCell ref="A14:B14"/>
    <mergeCell ref="A5:A8"/>
    <mergeCell ref="A9:A13"/>
    <mergeCell ref="N5:N7"/>
  </mergeCells>
  <phoneticPr fontId="40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pane xSplit="3" ySplit="5" topLeftCell="D21" activePane="bottomRight" state="frozen"/>
      <selection pane="topRight"/>
      <selection pane="bottomLeft"/>
      <selection pane="bottomRight" activeCell="K26" sqref="K26"/>
    </sheetView>
  </sheetViews>
  <sheetFormatPr defaultColWidth="9" defaultRowHeight="16.5"/>
  <cols>
    <col min="1" max="2" width="4.375" style="26" customWidth="1"/>
    <col min="3" max="3" width="8.125" style="26" customWidth="1"/>
    <col min="4" max="8" width="12" style="27" customWidth="1"/>
    <col min="9" max="9" width="6.375" style="27" customWidth="1"/>
    <col min="10" max="15" width="12" style="27" customWidth="1"/>
    <col min="16" max="16" width="12.25" style="26" customWidth="1"/>
    <col min="17" max="17" width="13.25" style="26" customWidth="1"/>
    <col min="18" max="18" width="16" style="26" customWidth="1"/>
    <col min="19" max="16384" width="9" style="26"/>
  </cols>
  <sheetData>
    <row r="1" spans="1:18" s="25" customFormat="1" ht="28.5" customHeight="1">
      <c r="A1" s="227" t="s">
        <v>7</v>
      </c>
      <c r="B1" s="227"/>
      <c r="C1" s="28"/>
      <c r="D1" s="250" t="s">
        <v>300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R1" s="41"/>
    </row>
    <row r="2" spans="1:18">
      <c r="A2" s="228" t="s">
        <v>222</v>
      </c>
      <c r="B2" s="228"/>
      <c r="C2" s="229"/>
      <c r="D2" s="230"/>
      <c r="E2" s="231" t="s">
        <v>223</v>
      </c>
      <c r="F2" s="232"/>
      <c r="G2" s="232"/>
      <c r="H2" s="232"/>
      <c r="I2" s="232"/>
      <c r="J2" s="232"/>
      <c r="K2" s="232"/>
      <c r="L2" s="232"/>
      <c r="M2" s="232"/>
      <c r="N2" s="232"/>
      <c r="O2" s="233"/>
    </row>
    <row r="3" spans="1:18" ht="30">
      <c r="A3" s="226" t="s">
        <v>17</v>
      </c>
      <c r="B3" s="226" t="s">
        <v>224</v>
      </c>
      <c r="C3" s="31" t="s">
        <v>225</v>
      </c>
      <c r="D3" s="234" t="s">
        <v>226</v>
      </c>
      <c r="E3" s="234"/>
      <c r="F3" s="30" t="s">
        <v>227</v>
      </c>
      <c r="G3" s="235" t="s">
        <v>228</v>
      </c>
      <c r="H3" s="236"/>
      <c r="I3" s="32"/>
      <c r="J3" s="32"/>
      <c r="K3" s="32"/>
      <c r="L3" s="32"/>
      <c r="M3" s="32"/>
      <c r="N3" s="32"/>
      <c r="O3" s="237" t="s">
        <v>178</v>
      </c>
    </row>
    <row r="4" spans="1:18" ht="30">
      <c r="A4" s="226"/>
      <c r="B4" s="226"/>
      <c r="C4" s="31" t="s">
        <v>146</v>
      </c>
      <c r="D4" s="33" t="s">
        <v>147</v>
      </c>
      <c r="E4" s="33" t="s">
        <v>147</v>
      </c>
      <c r="F4" s="33" t="s">
        <v>147</v>
      </c>
      <c r="G4" s="33" t="s">
        <v>147</v>
      </c>
      <c r="H4" s="34" t="s">
        <v>148</v>
      </c>
      <c r="I4" s="34" t="s">
        <v>148</v>
      </c>
      <c r="J4" s="34" t="s">
        <v>148</v>
      </c>
      <c r="K4" s="34" t="s">
        <v>148</v>
      </c>
      <c r="L4" s="34" t="s">
        <v>148</v>
      </c>
      <c r="M4" s="34" t="s">
        <v>149</v>
      </c>
      <c r="N4" s="34" t="s">
        <v>149</v>
      </c>
      <c r="O4" s="238"/>
    </row>
    <row r="5" spans="1:18" ht="30">
      <c r="A5" s="226"/>
      <c r="B5" s="226"/>
      <c r="C5" s="31" t="s">
        <v>150</v>
      </c>
      <c r="D5" s="33" t="s">
        <v>151</v>
      </c>
      <c r="E5" s="33" t="s">
        <v>152</v>
      </c>
      <c r="F5" s="33" t="s">
        <v>153</v>
      </c>
      <c r="G5" s="33" t="s">
        <v>154</v>
      </c>
      <c r="H5" s="33" t="s">
        <v>155</v>
      </c>
      <c r="I5" s="33" t="s">
        <v>156</v>
      </c>
      <c r="J5" s="33" t="s">
        <v>157</v>
      </c>
      <c r="K5" s="33" t="s">
        <v>158</v>
      </c>
      <c r="L5" s="33" t="s">
        <v>159</v>
      </c>
      <c r="M5" s="33" t="s">
        <v>160</v>
      </c>
      <c r="N5" s="33" t="s">
        <v>161</v>
      </c>
      <c r="O5" s="239"/>
    </row>
    <row r="6" spans="1:18">
      <c r="A6" s="35">
        <v>1</v>
      </c>
      <c r="B6" s="221" t="s">
        <v>229</v>
      </c>
      <c r="C6" s="222"/>
      <c r="D6" s="36"/>
      <c r="E6" s="34"/>
      <c r="F6" s="34"/>
      <c r="G6" s="34"/>
      <c r="H6" s="34"/>
      <c r="I6" s="34"/>
      <c r="J6" s="34"/>
      <c r="K6" s="34"/>
      <c r="L6" s="34"/>
      <c r="M6" s="34"/>
      <c r="N6" s="34"/>
      <c r="O6" s="39"/>
    </row>
    <row r="7" spans="1:18">
      <c r="A7" s="35">
        <v>2</v>
      </c>
      <c r="B7" s="221" t="s">
        <v>230</v>
      </c>
      <c r="C7" s="222"/>
      <c r="D7" s="36"/>
      <c r="E7" s="34"/>
      <c r="F7" s="34"/>
      <c r="G7" s="34"/>
      <c r="H7" s="34"/>
      <c r="I7" s="34"/>
      <c r="J7" s="34"/>
      <c r="K7" s="34"/>
      <c r="L7" s="34"/>
      <c r="M7" s="34"/>
      <c r="N7" s="34"/>
      <c r="O7" s="39"/>
    </row>
    <row r="8" spans="1:18">
      <c r="A8" s="35">
        <v>3</v>
      </c>
      <c r="B8" s="221" t="s">
        <v>231</v>
      </c>
      <c r="C8" s="222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9"/>
    </row>
    <row r="9" spans="1:18">
      <c r="A9" s="35">
        <v>4</v>
      </c>
      <c r="B9" s="221" t="s">
        <v>232</v>
      </c>
      <c r="C9" s="222"/>
      <c r="D9" s="36"/>
      <c r="E9" s="34"/>
      <c r="F9" s="34"/>
      <c r="G9" s="34"/>
      <c r="H9" s="34"/>
      <c r="I9" s="34"/>
      <c r="J9" s="34"/>
      <c r="K9" s="34"/>
      <c r="L9" s="34"/>
      <c r="M9" s="34"/>
      <c r="N9" s="34"/>
      <c r="O9" s="39"/>
    </row>
    <row r="10" spans="1:18">
      <c r="A10" s="35">
        <v>5</v>
      </c>
      <c r="B10" s="221" t="s">
        <v>233</v>
      </c>
      <c r="C10" s="222"/>
      <c r="D10" s="36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9"/>
    </row>
    <row r="11" spans="1:18">
      <c r="A11" s="35">
        <v>6</v>
      </c>
      <c r="B11" s="221" t="s">
        <v>234</v>
      </c>
      <c r="C11" s="222"/>
      <c r="D11" s="36"/>
      <c r="E11" s="34"/>
      <c r="F11" s="34"/>
      <c r="G11" s="34"/>
      <c r="H11" s="34"/>
      <c r="I11" s="34"/>
      <c r="J11" s="34"/>
      <c r="K11" s="34"/>
      <c r="L11" s="33"/>
      <c r="M11" s="34"/>
      <c r="N11" s="34"/>
      <c r="O11" s="39"/>
    </row>
    <row r="12" spans="1:18">
      <c r="A12" s="35">
        <v>7</v>
      </c>
      <c r="B12" s="221" t="s">
        <v>235</v>
      </c>
      <c r="C12" s="222"/>
      <c r="D12" s="36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9"/>
    </row>
    <row r="13" spans="1:18">
      <c r="A13" s="35">
        <v>8</v>
      </c>
      <c r="B13" s="221" t="s">
        <v>236</v>
      </c>
      <c r="C13" s="222"/>
      <c r="D13" s="36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9"/>
    </row>
    <row r="14" spans="1:18">
      <c r="A14" s="35">
        <v>9</v>
      </c>
      <c r="B14" s="221" t="s">
        <v>237</v>
      </c>
      <c r="C14" s="222"/>
      <c r="D14" s="36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9"/>
    </row>
    <row r="15" spans="1:18">
      <c r="A15" s="35">
        <v>10</v>
      </c>
      <c r="B15" s="221" t="s">
        <v>238</v>
      </c>
      <c r="C15" s="222"/>
      <c r="D15" s="36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9"/>
    </row>
    <row r="16" spans="1:18">
      <c r="A16" s="35">
        <v>11</v>
      </c>
      <c r="B16" s="221" t="s">
        <v>239</v>
      </c>
      <c r="C16" s="222"/>
      <c r="D16" s="36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9"/>
    </row>
    <row r="17" spans="1:15">
      <c r="A17" s="35">
        <v>12</v>
      </c>
      <c r="B17" s="221" t="s">
        <v>240</v>
      </c>
      <c r="C17" s="222"/>
      <c r="D17" s="36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9"/>
    </row>
    <row r="18" spans="1:15">
      <c r="A18" s="35">
        <v>13</v>
      </c>
      <c r="B18" s="221" t="s">
        <v>241</v>
      </c>
      <c r="C18" s="222"/>
      <c r="D18" s="36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9"/>
    </row>
    <row r="19" spans="1:15">
      <c r="A19" s="35">
        <v>14</v>
      </c>
      <c r="B19" s="221" t="s">
        <v>242</v>
      </c>
      <c r="C19" s="222"/>
      <c r="D19" s="36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9"/>
    </row>
    <row r="20" spans="1:15">
      <c r="A20" s="35">
        <v>15</v>
      </c>
      <c r="B20" s="221" t="s">
        <v>243</v>
      </c>
      <c r="C20" s="222"/>
      <c r="D20" s="36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9"/>
    </row>
    <row r="21" spans="1:15">
      <c r="A21" s="35">
        <v>16</v>
      </c>
      <c r="B21" s="221" t="s">
        <v>244</v>
      </c>
      <c r="C21" s="222"/>
      <c r="D21" s="36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9"/>
    </row>
    <row r="22" spans="1:15">
      <c r="A22" s="35">
        <v>17</v>
      </c>
      <c r="B22" s="221" t="s">
        <v>35</v>
      </c>
      <c r="C22" s="222"/>
      <c r="D22" s="36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9"/>
    </row>
    <row r="23" spans="1:15">
      <c r="A23" s="35">
        <v>18</v>
      </c>
      <c r="B23" s="221" t="s">
        <v>245</v>
      </c>
      <c r="C23" s="222"/>
      <c r="D23" s="248">
        <v>1832.3994236669021</v>
      </c>
      <c r="E23" s="248">
        <v>1819.0160389049977</v>
      </c>
      <c r="F23" s="248">
        <v>1369.2008969469023</v>
      </c>
      <c r="G23" s="248">
        <v>1355.8175121849979</v>
      </c>
      <c r="H23" s="249">
        <v>635.68762070696971</v>
      </c>
      <c r="I23" s="37"/>
      <c r="J23" s="249">
        <v>501.36632956730102</v>
      </c>
      <c r="K23" s="249">
        <v>496.23782099632956</v>
      </c>
      <c r="L23" s="249">
        <v>875.60338982016981</v>
      </c>
      <c r="M23" s="249">
        <v>43.218385714285709</v>
      </c>
      <c r="N23" s="249">
        <v>43.218385714285709</v>
      </c>
      <c r="O23" s="40"/>
    </row>
    <row r="24" spans="1:15" ht="31.5" customHeight="1">
      <c r="A24" s="223" t="s">
        <v>246</v>
      </c>
      <c r="B24" s="224"/>
      <c r="C24" s="225"/>
      <c r="D24" s="38">
        <f>SUM(D6:D23)</f>
        <v>1832.3994236669021</v>
      </c>
      <c r="E24" s="38">
        <f>SUM(E6:E23)</f>
        <v>1819.0160389049977</v>
      </c>
      <c r="F24" s="38">
        <f>SUM(F6:F23)</f>
        <v>1369.2008969469023</v>
      </c>
      <c r="G24" s="38">
        <f>SUM(G6:G23)</f>
        <v>1355.8175121849979</v>
      </c>
      <c r="H24" s="38">
        <f t="shared" ref="H24:N24" si="0">SUM(H6:H23)</f>
        <v>635.68762070696971</v>
      </c>
      <c r="I24" s="38">
        <f t="shared" si="0"/>
        <v>0</v>
      </c>
      <c r="J24" s="38">
        <f t="shared" si="0"/>
        <v>501.36632956730102</v>
      </c>
      <c r="K24" s="38">
        <f t="shared" si="0"/>
        <v>496.23782099632956</v>
      </c>
      <c r="L24" s="38">
        <f t="shared" si="0"/>
        <v>875.60338982016981</v>
      </c>
      <c r="M24" s="38">
        <f t="shared" si="0"/>
        <v>43.218385714285709</v>
      </c>
      <c r="N24" s="38">
        <f t="shared" si="0"/>
        <v>43.218385714285709</v>
      </c>
      <c r="O24" s="40"/>
    </row>
    <row r="25" spans="1:15">
      <c r="C25" s="26" t="s">
        <v>298</v>
      </c>
      <c r="D25" s="248">
        <v>1840.33691338637</v>
      </c>
      <c r="E25" s="248">
        <v>1829.1019705292199</v>
      </c>
      <c r="F25" s="248">
        <v>1376.43838666636</v>
      </c>
      <c r="G25" s="248">
        <v>1365.2034438092201</v>
      </c>
      <c r="H25" s="248">
        <v>634.15908347336995</v>
      </c>
      <c r="I25" s="248">
        <v>626.79441077171998</v>
      </c>
      <c r="J25" s="248">
        <v>504.02762956730101</v>
      </c>
      <c r="K25" s="248">
        <v>498.12652099632999</v>
      </c>
      <c r="L25" s="248">
        <v>864.23522808056998</v>
      </c>
      <c r="M25" s="248">
        <v>36.085999999999999</v>
      </c>
      <c r="N25" s="248">
        <v>36.085999999999999</v>
      </c>
    </row>
    <row r="26" spans="1:15">
      <c r="I26" s="27" t="s">
        <v>304</v>
      </c>
    </row>
    <row r="27" spans="1:15">
      <c r="C27" s="26" t="s">
        <v>302</v>
      </c>
      <c r="D27" s="252">
        <f>D24*0.95</f>
        <v>1740.779452483557</v>
      </c>
      <c r="E27" s="252">
        <f t="shared" ref="E27:N27" si="1">E24*0.95</f>
        <v>1728.0652369597476</v>
      </c>
      <c r="F27" s="252">
        <f t="shared" si="1"/>
        <v>1300.7408520995571</v>
      </c>
      <c r="G27" s="252">
        <f t="shared" si="1"/>
        <v>1288.0266365757479</v>
      </c>
      <c r="H27" s="252">
        <f t="shared" si="1"/>
        <v>603.90323967162124</v>
      </c>
      <c r="I27" s="252">
        <f t="shared" si="1"/>
        <v>0</v>
      </c>
      <c r="J27" s="252">
        <f t="shared" si="1"/>
        <v>476.29801308893593</v>
      </c>
      <c r="K27" s="252">
        <f t="shared" si="1"/>
        <v>471.42592994651307</v>
      </c>
      <c r="L27" s="252">
        <f t="shared" si="1"/>
        <v>831.82322032916124</v>
      </c>
      <c r="M27" s="252">
        <f t="shared" si="1"/>
        <v>41.057466428571423</v>
      </c>
      <c r="N27" s="252">
        <f t="shared" si="1"/>
        <v>41.057466428571423</v>
      </c>
    </row>
    <row r="28" spans="1:15">
      <c r="C28" s="26" t="s">
        <v>303</v>
      </c>
      <c r="D28" s="252">
        <f>D27*0.95</f>
        <v>1653.7404798593791</v>
      </c>
      <c r="E28" s="252">
        <f t="shared" ref="E28:N28" si="2">E27*0.95</f>
        <v>1641.6619751117601</v>
      </c>
      <c r="F28" s="252">
        <f t="shared" si="2"/>
        <v>1235.7038094945792</v>
      </c>
      <c r="G28" s="252">
        <f t="shared" si="2"/>
        <v>1223.6253047469604</v>
      </c>
      <c r="H28" s="252">
        <f t="shared" si="2"/>
        <v>573.70807768804013</v>
      </c>
      <c r="I28" s="252">
        <f t="shared" si="2"/>
        <v>0</v>
      </c>
      <c r="J28" s="252">
        <f t="shared" si="2"/>
        <v>452.4831124344891</v>
      </c>
      <c r="K28" s="252">
        <f t="shared" si="2"/>
        <v>447.85463344918742</v>
      </c>
      <c r="L28" s="252">
        <f t="shared" si="2"/>
        <v>790.2320593127032</v>
      </c>
      <c r="M28" s="252">
        <f t="shared" si="2"/>
        <v>39.004593107142853</v>
      </c>
      <c r="N28" s="252">
        <f t="shared" si="2"/>
        <v>39.004593107142853</v>
      </c>
    </row>
  </sheetData>
  <mergeCells count="27">
    <mergeCell ref="A1:B1"/>
    <mergeCell ref="A2:D2"/>
    <mergeCell ref="E2:O2"/>
    <mergeCell ref="D3:E3"/>
    <mergeCell ref="G3:H3"/>
    <mergeCell ref="O3:O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0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</vt:i4>
      </vt:variant>
    </vt:vector>
  </HeadingPairs>
  <TitlesOfParts>
    <vt:vector size="15" baseType="lpstr">
      <vt:lpstr>假设条件</vt:lpstr>
      <vt:lpstr>现金</vt:lpstr>
      <vt:lpstr>损益表</vt:lpstr>
      <vt:lpstr>2025年</vt:lpstr>
      <vt:lpstr>2026年</vt:lpstr>
      <vt:lpstr>2027年</vt:lpstr>
      <vt:lpstr>项目投资</vt:lpstr>
      <vt:lpstr>销量</vt:lpstr>
      <vt:lpstr>材料成本</vt:lpstr>
      <vt:lpstr>其他</vt:lpstr>
      <vt:lpstr>标准成本</vt:lpstr>
      <vt:lpstr>'2025年'!Print_Area</vt:lpstr>
      <vt:lpstr>'2026年'!Print_Area</vt:lpstr>
      <vt:lpstr>'2027年'!Print_Area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2023-08-15T08:19:11Z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9545D4B7266740A89BCEAE7E60B7E103</vt:lpwstr>
  </property>
</Properties>
</file>