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J6G平地板3.0自适应平台座椅正式立项\"/>
    </mc:Choice>
  </mc:AlternateContent>
  <bookViews>
    <workbookView xWindow="0" yWindow="300" windowWidth="18525" windowHeight="63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2028年" sheetId="60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8">'2028年'!$A$1:$I$48</definedName>
    <definedName name="_xlnm.Print_Area" localSheetId="1">损益表!$A$1:$I$62</definedName>
    <definedName name="_xlnm.Print_Area" localSheetId="9">项目投资!$A$1:$C$35</definedName>
  </definedNames>
  <calcPr calcId="162913"/>
</workbook>
</file>

<file path=xl/calcChain.xml><?xml version="1.0" encoding="utf-8"?>
<calcChain xmlns="http://schemas.openxmlformats.org/spreadsheetml/2006/main">
  <c r="I21" i="59" l="1"/>
  <c r="I18" i="59"/>
  <c r="I21" i="58"/>
  <c r="I18" i="58"/>
  <c r="G28" i="51"/>
  <c r="H28" i="51"/>
  <c r="F27" i="51"/>
  <c r="G27" i="51" s="1"/>
  <c r="H27" i="51" s="1"/>
  <c r="I27" i="51" s="1"/>
  <c r="E27" i="51"/>
  <c r="D27" i="51"/>
  <c r="D33" i="60"/>
  <c r="E33" i="60"/>
  <c r="F33" i="60"/>
  <c r="G33" i="60"/>
  <c r="H33" i="60"/>
  <c r="D33" i="59"/>
  <c r="E33" i="59"/>
  <c r="F33" i="59"/>
  <c r="G33" i="59"/>
  <c r="H33" i="59"/>
  <c r="D33" i="58"/>
  <c r="E33" i="58"/>
  <c r="F33" i="58"/>
  <c r="G33" i="58"/>
  <c r="H33" i="58"/>
  <c r="D33" i="57"/>
  <c r="E33" i="57"/>
  <c r="F33" i="57"/>
  <c r="G33" i="57"/>
  <c r="H33" i="57"/>
  <c r="D33" i="56"/>
  <c r="E33" i="56"/>
  <c r="F33" i="56"/>
  <c r="G33" i="56"/>
  <c r="H33" i="56"/>
  <c r="D33" i="43"/>
  <c r="E33" i="43"/>
  <c r="F33" i="43"/>
  <c r="G33" i="43"/>
  <c r="H33" i="43"/>
  <c r="D3" i="53"/>
  <c r="G19" i="2" l="1"/>
  <c r="G61" i="2"/>
  <c r="E6" i="60" l="1"/>
  <c r="E10" i="60" s="1"/>
  <c r="D6" i="60"/>
  <c r="C6" i="60"/>
  <c r="H31" i="60"/>
  <c r="G31" i="60"/>
  <c r="F31" i="60"/>
  <c r="E31" i="60"/>
  <c r="D31" i="60"/>
  <c r="C31" i="60"/>
  <c r="H13" i="60"/>
  <c r="H11" i="60"/>
  <c r="H7" i="60"/>
  <c r="G7" i="60"/>
  <c r="H6" i="60"/>
  <c r="G6" i="60"/>
  <c r="G10" i="60" s="1"/>
  <c r="F6" i="60"/>
  <c r="F10" i="60" s="1"/>
  <c r="H4" i="60"/>
  <c r="G4" i="60"/>
  <c r="F4" i="60"/>
  <c r="E4" i="60"/>
  <c r="D4" i="60"/>
  <c r="C4" i="60"/>
  <c r="H3" i="60"/>
  <c r="G3" i="60"/>
  <c r="F3" i="60"/>
  <c r="E3" i="60"/>
  <c r="D3" i="60"/>
  <c r="C3" i="60"/>
  <c r="C2" i="60"/>
  <c r="D7" i="60" l="1"/>
  <c r="D10" i="60"/>
  <c r="H12" i="60"/>
  <c r="H14" i="60" s="1"/>
  <c r="H10" i="60"/>
  <c r="H20" i="60"/>
  <c r="E7" i="60"/>
  <c r="H19" i="60"/>
  <c r="C7" i="60"/>
  <c r="F7" i="60"/>
  <c r="I6" i="60"/>
  <c r="H4" i="2" s="1"/>
  <c r="H22" i="60"/>
  <c r="I7" i="60" l="1"/>
  <c r="H5" i="2" s="1"/>
  <c r="I21" i="60" l="1"/>
  <c r="H19" i="2" l="1"/>
  <c r="E21" i="60"/>
  <c r="E46" i="60" s="1"/>
  <c r="H21" i="60"/>
  <c r="G21" i="60"/>
  <c r="G46" i="60" s="1"/>
  <c r="C21" i="60"/>
  <c r="F21" i="60"/>
  <c r="F46" i="60" s="1"/>
  <c r="D21" i="60"/>
  <c r="D46" i="60" s="1"/>
  <c r="C43" i="50"/>
  <c r="C56" i="50"/>
  <c r="C69" i="50"/>
  <c r="E74" i="50"/>
  <c r="E61" i="50"/>
  <c r="E48" i="50"/>
  <c r="E35" i="50"/>
  <c r="E21" i="50"/>
  <c r="C30" i="50"/>
  <c r="C16" i="50"/>
  <c r="H46" i="60" l="1"/>
  <c r="C46" i="60"/>
  <c r="C15" i="55"/>
  <c r="F17" i="55" l="1"/>
  <c r="F18" i="55" s="1"/>
  <c r="G17" i="55"/>
  <c r="G18" i="55" s="1"/>
  <c r="H3" i="50"/>
  <c r="H17" i="50"/>
  <c r="H31" i="50"/>
  <c r="H44" i="50"/>
  <c r="H57" i="50"/>
  <c r="C6" i="58"/>
  <c r="D6" i="58"/>
  <c r="E6" i="58"/>
  <c r="F6" i="58"/>
  <c r="F10" i="58" s="1"/>
  <c r="G6" i="58"/>
  <c r="G10" i="58" s="1"/>
  <c r="H6" i="58"/>
  <c r="C6" i="57"/>
  <c r="D6" i="57"/>
  <c r="E6" i="57"/>
  <c r="F6" i="57"/>
  <c r="F10" i="57" s="1"/>
  <c r="G6" i="57"/>
  <c r="G10" i="57" s="1"/>
  <c r="D5" i="50"/>
  <c r="C43" i="43" s="1"/>
  <c r="C43" i="60" s="1"/>
  <c r="H70" i="50"/>
  <c r="D12" i="53"/>
  <c r="C33" i="43" s="1"/>
  <c r="F12" i="53"/>
  <c r="E16" i="55" s="1"/>
  <c r="E17" i="55" s="1"/>
  <c r="E18" i="55" s="1"/>
  <c r="G12" i="53"/>
  <c r="H12" i="53"/>
  <c r="J12" i="53"/>
  <c r="E7" i="50"/>
  <c r="D6" i="59"/>
  <c r="E6" i="59"/>
  <c r="F6" i="59"/>
  <c r="G6" i="59"/>
  <c r="G10" i="59" s="1"/>
  <c r="H6" i="59"/>
  <c r="C6" i="59"/>
  <c r="I8" i="43"/>
  <c r="G75" i="50"/>
  <c r="G74" i="50"/>
  <c r="G62" i="50"/>
  <c r="G61" i="50"/>
  <c r="G49" i="50"/>
  <c r="G48" i="50"/>
  <c r="G36" i="50"/>
  <c r="G35" i="50"/>
  <c r="G22" i="50"/>
  <c r="G21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H6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6" i="56"/>
  <c r="E6" i="56"/>
  <c r="F6" i="56"/>
  <c r="F10" i="56" s="1"/>
  <c r="G6" i="56"/>
  <c r="G10" i="56" s="1"/>
  <c r="H6" i="56"/>
  <c r="I4" i="53"/>
  <c r="I5" i="53"/>
  <c r="E4" i="53"/>
  <c r="F4" i="53"/>
  <c r="G4" i="53"/>
  <c r="H4" i="53"/>
  <c r="E5" i="53"/>
  <c r="F5" i="53"/>
  <c r="G5" i="53"/>
  <c r="H5" i="53"/>
  <c r="D5" i="53"/>
  <c r="D4" i="53"/>
  <c r="H12" i="59"/>
  <c r="G7" i="58"/>
  <c r="H12" i="56"/>
  <c r="H13" i="59"/>
  <c r="H7" i="58"/>
  <c r="G7" i="57"/>
  <c r="D31" i="43"/>
  <c r="D32" i="43" s="1"/>
  <c r="E31" i="43"/>
  <c r="E32" i="43" s="1"/>
  <c r="F31" i="43"/>
  <c r="F32" i="43" s="1"/>
  <c r="F34" i="43" s="1"/>
  <c r="G31" i="43"/>
  <c r="G32" i="43" s="1"/>
  <c r="H31" i="43"/>
  <c r="H32" i="43" s="1"/>
  <c r="H34" i="43" s="1"/>
  <c r="D6" i="43"/>
  <c r="E6" i="43"/>
  <c r="F6" i="43"/>
  <c r="F10" i="43" s="1"/>
  <c r="G6" i="43"/>
  <c r="G10" i="43" s="1"/>
  <c r="H6" i="43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D15" i="55"/>
  <c r="E15" i="55"/>
  <c r="F15" i="55"/>
  <c r="G15" i="55"/>
  <c r="H15" i="55"/>
  <c r="C2" i="59"/>
  <c r="C2" i="58"/>
  <c r="C2" i="57"/>
  <c r="C2" i="56"/>
  <c r="G7" i="50"/>
  <c r="C4" i="59"/>
  <c r="C3" i="59"/>
  <c r="C4" i="58"/>
  <c r="C3" i="58"/>
  <c r="C4" i="57"/>
  <c r="C3" i="57"/>
  <c r="C3" i="56"/>
  <c r="C4" i="56"/>
  <c r="C3" i="43"/>
  <c r="C4" i="43"/>
  <c r="B9" i="51"/>
  <c r="B27" i="51" s="1"/>
  <c r="C31" i="59"/>
  <c r="C31" i="58"/>
  <c r="C31" i="57"/>
  <c r="C6" i="56"/>
  <c r="C31" i="56"/>
  <c r="H20" i="58"/>
  <c r="B5" i="51"/>
  <c r="B7" i="51" s="1"/>
  <c r="G8" i="50"/>
  <c r="E12" i="53"/>
  <c r="D16" i="55" s="1"/>
  <c r="D17" i="55" s="1"/>
  <c r="D18" i="55" s="1"/>
  <c r="I9" i="55"/>
  <c r="G22" i="51"/>
  <c r="B8" i="5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K17" i="36" s="1"/>
  <c r="K19" i="36" s="1"/>
  <c r="J6" i="36"/>
  <c r="J5" i="36" s="1"/>
  <c r="J17" i="36" s="1"/>
  <c r="J19" i="36" s="1"/>
  <c r="I6" i="36"/>
  <c r="I5" i="36" s="1"/>
  <c r="I17" i="36" s="1"/>
  <c r="I19" i="36" s="1"/>
  <c r="E6" i="36"/>
  <c r="E5" i="36" s="1"/>
  <c r="D5" i="36"/>
  <c r="C5" i="36"/>
  <c r="D4" i="36"/>
  <c r="E4" i="36"/>
  <c r="F4" i="36"/>
  <c r="G4" i="36"/>
  <c r="H4" i="36"/>
  <c r="I4" i="36"/>
  <c r="J4" i="36"/>
  <c r="K4" i="36"/>
  <c r="L4" i="36"/>
  <c r="C6" i="2"/>
  <c r="K10" i="36"/>
  <c r="G10" i="36"/>
  <c r="J10" i="36"/>
  <c r="C10" i="36"/>
  <c r="M15" i="36"/>
  <c r="C17" i="36"/>
  <c r="M7" i="36"/>
  <c r="M12" i="36"/>
  <c r="H10" i="36"/>
  <c r="D10" i="36"/>
  <c r="D17" i="36"/>
  <c r="M11" i="36"/>
  <c r="F10" i="36"/>
  <c r="I10" i="36"/>
  <c r="L10" i="36"/>
  <c r="F19" i="2"/>
  <c r="M13" i="36"/>
  <c r="M14" i="36"/>
  <c r="C18" i="36"/>
  <c r="D18" i="36"/>
  <c r="C19" i="36"/>
  <c r="M10" i="36"/>
  <c r="D19" i="36"/>
  <c r="C20" i="36"/>
  <c r="D20" i="36"/>
  <c r="H7" i="43" l="1"/>
  <c r="H9" i="43" s="1"/>
  <c r="H10" i="43"/>
  <c r="E7" i="43"/>
  <c r="E9" i="43" s="1"/>
  <c r="E10" i="43"/>
  <c r="C7" i="59"/>
  <c r="F7" i="59"/>
  <c r="F10" i="59"/>
  <c r="D72" i="50"/>
  <c r="D75" i="50"/>
  <c r="D78" i="50"/>
  <c r="D73" i="50"/>
  <c r="H37" i="43" s="1"/>
  <c r="H12" i="43" s="1"/>
  <c r="D76" i="50"/>
  <c r="D71" i="50"/>
  <c r="H36" i="43" s="1"/>
  <c r="H11" i="43" s="1"/>
  <c r="D74" i="50"/>
  <c r="D77" i="50"/>
  <c r="C7" i="57"/>
  <c r="C7" i="58"/>
  <c r="C7" i="43"/>
  <c r="C9" i="43" s="1"/>
  <c r="C10" i="43"/>
  <c r="H19" i="43"/>
  <c r="D7" i="43"/>
  <c r="D9" i="43" s="1"/>
  <c r="D10" i="43"/>
  <c r="H7" i="56"/>
  <c r="H10" i="56"/>
  <c r="E7" i="56"/>
  <c r="E10" i="56"/>
  <c r="H22" i="59"/>
  <c r="H10" i="59"/>
  <c r="E7" i="59"/>
  <c r="E10" i="59"/>
  <c r="E7" i="57"/>
  <c r="E10" i="57"/>
  <c r="H11" i="58"/>
  <c r="H10" i="58"/>
  <c r="E7" i="58"/>
  <c r="E10" i="58"/>
  <c r="D60" i="50"/>
  <c r="D63" i="50"/>
  <c r="D58" i="50"/>
  <c r="D61" i="50"/>
  <c r="D64" i="50"/>
  <c r="D59" i="50"/>
  <c r="G43" i="43" s="1"/>
  <c r="D62" i="50"/>
  <c r="D65" i="50"/>
  <c r="C7" i="56"/>
  <c r="C8" i="56" s="1"/>
  <c r="C9" i="56" s="1"/>
  <c r="C32" i="56" s="1"/>
  <c r="G7" i="43"/>
  <c r="G9" i="43" s="1"/>
  <c r="F7" i="56"/>
  <c r="F8" i="56" s="1"/>
  <c r="F9" i="56" s="1"/>
  <c r="D7" i="56"/>
  <c r="D10" i="56"/>
  <c r="H7" i="57"/>
  <c r="H10" i="57"/>
  <c r="D7" i="59"/>
  <c r="D10" i="59"/>
  <c r="D7" i="57"/>
  <c r="D10" i="57"/>
  <c r="D7" i="58"/>
  <c r="D10" i="58"/>
  <c r="D48" i="50"/>
  <c r="D51" i="50"/>
  <c r="F38" i="43" s="1"/>
  <c r="F38" i="60" s="1"/>
  <c r="F13" i="60" s="1"/>
  <c r="D46" i="50"/>
  <c r="D49" i="50"/>
  <c r="F45" i="43" s="1"/>
  <c r="F45" i="60" s="1"/>
  <c r="F20" i="60" s="1"/>
  <c r="D52" i="50"/>
  <c r="F47" i="43" s="1"/>
  <c r="D47" i="50"/>
  <c r="D50" i="50"/>
  <c r="D45" i="50"/>
  <c r="F36" i="43" s="1"/>
  <c r="M5" i="36"/>
  <c r="E17" i="36"/>
  <c r="M6" i="36"/>
  <c r="E23" i="36"/>
  <c r="C16" i="55"/>
  <c r="C17" i="55" s="1"/>
  <c r="C18" i="55" s="1"/>
  <c r="D13" i="53"/>
  <c r="D20" i="50"/>
  <c r="D37" i="43" s="1"/>
  <c r="D23" i="50"/>
  <c r="D18" i="50"/>
  <c r="D36" i="43" s="1"/>
  <c r="D21" i="50"/>
  <c r="D24" i="50"/>
  <c r="D19" i="50"/>
  <c r="D22" i="50"/>
  <c r="D45" i="43" s="1"/>
  <c r="D25" i="50"/>
  <c r="D35" i="50"/>
  <c r="D33" i="50"/>
  <c r="D36" i="50"/>
  <c r="D39" i="50"/>
  <c r="E47" i="43" s="1"/>
  <c r="D34" i="50"/>
  <c r="D37" i="50"/>
  <c r="D32" i="50"/>
  <c r="E36" i="43" s="1"/>
  <c r="E36" i="60" s="1"/>
  <c r="D38" i="50"/>
  <c r="E38" i="43" s="1"/>
  <c r="E38" i="60" s="1"/>
  <c r="E13" i="60" s="1"/>
  <c r="I21" i="43"/>
  <c r="C19" i="2" s="1"/>
  <c r="B10" i="51"/>
  <c r="C57" i="2"/>
  <c r="E34" i="43"/>
  <c r="M17" i="36"/>
  <c r="E22" i="36"/>
  <c r="H12" i="57"/>
  <c r="H13" i="57"/>
  <c r="H11" i="57"/>
  <c r="H22" i="57"/>
  <c r="H19" i="57"/>
  <c r="H20" i="59"/>
  <c r="H20" i="57"/>
  <c r="H12" i="58"/>
  <c r="H19" i="56"/>
  <c r="H11" i="56"/>
  <c r="H19" i="59"/>
  <c r="H22" i="56"/>
  <c r="H22" i="58"/>
  <c r="H13" i="56"/>
  <c r="H7" i="59"/>
  <c r="H19" i="58"/>
  <c r="D8" i="50"/>
  <c r="C45" i="43" s="1"/>
  <c r="C45" i="60" s="1"/>
  <c r="C20" i="60" s="1"/>
  <c r="G47" i="43"/>
  <c r="G47" i="60" s="1"/>
  <c r="G22" i="60" s="1"/>
  <c r="G45" i="43"/>
  <c r="G45" i="58" s="1"/>
  <c r="G20" i="58" s="1"/>
  <c r="E44" i="43"/>
  <c r="E44" i="59" s="1"/>
  <c r="E19" i="59" s="1"/>
  <c r="D44" i="43"/>
  <c r="D44" i="59" s="1"/>
  <c r="D19" i="59" s="1"/>
  <c r="H47" i="43"/>
  <c r="H22" i="43" s="1"/>
  <c r="H45" i="43"/>
  <c r="H20" i="43" s="1"/>
  <c r="G38" i="43"/>
  <c r="G36" i="43"/>
  <c r="G11" i="43" s="1"/>
  <c r="D47" i="43"/>
  <c r="D47" i="56" s="1"/>
  <c r="D22" i="56" s="1"/>
  <c r="D43" i="43"/>
  <c r="D43" i="57" s="1"/>
  <c r="G44" i="43"/>
  <c r="G44" i="56" s="1"/>
  <c r="G19" i="56" s="1"/>
  <c r="G37" i="43"/>
  <c r="F43" i="43"/>
  <c r="F43" i="60" s="1"/>
  <c r="E43" i="43"/>
  <c r="E43" i="60" s="1"/>
  <c r="D38" i="43"/>
  <c r="D38" i="59" s="1"/>
  <c r="D13" i="59" s="1"/>
  <c r="H20" i="56"/>
  <c r="H13" i="58"/>
  <c r="H11" i="59"/>
  <c r="H14" i="59" s="1"/>
  <c r="H38" i="43"/>
  <c r="H13" i="43" s="1"/>
  <c r="G34" i="43"/>
  <c r="D34" i="43"/>
  <c r="B26" i="51"/>
  <c r="D26" i="51" s="1"/>
  <c r="E26" i="51" s="1"/>
  <c r="F26" i="51" s="1"/>
  <c r="G26" i="51" s="1"/>
  <c r="H26" i="51" s="1"/>
  <c r="I26" i="51" s="1"/>
  <c r="I6" i="57"/>
  <c r="I15" i="55"/>
  <c r="L8" i="55"/>
  <c r="K9" i="55"/>
  <c r="L7" i="55"/>
  <c r="D7" i="50"/>
  <c r="D4" i="50"/>
  <c r="C36" i="43" s="1"/>
  <c r="D10" i="50"/>
  <c r="C38" i="43" s="1"/>
  <c r="D9" i="50"/>
  <c r="C44" i="43" s="1"/>
  <c r="D11" i="50"/>
  <c r="C47" i="43" s="1"/>
  <c r="D6" i="50"/>
  <c r="C37" i="43" s="1"/>
  <c r="C45" i="58"/>
  <c r="C20" i="58" s="1"/>
  <c r="C43" i="59"/>
  <c r="C43" i="56"/>
  <c r="C43" i="58"/>
  <c r="C43" i="57"/>
  <c r="E37" i="43"/>
  <c r="E37" i="60" s="1"/>
  <c r="E12" i="60" s="1"/>
  <c r="E45" i="43"/>
  <c r="E45" i="60" s="1"/>
  <c r="E20" i="60" s="1"/>
  <c r="G7" i="59"/>
  <c r="I7" i="59" s="1"/>
  <c r="G5" i="2" s="1"/>
  <c r="G47" i="59"/>
  <c r="G22" i="59" s="1"/>
  <c r="G22" i="43"/>
  <c r="G47" i="56"/>
  <c r="G22" i="56" s="1"/>
  <c r="F44" i="43"/>
  <c r="F44" i="60" s="1"/>
  <c r="F19" i="60" s="1"/>
  <c r="F37" i="43"/>
  <c r="F37" i="60" s="1"/>
  <c r="F12" i="60" s="1"/>
  <c r="G20" i="43"/>
  <c r="G38" i="56"/>
  <c r="G13" i="56" s="1"/>
  <c r="F7" i="58"/>
  <c r="I6" i="58"/>
  <c r="F19" i="43"/>
  <c r="I6" i="43"/>
  <c r="G7" i="56"/>
  <c r="F7" i="57"/>
  <c r="I6" i="56"/>
  <c r="F7" i="43"/>
  <c r="I6" i="59"/>
  <c r="G4" i="2" s="1"/>
  <c r="C33" i="56" l="1"/>
  <c r="C10" i="56" s="1"/>
  <c r="D14" i="53"/>
  <c r="E22" i="43"/>
  <c r="E47" i="57"/>
  <c r="E22" i="57" s="1"/>
  <c r="D36" i="60"/>
  <c r="D11" i="60" s="1"/>
  <c r="D36" i="58"/>
  <c r="D36" i="56"/>
  <c r="I7" i="56"/>
  <c r="D5" i="2" s="1"/>
  <c r="G6" i="36" s="1"/>
  <c r="G5" i="36" s="1"/>
  <c r="G17" i="36" s="1"/>
  <c r="G19" i="36" s="1"/>
  <c r="D43" i="59"/>
  <c r="C45" i="56"/>
  <c r="C20" i="56" s="1"/>
  <c r="C45" i="59"/>
  <c r="C20" i="59" s="1"/>
  <c r="H14" i="58"/>
  <c r="H14" i="56"/>
  <c r="G47" i="58"/>
  <c r="G22" i="58" s="1"/>
  <c r="G47" i="57"/>
  <c r="G22" i="57" s="1"/>
  <c r="D47" i="59"/>
  <c r="D22" i="59" s="1"/>
  <c r="E43" i="59"/>
  <c r="C45" i="57"/>
  <c r="C20" i="57" s="1"/>
  <c r="C20" i="43"/>
  <c r="I18" i="60"/>
  <c r="I28" i="51"/>
  <c r="E19" i="36"/>
  <c r="E18" i="36"/>
  <c r="D45" i="60"/>
  <c r="D20" i="60" s="1"/>
  <c r="D45" i="58"/>
  <c r="D20" i="58" s="1"/>
  <c r="D20" i="43"/>
  <c r="D45" i="57"/>
  <c r="D20" i="57" s="1"/>
  <c r="D45" i="59"/>
  <c r="D20" i="59" s="1"/>
  <c r="D45" i="56"/>
  <c r="D20" i="56" s="1"/>
  <c r="D37" i="60"/>
  <c r="D12" i="60" s="1"/>
  <c r="D37" i="56"/>
  <c r="D12" i="56" s="1"/>
  <c r="D37" i="57"/>
  <c r="D12" i="57" s="1"/>
  <c r="D37" i="59"/>
  <c r="D12" i="59" s="1"/>
  <c r="D12" i="43"/>
  <c r="D37" i="58"/>
  <c r="D12" i="58" s="1"/>
  <c r="E47" i="56"/>
  <c r="E22" i="56" s="1"/>
  <c r="D36" i="59"/>
  <c r="D36" i="57"/>
  <c r="D11" i="57" s="1"/>
  <c r="D14" i="57" s="1"/>
  <c r="E43" i="56"/>
  <c r="D11" i="43"/>
  <c r="C37" i="59"/>
  <c r="C12" i="59" s="1"/>
  <c r="C37" i="60"/>
  <c r="C12" i="60" s="1"/>
  <c r="C37" i="58"/>
  <c r="C12" i="58" s="1"/>
  <c r="C44" i="57"/>
  <c r="C19" i="57" s="1"/>
  <c r="C44" i="60"/>
  <c r="C19" i="60" s="1"/>
  <c r="C38" i="56"/>
  <c r="C13" i="56" s="1"/>
  <c r="C38" i="60"/>
  <c r="C13" i="60" s="1"/>
  <c r="C22" i="43"/>
  <c r="C47" i="60"/>
  <c r="C22" i="60" s="1"/>
  <c r="C36" i="56"/>
  <c r="C36" i="60"/>
  <c r="C11" i="60" s="1"/>
  <c r="I18" i="56"/>
  <c r="I21" i="56"/>
  <c r="D19" i="2" s="1"/>
  <c r="I21" i="57"/>
  <c r="H40" i="43"/>
  <c r="G37" i="57"/>
  <c r="G12" i="57" s="1"/>
  <c r="G37" i="60"/>
  <c r="G12" i="60" s="1"/>
  <c r="G38" i="58"/>
  <c r="G13" i="58" s="1"/>
  <c r="G14" i="58" s="1"/>
  <c r="G38" i="60"/>
  <c r="G13" i="60" s="1"/>
  <c r="G43" i="56"/>
  <c r="G43" i="60"/>
  <c r="G12" i="43"/>
  <c r="G38" i="57"/>
  <c r="G13" i="57" s="1"/>
  <c r="G44" i="59"/>
  <c r="G19" i="59" s="1"/>
  <c r="G44" i="60"/>
  <c r="G19" i="60" s="1"/>
  <c r="G45" i="59"/>
  <c r="G20" i="59" s="1"/>
  <c r="G45" i="60"/>
  <c r="G20" i="60" s="1"/>
  <c r="G44" i="57"/>
  <c r="G19" i="57" s="1"/>
  <c r="G37" i="58"/>
  <c r="G12" i="58" s="1"/>
  <c r="G38" i="59"/>
  <c r="G13" i="59" s="1"/>
  <c r="G45" i="56"/>
  <c r="G20" i="56" s="1"/>
  <c r="G43" i="59"/>
  <c r="G40" i="43"/>
  <c r="G36" i="60"/>
  <c r="F22" i="43"/>
  <c r="F47" i="60"/>
  <c r="F22" i="60" s="1"/>
  <c r="F12" i="43"/>
  <c r="F11" i="43"/>
  <c r="F36" i="60"/>
  <c r="E44" i="58"/>
  <c r="E19" i="58" s="1"/>
  <c r="E44" i="60"/>
  <c r="E19" i="60" s="1"/>
  <c r="E47" i="58"/>
  <c r="E22" i="58" s="1"/>
  <c r="E47" i="60"/>
  <c r="E22" i="60" s="1"/>
  <c r="E11" i="60"/>
  <c r="E14" i="60" s="1"/>
  <c r="D13" i="43"/>
  <c r="D14" i="43" s="1"/>
  <c r="D15" i="43" s="1"/>
  <c r="D16" i="43" s="1"/>
  <c r="D38" i="60"/>
  <c r="D13" i="60" s="1"/>
  <c r="D47" i="58"/>
  <c r="D22" i="58" s="1"/>
  <c r="D47" i="60"/>
  <c r="D22" i="60" s="1"/>
  <c r="D44" i="57"/>
  <c r="D19" i="57" s="1"/>
  <c r="D44" i="60"/>
  <c r="D19" i="60" s="1"/>
  <c r="D43" i="56"/>
  <c r="D43" i="60"/>
  <c r="G36" i="57"/>
  <c r="G11" i="57" s="1"/>
  <c r="G37" i="56"/>
  <c r="G12" i="56" s="1"/>
  <c r="G37" i="59"/>
  <c r="G12" i="59" s="1"/>
  <c r="D38" i="56"/>
  <c r="D13" i="56" s="1"/>
  <c r="H14" i="43"/>
  <c r="H15" i="43" s="1"/>
  <c r="H16" i="43" s="1"/>
  <c r="G36" i="58"/>
  <c r="G11" i="58" s="1"/>
  <c r="D47" i="57"/>
  <c r="D22" i="57" s="1"/>
  <c r="E19" i="43"/>
  <c r="E44" i="57"/>
  <c r="E19" i="57" s="1"/>
  <c r="E47" i="59"/>
  <c r="E22" i="59" s="1"/>
  <c r="G43" i="57"/>
  <c r="G43" i="58"/>
  <c r="D19" i="43"/>
  <c r="D44" i="58"/>
  <c r="D19" i="58" s="1"/>
  <c r="D40" i="43"/>
  <c r="G36" i="59"/>
  <c r="G11" i="59" s="1"/>
  <c r="G14" i="59" s="1"/>
  <c r="G19" i="43"/>
  <c r="G44" i="58"/>
  <c r="G19" i="58" s="1"/>
  <c r="G13" i="43"/>
  <c r="G14" i="43" s="1"/>
  <c r="G15" i="43" s="1"/>
  <c r="G16" i="43" s="1"/>
  <c r="G45" i="57"/>
  <c r="G20" i="57" s="1"/>
  <c r="C37" i="57"/>
  <c r="C12" i="57" s="1"/>
  <c r="D43" i="58"/>
  <c r="G36" i="56"/>
  <c r="G11" i="56" s="1"/>
  <c r="D22" i="43"/>
  <c r="E44" i="56"/>
  <c r="E19" i="56" s="1"/>
  <c r="C38" i="59"/>
  <c r="C13" i="59" s="1"/>
  <c r="C11" i="43"/>
  <c r="D44" i="56"/>
  <c r="D19" i="56" s="1"/>
  <c r="H14" i="57"/>
  <c r="E38" i="56"/>
  <c r="E13" i="56" s="1"/>
  <c r="E13" i="43"/>
  <c r="E38" i="58"/>
  <c r="E13" i="58" s="1"/>
  <c r="E38" i="59"/>
  <c r="E13" i="59" s="1"/>
  <c r="E38" i="57"/>
  <c r="E13" i="57" s="1"/>
  <c r="D38" i="58"/>
  <c r="D13" i="58" s="1"/>
  <c r="D38" i="57"/>
  <c r="D13" i="57" s="1"/>
  <c r="E43" i="57"/>
  <c r="E43" i="58"/>
  <c r="C34" i="43"/>
  <c r="C40" i="43" s="1"/>
  <c r="I10" i="43"/>
  <c r="C8" i="2" s="1"/>
  <c r="C58" i="2"/>
  <c r="C56" i="2" s="1"/>
  <c r="K26" i="51"/>
  <c r="J27" i="51"/>
  <c r="G21" i="57"/>
  <c r="G46" i="57" s="1"/>
  <c r="D21" i="57"/>
  <c r="D46" i="57" s="1"/>
  <c r="E4" i="2"/>
  <c r="H21" i="57"/>
  <c r="H46" i="57" s="1"/>
  <c r="F21" i="57"/>
  <c r="F46" i="57" s="1"/>
  <c r="C47" i="58"/>
  <c r="C22" i="58" s="1"/>
  <c r="C44" i="58"/>
  <c r="C19" i="58" s="1"/>
  <c r="C13" i="43"/>
  <c r="C38" i="57"/>
  <c r="C13" i="57" s="1"/>
  <c r="C38" i="58"/>
  <c r="C13" i="58" s="1"/>
  <c r="H8" i="57"/>
  <c r="H9" i="57" s="1"/>
  <c r="C8" i="57"/>
  <c r="C9" i="57" s="1"/>
  <c r="C32" i="57" s="1"/>
  <c r="E8" i="57"/>
  <c r="E9" i="57" s="1"/>
  <c r="E32" i="57" s="1"/>
  <c r="E34" i="57" s="1"/>
  <c r="G8" i="57"/>
  <c r="G9" i="57" s="1"/>
  <c r="G32" i="57" s="1"/>
  <c r="G34" i="57" s="1"/>
  <c r="D8" i="56"/>
  <c r="D9" i="56" s="1"/>
  <c r="D32" i="56" s="1"/>
  <c r="D34" i="56" s="1"/>
  <c r="E8" i="56"/>
  <c r="E9" i="56" s="1"/>
  <c r="E32" i="56" s="1"/>
  <c r="E34" i="56" s="1"/>
  <c r="H8" i="56"/>
  <c r="H9" i="56" s="1"/>
  <c r="D8" i="57"/>
  <c r="D9" i="57" s="1"/>
  <c r="D32" i="57" s="1"/>
  <c r="L9" i="55"/>
  <c r="K10" i="55"/>
  <c r="C47" i="57"/>
  <c r="C22" i="57" s="1"/>
  <c r="C47" i="59"/>
  <c r="C22" i="59" s="1"/>
  <c r="C36" i="59"/>
  <c r="C11" i="59" s="1"/>
  <c r="C36" i="57"/>
  <c r="C37" i="56"/>
  <c r="C12" i="56" s="1"/>
  <c r="C12" i="43"/>
  <c r="C14" i="43" s="1"/>
  <c r="C47" i="56"/>
  <c r="C22" i="56" s="1"/>
  <c r="C36" i="58"/>
  <c r="C44" i="59"/>
  <c r="C19" i="59" s="1"/>
  <c r="C44" i="56"/>
  <c r="C19" i="56" s="1"/>
  <c r="C19" i="43"/>
  <c r="E45" i="59"/>
  <c r="E20" i="59" s="1"/>
  <c r="E45" i="58"/>
  <c r="E20" i="58" s="1"/>
  <c r="E20" i="43"/>
  <c r="E45" i="56"/>
  <c r="E20" i="56" s="1"/>
  <c r="E45" i="57"/>
  <c r="E20" i="57" s="1"/>
  <c r="D11" i="56"/>
  <c r="D11" i="59"/>
  <c r="E11" i="43"/>
  <c r="E36" i="57"/>
  <c r="E36" i="56"/>
  <c r="E36" i="58"/>
  <c r="E40" i="43"/>
  <c r="E36" i="59"/>
  <c r="D11" i="58"/>
  <c r="F40" i="43"/>
  <c r="E37" i="56"/>
  <c r="E12" i="56" s="1"/>
  <c r="E12" i="43"/>
  <c r="E37" i="59"/>
  <c r="E12" i="59" s="1"/>
  <c r="E37" i="58"/>
  <c r="E12" i="58" s="1"/>
  <c r="E37" i="57"/>
  <c r="E12" i="57" s="1"/>
  <c r="C11" i="56"/>
  <c r="F32" i="56"/>
  <c r="F34" i="56" s="1"/>
  <c r="H21" i="59"/>
  <c r="F21" i="59"/>
  <c r="F46" i="59" s="1"/>
  <c r="C21" i="59"/>
  <c r="D21" i="59"/>
  <c r="E21" i="59"/>
  <c r="G21" i="59"/>
  <c r="G46" i="59" s="1"/>
  <c r="F9" i="43"/>
  <c r="I7" i="43"/>
  <c r="C5" i="2" s="1"/>
  <c r="I12" i="43"/>
  <c r="C10" i="2" s="1"/>
  <c r="F21" i="58"/>
  <c r="F46" i="58" s="1"/>
  <c r="D21" i="58"/>
  <c r="E21" i="58"/>
  <c r="F4" i="2"/>
  <c r="G21" i="58"/>
  <c r="G46" i="58" s="1"/>
  <c r="C21" i="58"/>
  <c r="H21" i="58"/>
  <c r="F45" i="59"/>
  <c r="F20" i="59" s="1"/>
  <c r="F45" i="58"/>
  <c r="F20" i="58" s="1"/>
  <c r="F45" i="56"/>
  <c r="F20" i="56" s="1"/>
  <c r="F20" i="43"/>
  <c r="F45" i="57"/>
  <c r="F20" i="57" s="1"/>
  <c r="C21" i="56"/>
  <c r="D4" i="2"/>
  <c r="F8" i="57"/>
  <c r="I7" i="57"/>
  <c r="E5" i="2" s="1"/>
  <c r="H6" i="36" s="1"/>
  <c r="H5" i="36" s="1"/>
  <c r="H17" i="36" s="1"/>
  <c r="H19" i="36" s="1"/>
  <c r="F47" i="59"/>
  <c r="F22" i="59" s="1"/>
  <c r="F47" i="56"/>
  <c r="F22" i="56" s="1"/>
  <c r="F47" i="58"/>
  <c r="F22" i="58" s="1"/>
  <c r="F47" i="57"/>
  <c r="F22" i="57" s="1"/>
  <c r="I7" i="58"/>
  <c r="F5" i="2" s="1"/>
  <c r="F44" i="57"/>
  <c r="F19" i="57" s="1"/>
  <c r="F44" i="59"/>
  <c r="F19" i="59" s="1"/>
  <c r="F44" i="58"/>
  <c r="F19" i="58" s="1"/>
  <c r="F44" i="56"/>
  <c r="F19" i="56" s="1"/>
  <c r="F43" i="56"/>
  <c r="F43" i="58"/>
  <c r="F43" i="59"/>
  <c r="F43" i="57"/>
  <c r="G8" i="56"/>
  <c r="G9" i="56" s="1"/>
  <c r="G21" i="43"/>
  <c r="G46" i="43" s="1"/>
  <c r="C4" i="2"/>
  <c r="C21" i="43"/>
  <c r="H21" i="43"/>
  <c r="F21" i="43"/>
  <c r="F46" i="43" s="1"/>
  <c r="D21" i="43"/>
  <c r="E21" i="43"/>
  <c r="F37" i="59"/>
  <c r="F12" i="59" s="1"/>
  <c r="F37" i="58"/>
  <c r="F12" i="58" s="1"/>
  <c r="F37" i="57"/>
  <c r="F12" i="57" s="1"/>
  <c r="F37" i="56"/>
  <c r="F12" i="56" s="1"/>
  <c r="F38" i="59"/>
  <c r="F13" i="59" s="1"/>
  <c r="F38" i="56"/>
  <c r="F13" i="56" s="1"/>
  <c r="F38" i="58"/>
  <c r="F13" i="58" s="1"/>
  <c r="F38" i="57"/>
  <c r="F13" i="57" s="1"/>
  <c r="F13" i="43"/>
  <c r="F36" i="56"/>
  <c r="F11" i="56" s="1"/>
  <c r="F36" i="59"/>
  <c r="F11" i="59" s="1"/>
  <c r="F36" i="58"/>
  <c r="F11" i="58" s="1"/>
  <c r="F36" i="57"/>
  <c r="F11" i="57" s="1"/>
  <c r="D15" i="53" l="1"/>
  <c r="C33" i="57"/>
  <c r="C10" i="57" s="1"/>
  <c r="C14" i="59"/>
  <c r="L10" i="55"/>
  <c r="K11" i="55"/>
  <c r="L11" i="55" s="1"/>
  <c r="I13" i="58"/>
  <c r="F11" i="2" s="1"/>
  <c r="F37" i="2" s="1"/>
  <c r="D14" i="58"/>
  <c r="I11" i="43"/>
  <c r="C9" i="2" s="1"/>
  <c r="I13" i="60"/>
  <c r="H11" i="2" s="1"/>
  <c r="C14" i="60"/>
  <c r="I22" i="43"/>
  <c r="I20" i="60"/>
  <c r="H18" i="2" s="1"/>
  <c r="H44" i="2" s="1"/>
  <c r="H61" i="2"/>
  <c r="C18" i="60"/>
  <c r="C17" i="60" s="1"/>
  <c r="F18" i="60"/>
  <c r="F17" i="60" s="1"/>
  <c r="F23" i="60" s="1"/>
  <c r="D18" i="60"/>
  <c r="D17" i="60" s="1"/>
  <c r="D23" i="60" s="1"/>
  <c r="H18" i="60"/>
  <c r="H17" i="60" s="1"/>
  <c r="H23" i="60" s="1"/>
  <c r="G18" i="60"/>
  <c r="G17" i="60" s="1"/>
  <c r="G23" i="60" s="1"/>
  <c r="E18" i="60"/>
  <c r="E17" i="60" s="1"/>
  <c r="E23" i="60" s="1"/>
  <c r="E20" i="36"/>
  <c r="M19" i="36"/>
  <c r="I23" i="36"/>
  <c r="I22" i="36"/>
  <c r="D15" i="57"/>
  <c r="D16" i="57" s="1"/>
  <c r="I12" i="59"/>
  <c r="G10" i="2" s="1"/>
  <c r="G36" i="2" s="1"/>
  <c r="I13" i="56"/>
  <c r="D11" i="2" s="1"/>
  <c r="I12" i="57"/>
  <c r="E10" i="2" s="1"/>
  <c r="E36" i="2" s="1"/>
  <c r="D14" i="59"/>
  <c r="I12" i="60"/>
  <c r="H10" i="2" s="1"/>
  <c r="H36" i="2" s="1"/>
  <c r="C23" i="60"/>
  <c r="I13" i="43"/>
  <c r="C11" i="2" s="1"/>
  <c r="C37" i="2" s="1"/>
  <c r="D21" i="56"/>
  <c r="F21" i="56"/>
  <c r="F46" i="56" s="1"/>
  <c r="G21" i="56"/>
  <c r="G46" i="56" s="1"/>
  <c r="E21" i="56"/>
  <c r="E46" i="56" s="1"/>
  <c r="H21" i="56"/>
  <c r="E19" i="2"/>
  <c r="I19" i="2" s="1"/>
  <c r="C21" i="57"/>
  <c r="C46" i="57" s="1"/>
  <c r="E21" i="57"/>
  <c r="E46" i="57" s="1"/>
  <c r="G48" i="43"/>
  <c r="G14" i="57"/>
  <c r="I20" i="59"/>
  <c r="G18" i="2" s="1"/>
  <c r="I19" i="60"/>
  <c r="H17" i="2" s="1"/>
  <c r="G11" i="60"/>
  <c r="G14" i="60" s="1"/>
  <c r="G40" i="57"/>
  <c r="G48" i="57" s="1"/>
  <c r="F11" i="60"/>
  <c r="F14" i="60" s="1"/>
  <c r="I19" i="58"/>
  <c r="F17" i="2" s="1"/>
  <c r="F43" i="2" s="1"/>
  <c r="I20" i="57"/>
  <c r="E18" i="2" s="1"/>
  <c r="E44" i="2" s="1"/>
  <c r="I20" i="58"/>
  <c r="F18" i="2" s="1"/>
  <c r="F44" i="2" s="1"/>
  <c r="D14" i="56"/>
  <c r="D15" i="56" s="1"/>
  <c r="D16" i="56" s="1"/>
  <c r="D40" i="56"/>
  <c r="I19" i="57"/>
  <c r="E17" i="2" s="1"/>
  <c r="E43" i="2" s="1"/>
  <c r="I22" i="60"/>
  <c r="D14" i="60"/>
  <c r="I11" i="60"/>
  <c r="H9" i="2" s="1"/>
  <c r="G14" i="56"/>
  <c r="G15" i="56" s="1"/>
  <c r="F48" i="43"/>
  <c r="I20" i="43"/>
  <c r="C18" i="2" s="1"/>
  <c r="C44" i="2" s="1"/>
  <c r="I19" i="43"/>
  <c r="C17" i="2" s="1"/>
  <c r="C48" i="2" s="1"/>
  <c r="I8" i="56"/>
  <c r="D6" i="2" s="1"/>
  <c r="I13" i="59"/>
  <c r="D34" i="57"/>
  <c r="D40" i="57" s="1"/>
  <c r="D48" i="57" s="1"/>
  <c r="C15" i="43"/>
  <c r="C16" i="43" s="1"/>
  <c r="I10" i="56"/>
  <c r="D8" i="2" s="1"/>
  <c r="D31" i="2" s="1"/>
  <c r="C34" i="56"/>
  <c r="C40" i="56" s="1"/>
  <c r="I18" i="43"/>
  <c r="D28" i="51"/>
  <c r="I19" i="59"/>
  <c r="I13" i="57"/>
  <c r="E11" i="2" s="1"/>
  <c r="E37" i="2" s="1"/>
  <c r="C11" i="57"/>
  <c r="C14" i="57" s="1"/>
  <c r="H8" i="58"/>
  <c r="H9" i="58" s="1"/>
  <c r="E8" i="58"/>
  <c r="E9" i="58" s="1"/>
  <c r="E32" i="58" s="1"/>
  <c r="E34" i="58" s="1"/>
  <c r="E40" i="58" s="1"/>
  <c r="C8" i="58"/>
  <c r="C9" i="58" s="1"/>
  <c r="C32" i="58" s="1"/>
  <c r="G8" i="58"/>
  <c r="G9" i="58" s="1"/>
  <c r="G32" i="58" s="1"/>
  <c r="D8" i="58"/>
  <c r="D9" i="58" s="1"/>
  <c r="D32" i="58" s="1"/>
  <c r="F8" i="58"/>
  <c r="F9" i="58" s="1"/>
  <c r="I8" i="57"/>
  <c r="E6" i="2" s="1"/>
  <c r="F9" i="57"/>
  <c r="I9" i="57" s="1"/>
  <c r="E7" i="2" s="1"/>
  <c r="F8" i="59"/>
  <c r="F9" i="59" s="1"/>
  <c r="F32" i="59" s="1"/>
  <c r="H8" i="59"/>
  <c r="H9" i="59" s="1"/>
  <c r="C8" i="59"/>
  <c r="C9" i="59" s="1"/>
  <c r="C32" i="59" s="1"/>
  <c r="H32" i="56"/>
  <c r="H34" i="56" s="1"/>
  <c r="H40" i="56" s="1"/>
  <c r="H15" i="56"/>
  <c r="H16" i="56" s="1"/>
  <c r="H15" i="57"/>
  <c r="H16" i="57" s="1"/>
  <c r="H32" i="57"/>
  <c r="H34" i="57" s="1"/>
  <c r="H40" i="57" s="1"/>
  <c r="H48" i="57" s="1"/>
  <c r="I19" i="56"/>
  <c r="D17" i="2" s="1"/>
  <c r="D43" i="2" s="1"/>
  <c r="C14" i="56"/>
  <c r="I12" i="56"/>
  <c r="D10" i="2" s="1"/>
  <c r="D36" i="2" s="1"/>
  <c r="C11" i="58"/>
  <c r="C14" i="58" s="1"/>
  <c r="E11" i="59"/>
  <c r="E14" i="59" s="1"/>
  <c r="I20" i="56"/>
  <c r="D18" i="2" s="1"/>
  <c r="D44" i="2" s="1"/>
  <c r="E40" i="57"/>
  <c r="E11" i="57"/>
  <c r="E14" i="57" s="1"/>
  <c r="E15" i="57" s="1"/>
  <c r="E16" i="57" s="1"/>
  <c r="E11" i="56"/>
  <c r="E14" i="56" s="1"/>
  <c r="E15" i="56" s="1"/>
  <c r="E16" i="56" s="1"/>
  <c r="E40" i="56"/>
  <c r="I12" i="58"/>
  <c r="F10" i="2" s="1"/>
  <c r="F36" i="2" s="1"/>
  <c r="E11" i="58"/>
  <c r="E14" i="58" s="1"/>
  <c r="E15" i="58" s="1"/>
  <c r="E16" i="58" s="1"/>
  <c r="E14" i="43"/>
  <c r="E15" i="43" s="1"/>
  <c r="E16" i="43" s="1"/>
  <c r="G15" i="57"/>
  <c r="G16" i="57" s="1"/>
  <c r="G34" i="58"/>
  <c r="G40" i="58" s="1"/>
  <c r="G48" i="58" s="1"/>
  <c r="G32" i="56"/>
  <c r="G34" i="56" s="1"/>
  <c r="G40" i="56" s="1"/>
  <c r="I9" i="56"/>
  <c r="D7" i="2" s="1"/>
  <c r="D37" i="2"/>
  <c r="F14" i="57"/>
  <c r="F14" i="56"/>
  <c r="D46" i="43"/>
  <c r="D48" i="43" s="1"/>
  <c r="C46" i="43"/>
  <c r="C48" i="43" s="1"/>
  <c r="I22" i="57"/>
  <c r="I22" i="59"/>
  <c r="G20" i="2" s="1"/>
  <c r="F32" i="57"/>
  <c r="F34" i="57" s="1"/>
  <c r="F40" i="57" s="1"/>
  <c r="F48" i="57" s="1"/>
  <c r="C35" i="2"/>
  <c r="F6" i="36"/>
  <c r="F5" i="36" s="1"/>
  <c r="F17" i="36" s="1"/>
  <c r="I5" i="2"/>
  <c r="L6" i="36" s="1"/>
  <c r="L5" i="36" s="1"/>
  <c r="L17" i="36" s="1"/>
  <c r="L19" i="36" s="1"/>
  <c r="C7" i="2"/>
  <c r="D46" i="59"/>
  <c r="F40" i="56"/>
  <c r="E46" i="43"/>
  <c r="E48" i="43" s="1"/>
  <c r="I4" i="2"/>
  <c r="C31" i="2"/>
  <c r="I22" i="58"/>
  <c r="H46" i="56"/>
  <c r="H46" i="58"/>
  <c r="D46" i="58"/>
  <c r="F14" i="43"/>
  <c r="I9" i="43"/>
  <c r="C46" i="59"/>
  <c r="F14" i="58"/>
  <c r="F14" i="59"/>
  <c r="C20" i="2"/>
  <c r="H46" i="43"/>
  <c r="H48" i="43" s="1"/>
  <c r="I22" i="56"/>
  <c r="D46" i="56"/>
  <c r="D48" i="56" s="1"/>
  <c r="C46" i="56"/>
  <c r="C46" i="58"/>
  <c r="E46" i="58"/>
  <c r="C36" i="2"/>
  <c r="E46" i="59"/>
  <c r="H46" i="59"/>
  <c r="D16" i="53" l="1"/>
  <c r="C33" i="58"/>
  <c r="C10" i="58" s="1"/>
  <c r="E8" i="60"/>
  <c r="E9" i="60" s="1"/>
  <c r="C8" i="60"/>
  <c r="D8" i="60"/>
  <c r="D9" i="60" s="1"/>
  <c r="D32" i="60" s="1"/>
  <c r="D34" i="60" s="1"/>
  <c r="D40" i="60" s="1"/>
  <c r="D48" i="60" s="1"/>
  <c r="F15" i="57"/>
  <c r="F16" i="57" s="1"/>
  <c r="G8" i="59"/>
  <c r="G9" i="59" s="1"/>
  <c r="G32" i="59" s="1"/>
  <c r="G34" i="59" s="1"/>
  <c r="G40" i="59" s="1"/>
  <c r="G48" i="59" s="1"/>
  <c r="G8" i="60"/>
  <c r="G9" i="60" s="1"/>
  <c r="G32" i="60" s="1"/>
  <c r="G34" i="60" s="1"/>
  <c r="G40" i="60" s="1"/>
  <c r="G48" i="60" s="1"/>
  <c r="H8" i="60"/>
  <c r="H9" i="60" s="1"/>
  <c r="F8" i="60"/>
  <c r="F9" i="60" s="1"/>
  <c r="F32" i="60" s="1"/>
  <c r="F34" i="60" s="1"/>
  <c r="F40" i="60" s="1"/>
  <c r="F48" i="60" s="1"/>
  <c r="I11" i="57"/>
  <c r="E9" i="2" s="1"/>
  <c r="D8" i="59"/>
  <c r="D9" i="59" s="1"/>
  <c r="D32" i="59" s="1"/>
  <c r="E8" i="59"/>
  <c r="E9" i="59" s="1"/>
  <c r="E32" i="59" s="1"/>
  <c r="E34" i="59" s="1"/>
  <c r="E40" i="59" s="1"/>
  <c r="E48" i="59" s="1"/>
  <c r="G15" i="60"/>
  <c r="G16" i="60" s="1"/>
  <c r="I17" i="60"/>
  <c r="H15" i="2" s="1"/>
  <c r="G44" i="2"/>
  <c r="G48" i="56"/>
  <c r="H43" i="2"/>
  <c r="G17" i="2"/>
  <c r="G43" i="2" s="1"/>
  <c r="H37" i="2"/>
  <c r="G11" i="2"/>
  <c r="I23" i="60"/>
  <c r="H21" i="2" s="1"/>
  <c r="H20" i="2"/>
  <c r="F48" i="56"/>
  <c r="E48" i="57"/>
  <c r="E50" i="2"/>
  <c r="G24" i="60"/>
  <c r="G25" i="60" s="1"/>
  <c r="G26" i="60" s="1"/>
  <c r="G27" i="60" s="1"/>
  <c r="C43" i="2"/>
  <c r="I11" i="59"/>
  <c r="G9" i="2" s="1"/>
  <c r="G35" i="2" s="1"/>
  <c r="I11" i="2"/>
  <c r="D15" i="60"/>
  <c r="I14" i="60"/>
  <c r="H12" i="2" s="1"/>
  <c r="C50" i="2"/>
  <c r="I14" i="43"/>
  <c r="C12" i="2" s="1"/>
  <c r="I14" i="57"/>
  <c r="E12" i="2" s="1"/>
  <c r="D48" i="2"/>
  <c r="D15" i="58"/>
  <c r="D16" i="58" s="1"/>
  <c r="E48" i="56"/>
  <c r="D34" i="58"/>
  <c r="D40" i="58" s="1"/>
  <c r="D48" i="58" s="1"/>
  <c r="D34" i="59"/>
  <c r="D40" i="59" s="1"/>
  <c r="D48" i="59" s="1"/>
  <c r="C34" i="57"/>
  <c r="C40" i="57" s="1"/>
  <c r="C48" i="57" s="1"/>
  <c r="I10" i="57"/>
  <c r="E8" i="2" s="1"/>
  <c r="E31" i="2" s="1"/>
  <c r="C15" i="56"/>
  <c r="C16" i="56" s="1"/>
  <c r="I18" i="57"/>
  <c r="E61" i="2" s="1"/>
  <c r="E28" i="51"/>
  <c r="C61" i="2"/>
  <c r="G18" i="43"/>
  <c r="G17" i="43" s="1"/>
  <c r="G23" i="43" s="1"/>
  <c r="G24" i="43" s="1"/>
  <c r="G25" i="43" s="1"/>
  <c r="G26" i="43" s="1"/>
  <c r="G27" i="43" s="1"/>
  <c r="C18" i="43"/>
  <c r="C17" i="43" s="1"/>
  <c r="H18" i="43"/>
  <c r="H17" i="43" s="1"/>
  <c r="H23" i="43" s="1"/>
  <c r="H24" i="43" s="1"/>
  <c r="H25" i="43" s="1"/>
  <c r="H26" i="43" s="1"/>
  <c r="H27" i="43" s="1"/>
  <c r="E18" i="43"/>
  <c r="E17" i="43" s="1"/>
  <c r="E23" i="43" s="1"/>
  <c r="E24" i="43" s="1"/>
  <c r="E25" i="43" s="1"/>
  <c r="F18" i="43"/>
  <c r="F17" i="43" s="1"/>
  <c r="F23" i="43" s="1"/>
  <c r="D18" i="43"/>
  <c r="D17" i="43" s="1"/>
  <c r="D23" i="43" s="1"/>
  <c r="D24" i="43" s="1"/>
  <c r="D25" i="43" s="1"/>
  <c r="D26" i="43" s="1"/>
  <c r="D27" i="43" s="1"/>
  <c r="D61" i="2"/>
  <c r="D18" i="56"/>
  <c r="D17" i="56" s="1"/>
  <c r="D23" i="56" s="1"/>
  <c r="D24" i="56" s="1"/>
  <c r="D25" i="56" s="1"/>
  <c r="D26" i="56" s="1"/>
  <c r="D27" i="56" s="1"/>
  <c r="C18" i="56"/>
  <c r="C17" i="56" s="1"/>
  <c r="G18" i="56"/>
  <c r="G17" i="56" s="1"/>
  <c r="G23" i="56" s="1"/>
  <c r="G24" i="56" s="1"/>
  <c r="H18" i="56"/>
  <c r="H17" i="56" s="1"/>
  <c r="H23" i="56" s="1"/>
  <c r="H24" i="56" s="1"/>
  <c r="H25" i="56" s="1"/>
  <c r="H26" i="56" s="1"/>
  <c r="H27" i="56" s="1"/>
  <c r="F18" i="56"/>
  <c r="F17" i="56" s="1"/>
  <c r="F23" i="56" s="1"/>
  <c r="E18" i="56"/>
  <c r="E17" i="56" s="1"/>
  <c r="E23" i="56" s="1"/>
  <c r="E24" i="56" s="1"/>
  <c r="E25" i="56" s="1"/>
  <c r="E26" i="56" s="1"/>
  <c r="E27" i="56" s="1"/>
  <c r="E18" i="59"/>
  <c r="E17" i="59" s="1"/>
  <c r="E23" i="59" s="1"/>
  <c r="F18" i="59"/>
  <c r="F17" i="59" s="1"/>
  <c r="F23" i="59" s="1"/>
  <c r="G18" i="59"/>
  <c r="G17" i="59" s="1"/>
  <c r="G23" i="59" s="1"/>
  <c r="H18" i="59"/>
  <c r="H17" i="59" s="1"/>
  <c r="H23" i="59" s="1"/>
  <c r="D18" i="59"/>
  <c r="D17" i="59" s="1"/>
  <c r="D23" i="59" s="1"/>
  <c r="C18" i="59"/>
  <c r="C17" i="59" s="1"/>
  <c r="F61" i="2"/>
  <c r="G18" i="58"/>
  <c r="G17" i="58" s="1"/>
  <c r="G23" i="58" s="1"/>
  <c r="E18" i="58"/>
  <c r="E17" i="58" s="1"/>
  <c r="E23" i="58" s="1"/>
  <c r="E24" i="58" s="1"/>
  <c r="E25" i="58" s="1"/>
  <c r="E26" i="58" s="1"/>
  <c r="E27" i="58" s="1"/>
  <c r="C18" i="58"/>
  <c r="C17" i="58" s="1"/>
  <c r="D18" i="58"/>
  <c r="D17" i="58" s="1"/>
  <c r="D23" i="58" s="1"/>
  <c r="H18" i="58"/>
  <c r="H17" i="58" s="1"/>
  <c r="H23" i="58" s="1"/>
  <c r="F18" i="58"/>
  <c r="F17" i="58" s="1"/>
  <c r="F23" i="58" s="1"/>
  <c r="I11" i="56"/>
  <c r="D9" i="2" s="1"/>
  <c r="D35" i="2" s="1"/>
  <c r="I18" i="2"/>
  <c r="I44" i="2" s="1"/>
  <c r="E48" i="2"/>
  <c r="G15" i="58"/>
  <c r="G16" i="58" s="1"/>
  <c r="H15" i="59"/>
  <c r="H16" i="59" s="1"/>
  <c r="H32" i="59"/>
  <c r="H34" i="59" s="1"/>
  <c r="H40" i="59" s="1"/>
  <c r="H48" i="59" s="1"/>
  <c r="H32" i="58"/>
  <c r="H34" i="58" s="1"/>
  <c r="H40" i="58" s="1"/>
  <c r="H48" i="58" s="1"/>
  <c r="H15" i="58"/>
  <c r="H16" i="58" s="1"/>
  <c r="C48" i="56"/>
  <c r="H48" i="56"/>
  <c r="E15" i="59"/>
  <c r="E16" i="59" s="1"/>
  <c r="I8" i="58"/>
  <c r="F6" i="2" s="1"/>
  <c r="D50" i="2"/>
  <c r="I11" i="58"/>
  <c r="F9" i="2" s="1"/>
  <c r="I14" i="58"/>
  <c r="F12" i="2" s="1"/>
  <c r="I17" i="2"/>
  <c r="I43" i="2" s="1"/>
  <c r="I10" i="2"/>
  <c r="I36" i="2" s="1"/>
  <c r="E48" i="58"/>
  <c r="F15" i="43"/>
  <c r="F16" i="43" s="1"/>
  <c r="F15" i="59"/>
  <c r="F34" i="59"/>
  <c r="F40" i="59" s="1"/>
  <c r="F48" i="59" s="1"/>
  <c r="C52" i="2"/>
  <c r="I14" i="59"/>
  <c r="G12" i="2" s="1"/>
  <c r="F18" i="36"/>
  <c r="G18" i="36" s="1"/>
  <c r="H18" i="36" s="1"/>
  <c r="F19" i="36"/>
  <c r="F20" i="36" s="1"/>
  <c r="G20" i="36" s="1"/>
  <c r="H20" i="36" s="1"/>
  <c r="E20" i="2"/>
  <c r="E52" i="2" s="1"/>
  <c r="I14" i="56"/>
  <c r="D12" i="2" s="1"/>
  <c r="F15" i="56"/>
  <c r="D20" i="2"/>
  <c r="D52" i="2" s="1"/>
  <c r="F20" i="2"/>
  <c r="C30" i="2"/>
  <c r="C32" i="2" s="1"/>
  <c r="C33" i="2" s="1"/>
  <c r="C51" i="2"/>
  <c r="D51" i="2"/>
  <c r="D30" i="2"/>
  <c r="D32" i="2" s="1"/>
  <c r="D33" i="2" s="1"/>
  <c r="F32" i="58"/>
  <c r="F34" i="58" s="1"/>
  <c r="F40" i="58" s="1"/>
  <c r="F48" i="58" s="1"/>
  <c r="F15" i="58"/>
  <c r="I9" i="58"/>
  <c r="F7" i="2" s="1"/>
  <c r="H35" i="2"/>
  <c r="I37" i="2"/>
  <c r="E30" i="2"/>
  <c r="E51" i="2"/>
  <c r="E35" i="2"/>
  <c r="G16" i="56"/>
  <c r="D17" i="53" l="1"/>
  <c r="C33" i="60" s="1"/>
  <c r="C10" i="60" s="1"/>
  <c r="I10" i="60" s="1"/>
  <c r="H8" i="2" s="1"/>
  <c r="C33" i="59"/>
  <c r="C10" i="59" s="1"/>
  <c r="C9" i="60"/>
  <c r="I8" i="60"/>
  <c r="H6" i="2" s="1"/>
  <c r="I9" i="59"/>
  <c r="H15" i="60"/>
  <c r="H32" i="60"/>
  <c r="H34" i="60" s="1"/>
  <c r="H40" i="60" s="1"/>
  <c r="H48" i="60" s="1"/>
  <c r="E32" i="60"/>
  <c r="E34" i="60" s="1"/>
  <c r="E40" i="60" s="1"/>
  <c r="E48" i="60" s="1"/>
  <c r="E15" i="60"/>
  <c r="I6" i="2"/>
  <c r="I8" i="59"/>
  <c r="G6" i="2" s="1"/>
  <c r="D15" i="59"/>
  <c r="D16" i="59" s="1"/>
  <c r="F15" i="60"/>
  <c r="G37" i="2"/>
  <c r="G7" i="2"/>
  <c r="H18" i="57"/>
  <c r="H17" i="57" s="1"/>
  <c r="H23" i="57" s="1"/>
  <c r="H24" i="57" s="1"/>
  <c r="H25" i="57" s="1"/>
  <c r="H26" i="57" s="1"/>
  <c r="H27" i="57" s="1"/>
  <c r="E18" i="57"/>
  <c r="E17" i="57" s="1"/>
  <c r="E23" i="57" s="1"/>
  <c r="E24" i="57" s="1"/>
  <c r="E25" i="57" s="1"/>
  <c r="E26" i="57" s="1"/>
  <c r="E27" i="57" s="1"/>
  <c r="C18" i="57"/>
  <c r="C17" i="57" s="1"/>
  <c r="C23" i="57" s="1"/>
  <c r="G18" i="57"/>
  <c r="G17" i="57" s="1"/>
  <c r="G23" i="57" s="1"/>
  <c r="G24" i="57" s="1"/>
  <c r="G25" i="57" s="1"/>
  <c r="G26" i="57" s="1"/>
  <c r="G27" i="57" s="1"/>
  <c r="D18" i="57"/>
  <c r="D17" i="57" s="1"/>
  <c r="D23" i="57" s="1"/>
  <c r="D24" i="57" s="1"/>
  <c r="D25" i="57" s="1"/>
  <c r="D26" i="57" s="1"/>
  <c r="D27" i="57" s="1"/>
  <c r="F18" i="57"/>
  <c r="F17" i="57" s="1"/>
  <c r="F23" i="57" s="1"/>
  <c r="F24" i="57" s="1"/>
  <c r="F25" i="57" s="1"/>
  <c r="F26" i="57" s="1"/>
  <c r="I15" i="43"/>
  <c r="C13" i="2" s="1"/>
  <c r="I9" i="2"/>
  <c r="I35" i="2" s="1"/>
  <c r="D16" i="60"/>
  <c r="D24" i="60"/>
  <c r="D25" i="60" s="1"/>
  <c r="D26" i="60" s="1"/>
  <c r="D24" i="58"/>
  <c r="D25" i="58" s="1"/>
  <c r="D26" i="58" s="1"/>
  <c r="D27" i="58" s="1"/>
  <c r="G24" i="58"/>
  <c r="G25" i="58" s="1"/>
  <c r="G26" i="58" s="1"/>
  <c r="G27" i="58" s="1"/>
  <c r="F24" i="43"/>
  <c r="F25" i="43" s="1"/>
  <c r="F26" i="43" s="1"/>
  <c r="F27" i="43" s="1"/>
  <c r="C15" i="57"/>
  <c r="C16" i="57" s="1"/>
  <c r="E32" i="2"/>
  <c r="E33" i="2" s="1"/>
  <c r="C34" i="58"/>
  <c r="C40" i="58" s="1"/>
  <c r="C48" i="58" s="1"/>
  <c r="E26" i="43"/>
  <c r="E27" i="43" s="1"/>
  <c r="C23" i="58"/>
  <c r="I17" i="58"/>
  <c r="C23" i="43"/>
  <c r="C24" i="43" s="1"/>
  <c r="C25" i="43" s="1"/>
  <c r="C26" i="43" s="1"/>
  <c r="C27" i="43" s="1"/>
  <c r="I17" i="43"/>
  <c r="C23" i="59"/>
  <c r="I17" i="59"/>
  <c r="G15" i="2" s="1"/>
  <c r="F28" i="51"/>
  <c r="I17" i="56"/>
  <c r="C23" i="56"/>
  <c r="C24" i="56" s="1"/>
  <c r="C25" i="56" s="1"/>
  <c r="C26" i="56" s="1"/>
  <c r="C27" i="56" s="1"/>
  <c r="F35" i="2"/>
  <c r="I12" i="2"/>
  <c r="D24" i="59"/>
  <c r="D25" i="59" s="1"/>
  <c r="D26" i="59" s="1"/>
  <c r="D27" i="59" s="1"/>
  <c r="H24" i="58"/>
  <c r="H25" i="58" s="1"/>
  <c r="H26" i="58" s="1"/>
  <c r="H27" i="58" s="1"/>
  <c r="H24" i="59"/>
  <c r="E24" i="59"/>
  <c r="E25" i="59" s="1"/>
  <c r="E26" i="59" s="1"/>
  <c r="E27" i="59" s="1"/>
  <c r="G15" i="59"/>
  <c r="I20" i="36"/>
  <c r="J20" i="36" s="1"/>
  <c r="K20" i="36" s="1"/>
  <c r="L20" i="36" s="1"/>
  <c r="I24" i="36"/>
  <c r="I20" i="2"/>
  <c r="G25" i="56"/>
  <c r="G26" i="56" s="1"/>
  <c r="G27" i="56" s="1"/>
  <c r="F51" i="2"/>
  <c r="F30" i="2"/>
  <c r="F50" i="2"/>
  <c r="F48" i="2"/>
  <c r="E24" i="36"/>
  <c r="I18" i="36"/>
  <c r="J18" i="36" s="1"/>
  <c r="K18" i="36" s="1"/>
  <c r="L18" i="36" s="1"/>
  <c r="F16" i="58"/>
  <c r="F24" i="58"/>
  <c r="F52" i="2"/>
  <c r="F16" i="56"/>
  <c r="F24" i="56"/>
  <c r="I15" i="56"/>
  <c r="F16" i="59"/>
  <c r="F24" i="59"/>
  <c r="F24" i="60" l="1"/>
  <c r="F25" i="60" s="1"/>
  <c r="F26" i="60" s="1"/>
  <c r="F27" i="60" s="1"/>
  <c r="F16" i="60"/>
  <c r="E16" i="60"/>
  <c r="E24" i="60"/>
  <c r="E25" i="60" s="1"/>
  <c r="E26" i="60" s="1"/>
  <c r="E27" i="60" s="1"/>
  <c r="H16" i="60"/>
  <c r="H24" i="60"/>
  <c r="H25" i="60" s="1"/>
  <c r="H26" i="60" s="1"/>
  <c r="H27" i="60" s="1"/>
  <c r="I9" i="60"/>
  <c r="H7" i="2" s="1"/>
  <c r="C32" i="60"/>
  <c r="C34" i="60" s="1"/>
  <c r="C40" i="60" s="1"/>
  <c r="C48" i="60" s="1"/>
  <c r="C15" i="60"/>
  <c r="I16" i="43"/>
  <c r="G30" i="2"/>
  <c r="G51" i="2"/>
  <c r="G50" i="2"/>
  <c r="G52" i="2"/>
  <c r="G48" i="2"/>
  <c r="I17" i="57"/>
  <c r="I23" i="57" s="1"/>
  <c r="G42" i="2"/>
  <c r="G49" i="2"/>
  <c r="D27" i="60"/>
  <c r="C24" i="57"/>
  <c r="C25" i="57" s="1"/>
  <c r="C26" i="57" s="1"/>
  <c r="C27" i="57" s="1"/>
  <c r="I15" i="57"/>
  <c r="C15" i="58"/>
  <c r="C24" i="58" s="1"/>
  <c r="C25" i="58" s="1"/>
  <c r="C26" i="58" s="1"/>
  <c r="C27" i="58" s="1"/>
  <c r="I10" i="58"/>
  <c r="F8" i="2" s="1"/>
  <c r="F31" i="2" s="1"/>
  <c r="F32" i="2" s="1"/>
  <c r="F33" i="2" s="1"/>
  <c r="C34" i="59"/>
  <c r="C40" i="59" s="1"/>
  <c r="C48" i="59" s="1"/>
  <c r="D15" i="2"/>
  <c r="I23" i="56"/>
  <c r="D21" i="2" s="1"/>
  <c r="E15" i="2"/>
  <c r="I23" i="59"/>
  <c r="G21" i="2" s="1"/>
  <c r="F15" i="2"/>
  <c r="I23" i="58"/>
  <c r="F21" i="2" s="1"/>
  <c r="C15" i="2"/>
  <c r="I23" i="43"/>
  <c r="I24" i="43" s="1"/>
  <c r="I25" i="43" s="1"/>
  <c r="H25" i="59"/>
  <c r="H26" i="59" s="1"/>
  <c r="H27" i="59" s="1"/>
  <c r="G16" i="59"/>
  <c r="G24" i="59"/>
  <c r="F25" i="59"/>
  <c r="F26" i="59" s="1"/>
  <c r="F25" i="56"/>
  <c r="F26" i="56" s="1"/>
  <c r="F25" i="58"/>
  <c r="F26" i="58" s="1"/>
  <c r="F27" i="57"/>
  <c r="I16" i="56"/>
  <c r="D14" i="2" s="1"/>
  <c r="D13" i="2"/>
  <c r="D39" i="2" s="1"/>
  <c r="I26" i="43"/>
  <c r="I27" i="43" s="1"/>
  <c r="C39" i="2"/>
  <c r="C14" i="2"/>
  <c r="C16" i="60" l="1"/>
  <c r="C24" i="60"/>
  <c r="C25" i="60" s="1"/>
  <c r="C26" i="60" s="1"/>
  <c r="I15" i="60"/>
  <c r="H48" i="2"/>
  <c r="H52" i="2"/>
  <c r="H50" i="2"/>
  <c r="H51" i="2"/>
  <c r="H30" i="2"/>
  <c r="I7" i="2"/>
  <c r="I24" i="56"/>
  <c r="D22" i="2" s="1"/>
  <c r="D54" i="2" s="1"/>
  <c r="I26" i="57"/>
  <c r="E24" i="2" s="1"/>
  <c r="I16" i="57"/>
  <c r="E14" i="2" s="1"/>
  <c r="E13" i="2"/>
  <c r="E39" i="2" s="1"/>
  <c r="C15" i="59"/>
  <c r="I10" i="59"/>
  <c r="C16" i="58"/>
  <c r="I15" i="58"/>
  <c r="I24" i="58" s="1"/>
  <c r="I25" i="58" s="1"/>
  <c r="F23" i="2" s="1"/>
  <c r="E21" i="2"/>
  <c r="I24" i="57"/>
  <c r="H42" i="2"/>
  <c r="H49" i="2"/>
  <c r="E42" i="2"/>
  <c r="E49" i="2"/>
  <c r="D40" i="2"/>
  <c r="C21" i="2"/>
  <c r="C42" i="2"/>
  <c r="C49" i="2"/>
  <c r="I15" i="2"/>
  <c r="F42" i="2"/>
  <c r="F49" i="2"/>
  <c r="J26" i="51"/>
  <c r="I61" i="2" s="1"/>
  <c r="D42" i="2"/>
  <c r="D49" i="2"/>
  <c r="G25" i="59"/>
  <c r="G26" i="59" s="1"/>
  <c r="F27" i="58"/>
  <c r="I26" i="58"/>
  <c r="F27" i="59"/>
  <c r="F27" i="56"/>
  <c r="I26" i="56"/>
  <c r="I51" i="2" l="1"/>
  <c r="I52" i="2"/>
  <c r="I50" i="2"/>
  <c r="I30" i="2"/>
  <c r="I48" i="2"/>
  <c r="H13" i="2"/>
  <c r="I16" i="60"/>
  <c r="H14" i="2" s="1"/>
  <c r="I24" i="60"/>
  <c r="C27" i="60"/>
  <c r="I26" i="60"/>
  <c r="I25" i="56"/>
  <c r="D23" i="2" s="1"/>
  <c r="H31" i="2"/>
  <c r="H32" i="2" s="1"/>
  <c r="H33" i="2" s="1"/>
  <c r="G8" i="2"/>
  <c r="G31" i="2" s="1"/>
  <c r="G32" i="2" s="1"/>
  <c r="G33" i="2" s="1"/>
  <c r="I27" i="57"/>
  <c r="E25" i="2" s="1"/>
  <c r="E40" i="2"/>
  <c r="I8" i="2"/>
  <c r="I31" i="2" s="1"/>
  <c r="I32" i="2" s="1"/>
  <c r="I33" i="2" s="1"/>
  <c r="C16" i="59"/>
  <c r="I15" i="59"/>
  <c r="G13" i="2" s="1"/>
  <c r="G39" i="2" s="1"/>
  <c r="G40" i="2" s="1"/>
  <c r="C24" i="59"/>
  <c r="C25" i="59" s="1"/>
  <c r="C26" i="59" s="1"/>
  <c r="C27" i="59" s="1"/>
  <c r="F13" i="2"/>
  <c r="F39" i="2" s="1"/>
  <c r="F40" i="2" s="1"/>
  <c r="I16" i="58"/>
  <c r="F14" i="2" s="1"/>
  <c r="F22" i="2"/>
  <c r="F54" i="2" s="1"/>
  <c r="I42" i="2"/>
  <c r="I49" i="2"/>
  <c r="I21" i="2"/>
  <c r="C22" i="2"/>
  <c r="C40" i="2"/>
  <c r="I25" i="57"/>
  <c r="E23" i="2" s="1"/>
  <c r="E22" i="2"/>
  <c r="E54" i="2" s="1"/>
  <c r="G27" i="59"/>
  <c r="I27" i="56"/>
  <c r="D25" i="2" s="1"/>
  <c r="D24" i="2"/>
  <c r="E60" i="2"/>
  <c r="E59" i="2" s="1"/>
  <c r="E53" i="2"/>
  <c r="I27" i="58"/>
  <c r="F25" i="2" s="1"/>
  <c r="F24" i="2"/>
  <c r="I25" i="60" l="1"/>
  <c r="H23" i="2" s="1"/>
  <c r="H22" i="2"/>
  <c r="H24" i="2"/>
  <c r="I27" i="60"/>
  <c r="H25" i="2" s="1"/>
  <c r="I26" i="59"/>
  <c r="I13" i="2"/>
  <c r="I39" i="2" s="1"/>
  <c r="I40" i="2" s="1"/>
  <c r="H39" i="2"/>
  <c r="H40" i="2" s="1"/>
  <c r="I16" i="59"/>
  <c r="G14" i="2" s="1"/>
  <c r="I24" i="59"/>
  <c r="G22" i="2" s="1"/>
  <c r="G54" i="2" s="1"/>
  <c r="C54" i="2"/>
  <c r="C23" i="2"/>
  <c r="C24" i="2" s="1"/>
  <c r="F60" i="2"/>
  <c r="F59" i="2" s="1"/>
  <c r="F53" i="2"/>
  <c r="D53" i="2"/>
  <c r="D60" i="2"/>
  <c r="D59" i="2" s="1"/>
  <c r="I27" i="59" l="1"/>
  <c r="G25" i="2" s="1"/>
  <c r="G24" i="2"/>
  <c r="H60" i="2"/>
  <c r="H59" i="2" s="1"/>
  <c r="I14" i="2"/>
  <c r="I22" i="2"/>
  <c r="I25" i="59"/>
  <c r="G23" i="2" s="1"/>
  <c r="H54" i="2"/>
  <c r="C60" i="2"/>
  <c r="C59" i="2" s="1"/>
  <c r="C53" i="2"/>
  <c r="C25" i="2"/>
  <c r="G53" i="2" l="1"/>
  <c r="G60" i="2"/>
  <c r="G59" i="2" s="1"/>
  <c r="H53" i="2"/>
  <c r="I54" i="2"/>
  <c r="I23" i="2"/>
  <c r="I24" i="2" s="1"/>
  <c r="I60" i="2" l="1"/>
  <c r="I59" i="2" s="1"/>
  <c r="I25" i="2"/>
  <c r="I53" i="2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<sst xmlns="http://schemas.openxmlformats.org/spreadsheetml/2006/main" count="1616" uniqueCount="290">
  <si>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</si>
  <si>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</si>
  <si>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</si>
  <si>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</si>
  <si>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</si>
  <si>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</si>
  <si>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</si>
  <si>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</si>
  <si>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</si>
  <si>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</si>
  <si>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</si>
  <si>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</si>
  <si>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</si>
  <si>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</si>
  <si>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</si>
  <si>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</si>
  <si>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</si>
  <si>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</si>
  <si>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</si>
  <si>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</si>
  <si>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</si>
  <si>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</si>
  <si>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</si>
  <si>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</si>
  <si>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</si>
  <si>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</si>
  <si>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</si>
  <si>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</si>
  <si>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</si>
  <si>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</si>
  <si>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</si>
  <si>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</si>
  <si>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</si>
  <si>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</si>
  <si>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</si>
  <si>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</si>
  <si>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</si>
  <si>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</si>
  <si>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</si>
  <si>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</si>
  <si>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</si>
  <si>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</si>
  <si>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</si>
  <si>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</si>
  <si>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</si>
  <si>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</si>
  <si>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</si>
  <si>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</si>
  <si>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</si>
  <si>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</si>
  <si>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</si>
  <si>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</si>
  <si>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</si>
  <si>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</si>
  <si>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</si>
  <si>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</si>
  <si>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</si>
  <si>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</si>
  <si>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</si>
  <si>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</si>
  <si>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</si>
  <si>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</si>
  <si>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</si>
  <si>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</si>
  <si>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</si>
  <si>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</si>
  <si>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</si>
  <si>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</si>
  <si>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</si>
  <si>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</si>
  <si>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</si>
  <si>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</si>
  <si>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</si>
  <si>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</si>
  <si>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</si>
  <si>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</si>
  <si>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</si>
  <si>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</si>
  <si>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</si>
  <si>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</si>
  <si>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</si>
  <si>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</si>
  <si>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</si>
  <si>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</si>
  <si>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</si>
  <si>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</si>
  <si>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</si>
  <si>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</si>
  <si>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</si>
  <si>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</si>
  <si>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</si>
  <si>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</si>
  <si>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</si>
  <si>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</si>
  <si>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</si>
  <si>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</si>
  <si>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</si>
  <si>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</si>
  <si>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</si>
  <si>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</si>
  <si>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</si>
  <si>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</si>
  <si>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</si>
  <si>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</si>
  <si>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</si>
  <si>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</si>
  <si>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</si>
  <si>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</si>
  <si>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</si>
  <si>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</si>
  <si>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</si>
  <si>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</si>
  <si>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</si>
  <si>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</si>
  <si>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</si>
  <si>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</si>
  <si>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</si>
  <si>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</si>
  <si>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</si>
  <si>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</si>
  <si>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</si>
  <si>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</si>
  <si>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</si>
  <si>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</si>
  <si>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</si>
  <si>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</si>
  <si>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</si>
  <si>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</si>
  <si>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</si>
  <si>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</si>
  <si>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</si>
  <si>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</si>
  <si>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</si>
  <si>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</si>
  <si>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</si>
  <si>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</si>
  <si>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</si>
  <si>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</si>
  <si>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</si>
  <si>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</si>
  <si>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</si>
  <si>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</si>
  <si>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</si>
  <si>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</si>
  <si>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</si>
  <si>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</si>
  <si>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</si>
  <si>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</si>
  <si>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</si>
  <si>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</si>
  <si>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</si>
  <si>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</si>
  <si>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</si>
  <si>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</si>
  <si>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</si>
  <si>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</si>
  <si>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</si>
  <si>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</si>
  <si>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</si>
  <si>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</si>
  <si>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</si>
  <si>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</si>
  <si>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</si>
  <si>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</si>
  <si>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</si>
  <si>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</si>
  <si>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</si>
  <si>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</si>
  <si>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</si>
  <si>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</si>
  <si>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</si>
  <si>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</si>
  <si>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</si>
  <si>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</si>
  <si>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</si>
  <si>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</si>
  <si>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</si>
  <si>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</si>
  <si>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</si>
  <si>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</si>
  <si>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</si>
  <si>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</si>
  <si>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</si>
  <si>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</si>
  <si>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</si>
  <si>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</si>
  <si>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</si>
  <si>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</si>
  <si>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</si>
  <si>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</si>
  <si>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</si>
  <si>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</si>
  <si>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</si>
  <si>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</si>
  <si>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</si>
  <si>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</si>
  <si>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</si>
  <si>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</si>
  <si>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</si>
  <si>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</si>
  <si>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</si>
  <si>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</si>
  <si>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</si>
  <si>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</si>
  <si>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</si>
  <si>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</si>
  <si>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</si>
  <si>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</si>
  <si>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</si>
  <si>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</si>
  <si>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</si>
  <si>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</si>
  <si>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</si>
  <si>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</si>
  <si>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</si>
  <si>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</si>
  <si>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</si>
  <si>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</si>
  <si>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</si>
  <si>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</si>
  <si>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</si>
  <si>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</si>
  <si>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</si>
  <si>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</si>
  <si>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</si>
  <si>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</si>
  <si>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</si>
  <si>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 xml:space="preserve">    年</t>
    <phoneticPr fontId="38" type="noConversion"/>
  </si>
  <si>
    <t>一汽解放</t>
    <phoneticPr fontId="38" type="noConversion"/>
  </si>
  <si>
    <t>2026年</t>
  </si>
  <si>
    <t>材料成本</t>
    <phoneticPr fontId="38" type="noConversion"/>
  </si>
  <si>
    <t>2027年</t>
  </si>
  <si>
    <t>2023年</t>
    <phoneticPr fontId="38" type="noConversion"/>
  </si>
  <si>
    <t>送货地点</t>
  </si>
  <si>
    <t>现汇或承兑的比例</t>
  </si>
  <si>
    <t>无</t>
  </si>
  <si>
    <t>包含所有的主、辅料</t>
  </si>
  <si>
    <t>开发费分摊情况</t>
  </si>
  <si>
    <t>产品应用场景</t>
  </si>
  <si>
    <t>三包周期</t>
  </si>
  <si>
    <t>涂红色处为必填项</t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</si>
  <si>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</si>
  <si>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</si>
  <si>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</si>
  <si>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</si>
  <si>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</si>
  <si>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成本预估由项目提供差异件清单，按现有产品推算出来。供应商年度降价与销价降价幅度同步。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</si>
  <si>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</si>
  <si>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</si>
  <si>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</si>
  <si>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</si>
  <si>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</si>
  <si>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</si>
  <si>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</si>
  <si>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</si>
  <si>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t>长春</t>
  </si>
  <si>
    <t>承兑</t>
  </si>
  <si>
    <t>河北</t>
  </si>
  <si>
    <t>否</t>
  </si>
  <si>
    <t>现场服务</t>
  </si>
  <si>
    <t>是</t>
  </si>
  <si>
    <t>自承担</t>
  </si>
  <si>
    <t>18个月</t>
  </si>
  <si>
    <t>2028年</t>
  </si>
  <si>
    <t>按长春2023年预算+财务费用按集团</t>
    <phoneticPr fontId="38" type="noConversion"/>
  </si>
  <si>
    <t>供应商年降：     5  年3%</t>
    <phoneticPr fontId="38" type="noConversion"/>
  </si>
  <si>
    <t>40套用于验证交付，10套用于实验</t>
  </si>
  <si>
    <t>2023年</t>
    <phoneticPr fontId="38" type="noConversion"/>
  </si>
  <si>
    <t xml:space="preserve">2028年  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</si>
  <si>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</si>
  <si>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t>销售价格（未税）：由营销或项目经理提供，包括年降3%。</t>
    <phoneticPr fontId="38" type="noConversion"/>
  </si>
  <si>
    <t>财务费用按集团近三年平均。</t>
    <phoneticPr fontId="38" type="noConversion"/>
  </si>
  <si>
    <t>预测工厂产能满足客户订单，费用按长春工厂2023年预算。</t>
    <phoneticPr fontId="38" type="noConversion"/>
  </si>
  <si>
    <t>变动费用参考长春工厂2023年预算。</t>
    <phoneticPr fontId="38" type="noConversion"/>
  </si>
  <si>
    <t xml:space="preserve">一汽座椅项目研发费用预算表 </t>
    <phoneticPr fontId="38" type="noConversion"/>
  </si>
  <si>
    <t>4种钣金件冲压模具</t>
  </si>
  <si>
    <t>底座焊接夹具</t>
  </si>
  <si>
    <t>客户及供应商交流成本、样品状态事宜，预计2-3次，单次1-2人；</t>
  </si>
  <si>
    <t>产品实验运费，顾客样件交付运费</t>
  </si>
  <si>
    <t>DVP试验及强检认证费用</t>
  </si>
  <si>
    <t>驾驶员座总成</t>
    <phoneticPr fontId="35" type="noConversion"/>
  </si>
  <si>
    <t>6800010NH43-C00/A</t>
    <phoneticPr fontId="35" type="noConversion"/>
  </si>
  <si>
    <t>单位：未税、元</t>
    <phoneticPr fontId="38" type="noConversion"/>
  </si>
  <si>
    <t>一汽J6G平底板3.0自适应座椅项目</t>
    <phoneticPr fontId="38" type="noConversion"/>
  </si>
  <si>
    <t>投资收益分析</t>
    <phoneticPr fontId="38" type="noConversion"/>
  </si>
  <si>
    <t>3.0自适应、通风、加热、气动腰托、可变阻尼、扶手、安全带未系报警、气动升降、织物面料，仰角、速降、坐垫延伸、三点式安全带；</t>
    <phoneticPr fontId="35" type="noConversion"/>
  </si>
  <si>
    <t>同H13</t>
  </si>
  <si>
    <t>中短途物流车</t>
  </si>
  <si>
    <t>工厂结算的，需对工厂按制度开票，抵减开发费</t>
    <phoneticPr fontId="38" type="noConversion"/>
  </si>
  <si>
    <t>ZY2345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</si>
</sst>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5" fillId="9" borderId="0" xfId="0" applyFont="1" applyFill="1">
      <alignment vertical="center"/>
    </xf>
    <xf numFmtId="0" fontId="2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43" fontId="15" fillId="0" borderId="1" xfId="0" applyNumberFormat="1" applyFont="1" applyBorder="1">
      <alignment vertical="center"/>
    </xf>
    <xf numFmtId="43" fontId="15" fillId="0" borderId="1" xfId="1" applyFont="1" applyBorder="1">
      <alignment vertical="center"/>
    </xf>
    <xf numFmtId="180" fontId="2" fillId="0" borderId="0" xfId="3" applyNumberFormat="1" applyFont="1">
      <alignment vertical="center"/>
    </xf>
    <xf numFmtId="0" fontId="47" fillId="0" borderId="1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center" vertical="center" wrapText="1" readingOrder="1"/>
    </xf>
    <xf numFmtId="43" fontId="0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43" fontId="2" fillId="0" borderId="1" xfId="0" applyNumberFormat="1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0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9" customFormat="1" ht="35.25" customHeight="1">
      <c r="A2" s="140" t="s">
        <v>0</v>
      </c>
      <c r="B2" s="140" t="s">
        <v>1</v>
      </c>
      <c r="C2" s="140" t="s">
        <v>2</v>
      </c>
      <c r="D2" s="141"/>
    </row>
    <row r="3" spans="1:4" s="139" customFormat="1" ht="33.75" customHeight="1">
      <c r="A3" s="142">
        <v>1</v>
      </c>
      <c r="B3" s="142" t="s">
        <v>3</v>
      </c>
      <c r="C3" s="143" t="s">
        <v>4</v>
      </c>
      <c r="D3" s="141"/>
    </row>
    <row r="4" spans="1:4" s="139" customFormat="1" ht="33.75" customHeight="1">
      <c r="A4" s="142">
        <v>2</v>
      </c>
      <c r="B4" s="142" t="s">
        <v>5</v>
      </c>
      <c r="C4" s="143" t="s">
        <v>270</v>
      </c>
    </row>
    <row r="5" spans="1:4" s="139" customFormat="1" ht="33.75" customHeight="1">
      <c r="A5" s="142">
        <v>3</v>
      </c>
      <c r="B5" s="211" t="s">
        <v>6</v>
      </c>
      <c r="C5" s="144" t="s">
        <v>246</v>
      </c>
    </row>
    <row r="6" spans="1:4" s="139" customFormat="1" ht="33.75" customHeight="1">
      <c r="A6" s="142">
        <v>4</v>
      </c>
      <c r="B6" s="212"/>
      <c r="C6" s="143" t="s">
        <v>7</v>
      </c>
    </row>
    <row r="7" spans="1:4" s="139" customFormat="1" ht="33.75" customHeight="1">
      <c r="A7" s="142">
        <v>5</v>
      </c>
      <c r="B7" s="145" t="s">
        <v>8</v>
      </c>
      <c r="C7" s="143" t="s">
        <v>273</v>
      </c>
    </row>
    <row r="8" spans="1:4" s="139" customFormat="1" ht="33.75" customHeight="1">
      <c r="A8" s="142">
        <v>6</v>
      </c>
      <c r="B8" s="211" t="s">
        <v>9</v>
      </c>
      <c r="C8" s="143" t="s">
        <v>272</v>
      </c>
    </row>
    <row r="9" spans="1:4" s="139" customFormat="1" ht="33.75" customHeight="1">
      <c r="A9" s="142">
        <v>7</v>
      </c>
      <c r="B9" s="212"/>
      <c r="C9" s="143" t="s">
        <v>10</v>
      </c>
    </row>
    <row r="10" spans="1:4" s="139" customFormat="1" ht="33.75" customHeight="1">
      <c r="A10" s="142">
        <v>8</v>
      </c>
      <c r="B10" s="212"/>
      <c r="C10" s="144" t="s">
        <v>271</v>
      </c>
    </row>
    <row r="11" spans="1:4" s="139" customFormat="1" ht="33.75" customHeight="1">
      <c r="A11" s="142">
        <v>9</v>
      </c>
      <c r="B11" s="212"/>
      <c r="C11" s="143" t="s">
        <v>11</v>
      </c>
    </row>
    <row r="12" spans="1:4" s="139" customFormat="1" ht="33.75" customHeight="1">
      <c r="A12" s="142">
        <v>10</v>
      </c>
      <c r="B12" s="145" t="s">
        <v>12</v>
      </c>
      <c r="C12" s="143" t="s">
        <v>13</v>
      </c>
    </row>
    <row r="13" spans="1:4" ht="33.75" customHeight="1"/>
    <row r="14" spans="1:4" ht="33.75" customHeight="1"/>
    <row r="15" spans="1:4" ht="33.75" customHeight="1">
      <c r="C15" s="14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6" ySplit="2" topLeftCell="G3" activePane="bottomRight" state="frozen"/>
      <selection pane="topRight"/>
      <selection pane="bottomLeft"/>
      <selection pane="bottomRight" activeCell="G21" sqref="G21"/>
    </sheetView>
  </sheetViews>
  <sheetFormatPr defaultColWidth="9" defaultRowHeight="13.5"/>
  <cols>
    <col min="1" max="1" width="20.625" customWidth="1"/>
    <col min="2" max="2" width="14.25" style="25" customWidth="1"/>
    <col min="3" max="3" width="13.125" customWidth="1"/>
    <col min="4" max="4" width="14.5" customWidth="1"/>
    <col min="5" max="5" width="12.75" customWidth="1"/>
    <col min="6" max="6" width="14.5" customWidth="1"/>
    <col min="7" max="8" width="13.5" customWidth="1"/>
    <col min="9" max="9" width="12.125" customWidth="1"/>
    <col min="10" max="10" width="12.25" customWidth="1"/>
    <col min="11" max="11" width="10.75" customWidth="1"/>
  </cols>
  <sheetData>
    <row r="1" spans="1:8" ht="20.25">
      <c r="A1" s="229" t="s">
        <v>148</v>
      </c>
      <c r="B1" s="229"/>
      <c r="C1" s="229"/>
      <c r="E1" s="230" t="s">
        <v>274</v>
      </c>
      <c r="F1" s="231"/>
      <c r="G1" s="231"/>
      <c r="H1" s="232"/>
    </row>
    <row r="2" spans="1:8" ht="23.45" customHeight="1">
      <c r="A2" s="26" t="s">
        <v>1</v>
      </c>
      <c r="B2" s="27" t="s">
        <v>149</v>
      </c>
      <c r="C2" s="28" t="s">
        <v>150</v>
      </c>
      <c r="E2" s="1" t="s">
        <v>151</v>
      </c>
      <c r="F2" s="1" t="s">
        <v>1</v>
      </c>
      <c r="G2" s="202" t="s">
        <v>152</v>
      </c>
      <c r="H2" s="1" t="s">
        <v>150</v>
      </c>
    </row>
    <row r="3" spans="1:8" ht="15.75" customHeight="1">
      <c r="A3" s="30" t="s">
        <v>153</v>
      </c>
      <c r="B3" s="31"/>
      <c r="C3" s="32"/>
      <c r="E3" s="237" t="s">
        <v>154</v>
      </c>
      <c r="F3" s="2" t="s">
        <v>155</v>
      </c>
      <c r="G3" s="33"/>
      <c r="H3" s="2"/>
    </row>
    <row r="4" spans="1:8" ht="15.75" customHeight="1">
      <c r="A4" s="30" t="s">
        <v>156</v>
      </c>
      <c r="B4" s="31"/>
      <c r="C4" s="34"/>
      <c r="E4" s="238"/>
      <c r="F4" s="2" t="s">
        <v>157</v>
      </c>
      <c r="G4" s="33"/>
      <c r="H4" s="2"/>
    </row>
    <row r="5" spans="1:8" ht="15.75" customHeight="1">
      <c r="A5" s="30" t="s">
        <v>158</v>
      </c>
      <c r="B5" s="35">
        <f>SUM(G3:G4)</f>
        <v>0</v>
      </c>
      <c r="C5" s="32"/>
      <c r="E5" s="239" t="s">
        <v>159</v>
      </c>
      <c r="F5" s="36" t="s">
        <v>160</v>
      </c>
      <c r="G5" s="172"/>
      <c r="H5" s="181"/>
    </row>
    <row r="6" spans="1:8" ht="15.75" customHeight="1">
      <c r="A6" s="30" t="s">
        <v>161</v>
      </c>
      <c r="B6" s="31"/>
      <c r="C6" s="32"/>
      <c r="E6" s="240"/>
      <c r="F6" s="36" t="s">
        <v>162</v>
      </c>
      <c r="G6" s="172">
        <v>10.4</v>
      </c>
      <c r="H6" s="205" t="s">
        <v>275</v>
      </c>
    </row>
    <row r="7" spans="1:8" ht="15.75" customHeight="1">
      <c r="A7" s="37" t="s">
        <v>163</v>
      </c>
      <c r="B7" s="35">
        <f>SUM(B3:B6)</f>
        <v>0</v>
      </c>
      <c r="C7" s="32"/>
      <c r="E7" s="240"/>
      <c r="F7" s="36" t="s">
        <v>164</v>
      </c>
      <c r="G7" s="172">
        <v>0</v>
      </c>
      <c r="H7" s="205"/>
    </row>
    <row r="8" spans="1:8" ht="15.75" customHeight="1">
      <c r="A8" s="38" t="s">
        <v>165</v>
      </c>
      <c r="B8" s="35">
        <f>SUM(G5:G12)</f>
        <v>15.9</v>
      </c>
      <c r="C8" s="39"/>
      <c r="E8" s="240"/>
      <c r="F8" s="36" t="s">
        <v>166</v>
      </c>
      <c r="G8" s="172">
        <v>0</v>
      </c>
      <c r="H8" s="40"/>
    </row>
    <row r="9" spans="1:8" ht="15.75" customHeight="1">
      <c r="A9" s="30" t="s">
        <v>167</v>
      </c>
      <c r="B9" s="35">
        <f>SUM(G13:G21)</f>
        <v>24.09</v>
      </c>
      <c r="C9" s="32"/>
      <c r="E9" s="240"/>
      <c r="F9" s="2" t="s">
        <v>168</v>
      </c>
      <c r="G9" s="172">
        <v>5.5</v>
      </c>
      <c r="H9" s="206" t="s">
        <v>276</v>
      </c>
    </row>
    <row r="10" spans="1:8" ht="15.75" customHeight="1">
      <c r="A10" s="34" t="s">
        <v>15</v>
      </c>
      <c r="B10" s="35">
        <f>B7+B8+B9</f>
        <v>39.99</v>
      </c>
      <c r="C10" s="32"/>
      <c r="E10" s="240"/>
      <c r="F10" s="2" t="s">
        <v>169</v>
      </c>
      <c r="G10" s="172">
        <v>0</v>
      </c>
      <c r="H10" s="40"/>
    </row>
    <row r="11" spans="1:8" ht="15.75" customHeight="1">
      <c r="E11" s="240"/>
      <c r="F11" s="2" t="s">
        <v>170</v>
      </c>
      <c r="G11" s="172">
        <v>0</v>
      </c>
      <c r="H11" s="40"/>
    </row>
    <row r="12" spans="1:8" ht="15.75" customHeight="1">
      <c r="E12" s="241"/>
      <c r="F12" s="2" t="s">
        <v>171</v>
      </c>
      <c r="G12" s="172">
        <v>0</v>
      </c>
      <c r="H12" s="206"/>
    </row>
    <row r="13" spans="1:8" ht="15.75" customHeight="1">
      <c r="E13" s="237" t="s">
        <v>47</v>
      </c>
      <c r="F13" s="2" t="s">
        <v>172</v>
      </c>
      <c r="G13" s="172">
        <v>0</v>
      </c>
      <c r="H13" s="40"/>
    </row>
    <row r="14" spans="1:8" ht="15.75" customHeight="1">
      <c r="E14" s="238"/>
      <c r="F14" s="2" t="s">
        <v>173</v>
      </c>
      <c r="G14" s="172">
        <v>0.4</v>
      </c>
      <c r="H14" s="40" t="s">
        <v>277</v>
      </c>
    </row>
    <row r="15" spans="1:8" ht="15.75" customHeight="1">
      <c r="E15" s="238"/>
      <c r="F15" s="2" t="s">
        <v>174</v>
      </c>
      <c r="G15" s="172">
        <v>0.09</v>
      </c>
      <c r="H15" s="40"/>
    </row>
    <row r="16" spans="1:8" ht="15.75" customHeight="1">
      <c r="E16" s="238"/>
      <c r="F16" s="2" t="s">
        <v>175</v>
      </c>
      <c r="G16" s="172">
        <v>1</v>
      </c>
      <c r="H16" s="40" t="s">
        <v>278</v>
      </c>
    </row>
    <row r="17" spans="1:11" ht="15.75" customHeight="1">
      <c r="E17" s="238"/>
      <c r="F17" s="2" t="s">
        <v>176</v>
      </c>
      <c r="G17" s="172">
        <v>2.4</v>
      </c>
      <c r="H17" s="40"/>
    </row>
    <row r="18" spans="1:11" ht="15.75" customHeight="1">
      <c r="E18" s="238"/>
      <c r="F18" s="2" t="s">
        <v>177</v>
      </c>
      <c r="G18" s="172">
        <v>13</v>
      </c>
      <c r="H18" s="40" t="s">
        <v>266</v>
      </c>
      <c r="I18" s="210" t="s">
        <v>288</v>
      </c>
    </row>
    <row r="19" spans="1:11" ht="15.75" customHeight="1">
      <c r="E19" s="238"/>
      <c r="F19" s="2" t="s">
        <v>178</v>
      </c>
      <c r="G19" s="172">
        <v>7.2</v>
      </c>
      <c r="H19" s="40" t="s">
        <v>279</v>
      </c>
    </row>
    <row r="20" spans="1:11" ht="15.75" customHeight="1">
      <c r="E20" s="238"/>
      <c r="F20" s="2" t="s">
        <v>179</v>
      </c>
      <c r="G20" s="172"/>
      <c r="H20" s="2"/>
    </row>
    <row r="21" spans="1:11" ht="15.75" customHeight="1">
      <c r="E21" s="242"/>
      <c r="F21" s="2" t="s">
        <v>125</v>
      </c>
      <c r="G21" s="172"/>
      <c r="H21" s="2"/>
    </row>
    <row r="22" spans="1:11" ht="15.75" customHeight="1">
      <c r="E22" s="1" t="s">
        <v>15</v>
      </c>
      <c r="F22" s="2"/>
      <c r="G22" s="29">
        <f>SUM(G3:G21)</f>
        <v>39.99</v>
      </c>
      <c r="H22" s="2"/>
    </row>
    <row r="23" spans="1:11" ht="30.75" customHeight="1">
      <c r="E23" s="233" t="s">
        <v>180</v>
      </c>
      <c r="F23" s="233"/>
      <c r="G23" s="233"/>
      <c r="H23" s="233"/>
    </row>
    <row r="25" spans="1:11" ht="17.25">
      <c r="A25" s="18" t="s">
        <v>1</v>
      </c>
      <c r="B25" s="18" t="s">
        <v>149</v>
      </c>
      <c r="C25" s="18" t="s">
        <v>181</v>
      </c>
      <c r="D25" s="173" t="s">
        <v>267</v>
      </c>
      <c r="E25" s="184" t="s">
        <v>182</v>
      </c>
      <c r="F25" s="184" t="s">
        <v>183</v>
      </c>
      <c r="G25" s="203" t="s">
        <v>229</v>
      </c>
      <c r="H25" s="203" t="s">
        <v>231</v>
      </c>
      <c r="I25" s="184" t="s">
        <v>263</v>
      </c>
      <c r="J25" s="20" t="s">
        <v>15</v>
      </c>
      <c r="K25" s="44" t="s">
        <v>184</v>
      </c>
    </row>
    <row r="26" spans="1:11" ht="16.5">
      <c r="A26" s="41" t="s">
        <v>143</v>
      </c>
      <c r="B26" s="42">
        <f>(B5+B8)*10000</f>
        <v>159000</v>
      </c>
      <c r="C26" s="43">
        <v>0.05</v>
      </c>
      <c r="D26" s="12">
        <f>B26*(1-C26)/6</f>
        <v>25175</v>
      </c>
      <c r="E26" s="12">
        <f>D26</f>
        <v>25175</v>
      </c>
      <c r="F26" s="12">
        <f t="shared" ref="F26:I26" si="0">E26</f>
        <v>25175</v>
      </c>
      <c r="G26" s="12">
        <f t="shared" si="0"/>
        <v>25175</v>
      </c>
      <c r="H26" s="12">
        <f t="shared" si="0"/>
        <v>25175</v>
      </c>
      <c r="I26" s="12">
        <f t="shared" si="0"/>
        <v>25175</v>
      </c>
      <c r="J26" s="12">
        <f>SUM(D26:I26)</f>
        <v>151050</v>
      </c>
      <c r="K26" s="12">
        <f>B26*0.05</f>
        <v>7950</v>
      </c>
    </row>
    <row r="27" spans="1:11" ht="16.5">
      <c r="A27" s="41" t="s">
        <v>185</v>
      </c>
      <c r="B27" s="196">
        <f>B9*10000</f>
        <v>240900</v>
      </c>
      <c r="C27" s="197"/>
      <c r="D27" s="197">
        <f>B27/6</f>
        <v>40150</v>
      </c>
      <c r="E27" s="197">
        <f>D27</f>
        <v>40150</v>
      </c>
      <c r="F27" s="197">
        <f t="shared" ref="F27:I27" si="1">E27</f>
        <v>40150</v>
      </c>
      <c r="G27" s="197">
        <f t="shared" si="1"/>
        <v>40150</v>
      </c>
      <c r="H27" s="197">
        <f t="shared" si="1"/>
        <v>40150</v>
      </c>
      <c r="I27" s="197">
        <f t="shared" si="1"/>
        <v>40150</v>
      </c>
      <c r="J27" s="197">
        <f>SUM(D27:I27)</f>
        <v>240900</v>
      </c>
      <c r="K27" s="12"/>
    </row>
    <row r="28" spans="1:11" ht="16.5">
      <c r="A28" s="234" t="s">
        <v>105</v>
      </c>
      <c r="B28" s="235"/>
      <c r="C28" s="236"/>
      <c r="D28" s="12">
        <f>SUM(D26:D27)</f>
        <v>65325</v>
      </c>
      <c r="E28" s="12">
        <f t="shared" ref="E28:H28" si="2">SUM(E26:E27)</f>
        <v>65325</v>
      </c>
      <c r="F28" s="12">
        <f t="shared" si="2"/>
        <v>65325</v>
      </c>
      <c r="G28" s="12">
        <f t="shared" si="2"/>
        <v>65325</v>
      </c>
      <c r="H28" s="12">
        <f t="shared" si="2"/>
        <v>65325</v>
      </c>
      <c r="I28" s="12">
        <f t="shared" ref="I28" si="3">SUM(I26:I27)</f>
        <v>65325</v>
      </c>
      <c r="J28" s="45"/>
      <c r="K28" s="4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0" zoomScaleNormal="80" workbookViewId="0">
      <selection activeCell="D6" sqref="D6"/>
    </sheetView>
  </sheetViews>
  <sheetFormatPr defaultColWidth="9" defaultRowHeight="16.5"/>
  <cols>
    <col min="1" max="1" width="14" style="5" customWidth="1"/>
    <col min="2" max="2" width="14.125" style="5" customWidth="1"/>
    <col min="3" max="3" width="18.25" style="5" customWidth="1"/>
    <col min="4" max="8" width="14.25" style="5" customWidth="1"/>
    <col min="9" max="9" width="11.625" style="5" customWidth="1"/>
    <col min="10" max="10" width="9.25" style="5" customWidth="1"/>
    <col min="11" max="11" width="9.125" style="5" customWidth="1"/>
    <col min="12" max="16384" width="9" style="5"/>
  </cols>
  <sheetData>
    <row r="1" spans="1:12" ht="29.25" customHeight="1">
      <c r="A1" s="15" t="s">
        <v>186</v>
      </c>
      <c r="E1" s="16"/>
      <c r="F1" s="16"/>
      <c r="G1" s="16"/>
      <c r="H1" s="16"/>
      <c r="I1" s="16"/>
    </row>
    <row r="2" spans="1:12" ht="24" customHeight="1">
      <c r="A2" s="17" t="s">
        <v>187</v>
      </c>
      <c r="E2" s="16"/>
      <c r="F2" s="16"/>
      <c r="G2" s="16"/>
      <c r="H2" s="16"/>
      <c r="I2" s="16"/>
    </row>
    <row r="3" spans="1:12">
      <c r="C3" s="5" t="s">
        <v>188</v>
      </c>
      <c r="D3" s="8" t="s">
        <v>227</v>
      </c>
      <c r="E3" s="163">
        <v>0.03</v>
      </c>
    </row>
    <row r="5" spans="1:12" ht="27.75" customHeight="1">
      <c r="A5" s="244" t="s">
        <v>189</v>
      </c>
      <c r="B5" s="7" t="s">
        <v>139</v>
      </c>
      <c r="C5" s="199" t="s">
        <v>280</v>
      </c>
      <c r="D5" s="199"/>
      <c r="E5" s="199"/>
      <c r="F5" s="182"/>
      <c r="G5" s="182"/>
      <c r="H5" s="182"/>
      <c r="I5" s="243" t="s">
        <v>15</v>
      </c>
    </row>
    <row r="6" spans="1:12" ht="39.75" customHeight="1">
      <c r="A6" s="244"/>
      <c r="B6" s="7" t="s">
        <v>140</v>
      </c>
      <c r="C6" s="186" t="s">
        <v>281</v>
      </c>
      <c r="D6" s="186"/>
      <c r="E6" s="186"/>
      <c r="F6" s="188"/>
      <c r="G6" s="14"/>
      <c r="H6" s="14"/>
      <c r="I6" s="243"/>
      <c r="K6" s="5">
        <v>100</v>
      </c>
    </row>
    <row r="7" spans="1:12" ht="33.75" customHeight="1">
      <c r="A7" s="244"/>
      <c r="B7" s="19" t="s">
        <v>190</v>
      </c>
      <c r="C7" s="200" t="s">
        <v>285</v>
      </c>
      <c r="D7" s="186"/>
      <c r="E7" s="200"/>
      <c r="F7" s="188"/>
      <c r="G7" s="14"/>
      <c r="H7" s="14"/>
      <c r="I7" s="243"/>
      <c r="K7" s="5">
        <f>K6*(1-$E$3)</f>
        <v>97</v>
      </c>
      <c r="L7" s="5">
        <f>K7/$K$6</f>
        <v>0.97</v>
      </c>
    </row>
    <row r="8" spans="1:12" ht="33">
      <c r="A8" s="244"/>
      <c r="B8" s="19" t="s">
        <v>191</v>
      </c>
      <c r="C8" s="186">
        <v>3266</v>
      </c>
      <c r="D8" s="186"/>
      <c r="E8" s="186"/>
      <c r="F8" s="188"/>
      <c r="G8" s="14"/>
      <c r="H8" s="14"/>
      <c r="I8" s="243"/>
      <c r="K8" s="5">
        <f>K7*(1-$E$3)</f>
        <v>94.09</v>
      </c>
      <c r="L8" s="5">
        <f t="shared" ref="L8:L10" si="0">K8/$K$6</f>
        <v>0.94090000000000007</v>
      </c>
    </row>
    <row r="9" spans="1:12" ht="18.75">
      <c r="A9" s="244" t="s">
        <v>192</v>
      </c>
      <c r="B9" s="174" t="s">
        <v>232</v>
      </c>
      <c r="C9" s="201">
        <v>2000</v>
      </c>
      <c r="D9" s="201"/>
      <c r="E9" s="201"/>
      <c r="F9" s="177"/>
      <c r="G9" s="177"/>
      <c r="H9" s="178"/>
      <c r="I9" s="24">
        <f>SUM(C9:H9)</f>
        <v>2000</v>
      </c>
      <c r="K9" s="5">
        <f t="shared" ref="K9:K11" si="1">K8*(1-$E$3)</f>
        <v>91.267300000000006</v>
      </c>
      <c r="L9" s="5">
        <f t="shared" si="0"/>
        <v>0.91267300000000007</v>
      </c>
    </row>
    <row r="10" spans="1:12" ht="18.75">
      <c r="A10" s="244"/>
      <c r="B10" s="182" t="s">
        <v>182</v>
      </c>
      <c r="C10" s="201">
        <v>5000</v>
      </c>
      <c r="D10" s="201"/>
      <c r="E10" s="201"/>
      <c r="F10" s="177"/>
      <c r="G10" s="177"/>
      <c r="H10" s="178"/>
      <c r="I10" s="24">
        <f t="shared" ref="I10:I14" si="2">SUM(C10:H10)</f>
        <v>5000</v>
      </c>
      <c r="K10" s="5">
        <f t="shared" si="1"/>
        <v>88.529280999999997</v>
      </c>
      <c r="L10" s="5">
        <f t="shared" si="0"/>
        <v>0.88529280999999993</v>
      </c>
    </row>
    <row r="11" spans="1:12" ht="18.75">
      <c r="A11" s="244"/>
      <c r="B11" s="182" t="s">
        <v>183</v>
      </c>
      <c r="C11" s="201">
        <v>5000</v>
      </c>
      <c r="D11" s="201"/>
      <c r="E11" s="201"/>
      <c r="F11" s="177"/>
      <c r="G11" s="177"/>
      <c r="H11" s="178"/>
      <c r="I11" s="24">
        <f t="shared" si="2"/>
        <v>5000</v>
      </c>
      <c r="K11" s="5">
        <f t="shared" si="1"/>
        <v>85.873402569999996</v>
      </c>
      <c r="L11" s="5">
        <f t="shared" ref="L11" si="3">K11/$K$6</f>
        <v>0.85873402570000001</v>
      </c>
    </row>
    <row r="12" spans="1:12" ht="18.75">
      <c r="A12" s="244"/>
      <c r="B12" s="182" t="s">
        <v>229</v>
      </c>
      <c r="C12" s="201">
        <v>5000</v>
      </c>
      <c r="D12" s="201"/>
      <c r="E12" s="201"/>
      <c r="F12" s="177"/>
      <c r="G12" s="177"/>
      <c r="H12" s="178"/>
      <c r="I12" s="24">
        <f t="shared" si="2"/>
        <v>5000</v>
      </c>
    </row>
    <row r="13" spans="1:12" ht="18.75">
      <c r="A13" s="244"/>
      <c r="B13" s="182" t="s">
        <v>231</v>
      </c>
      <c r="C13" s="201">
        <v>5000</v>
      </c>
      <c r="D13" s="201"/>
      <c r="E13" s="201"/>
      <c r="F13" s="177"/>
      <c r="G13" s="177"/>
      <c r="H13" s="178"/>
      <c r="I13" s="24">
        <f t="shared" si="2"/>
        <v>5000</v>
      </c>
    </row>
    <row r="14" spans="1:12" ht="18.75">
      <c r="A14" s="244"/>
      <c r="B14" s="185" t="s">
        <v>263</v>
      </c>
      <c r="C14" s="201">
        <v>10000</v>
      </c>
      <c r="D14" s="201"/>
      <c r="E14" s="201"/>
      <c r="F14" s="177"/>
      <c r="G14" s="177"/>
      <c r="H14" s="178"/>
      <c r="I14" s="24">
        <f t="shared" si="2"/>
        <v>10000</v>
      </c>
    </row>
    <row r="15" spans="1:12" ht="17.25">
      <c r="A15" s="243" t="s">
        <v>15</v>
      </c>
      <c r="B15" s="243"/>
      <c r="C15" s="22">
        <f>SUM(C9:C14)</f>
        <v>32000</v>
      </c>
      <c r="D15" s="22">
        <f t="shared" ref="D15:I15" si="4">SUM(D9:D14)</f>
        <v>0</v>
      </c>
      <c r="E15" s="22">
        <f t="shared" si="4"/>
        <v>0</v>
      </c>
      <c r="F15" s="22">
        <f t="shared" si="4"/>
        <v>0</v>
      </c>
      <c r="G15" s="22">
        <f t="shared" si="4"/>
        <v>0</v>
      </c>
      <c r="H15" s="22">
        <f t="shared" si="4"/>
        <v>0</v>
      </c>
      <c r="I15" s="22">
        <f t="shared" si="4"/>
        <v>32000</v>
      </c>
    </row>
    <row r="16" spans="1:12">
      <c r="A16" s="23"/>
      <c r="B16" s="23" t="s">
        <v>247</v>
      </c>
      <c r="C16" s="23">
        <f>材料成本!D12</f>
        <v>2377.7254368533559</v>
      </c>
      <c r="D16" s="164">
        <f>材料成本!E12</f>
        <v>0</v>
      </c>
      <c r="E16" s="164">
        <f>材料成本!F12</f>
        <v>0</v>
      </c>
      <c r="F16" s="164"/>
      <c r="G16" s="164"/>
    </row>
    <row r="17" spans="1:7">
      <c r="A17" s="23"/>
      <c r="B17" s="23" t="s">
        <v>248</v>
      </c>
      <c r="C17" s="23">
        <f>C8-C16</f>
        <v>888.27456314664414</v>
      </c>
      <c r="D17" s="23">
        <f t="shared" ref="D17:G17" si="5">D8-D16</f>
        <v>0</v>
      </c>
      <c r="E17" s="23">
        <f t="shared" si="5"/>
        <v>0</v>
      </c>
      <c r="F17" s="23">
        <f t="shared" si="5"/>
        <v>0</v>
      </c>
      <c r="G17" s="23">
        <f t="shared" si="5"/>
        <v>0</v>
      </c>
    </row>
    <row r="18" spans="1:7">
      <c r="A18" s="23"/>
      <c r="B18" s="23" t="s">
        <v>249</v>
      </c>
      <c r="C18" s="198">
        <f>C17/C8</f>
        <v>0.27197629000203433</v>
      </c>
      <c r="D18" s="198" t="e">
        <f t="shared" ref="D18:G18" si="6">D17/D8</f>
        <v>#DIV/0!</v>
      </c>
      <c r="E18" s="198" t="e">
        <f t="shared" si="6"/>
        <v>#DIV/0!</v>
      </c>
      <c r="F18" s="198" t="e">
        <f t="shared" si="6"/>
        <v>#DIV/0!</v>
      </c>
      <c r="G18" s="198" t="e">
        <f t="shared" si="6"/>
        <v>#DIV/0!</v>
      </c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workbookViewId="0">
      <pane xSplit="3" ySplit="5" topLeftCell="D6" activePane="bottomRight" state="frozen"/>
      <selection pane="topRight"/>
      <selection pane="bottomLeft"/>
      <selection pane="bottomRight" activeCell="F6" sqref="F6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4.5" style="5" customWidth="1"/>
    <col min="5" max="10" width="10.875" style="5" customWidth="1"/>
    <col min="11" max="11" width="17.375" style="5" customWidth="1"/>
    <col min="12" max="12" width="16" style="5" customWidth="1"/>
    <col min="13" max="16384" width="9" style="5"/>
  </cols>
  <sheetData>
    <row r="1" spans="1:13" s="4" customFormat="1" ht="28.5" customHeight="1">
      <c r="A1" s="245" t="s">
        <v>6</v>
      </c>
      <c r="B1" s="245"/>
      <c r="C1" s="6"/>
      <c r="L1" s="13"/>
    </row>
    <row r="2" spans="1:13">
      <c r="A2" s="246" t="s">
        <v>193</v>
      </c>
      <c r="B2" s="246"/>
      <c r="C2" s="247"/>
      <c r="D2" s="247"/>
      <c r="E2" s="248" t="s">
        <v>265</v>
      </c>
      <c r="F2" s="249"/>
      <c r="G2" s="249"/>
      <c r="H2" s="249"/>
      <c r="I2" s="249"/>
      <c r="J2" s="249"/>
      <c r="K2" s="250"/>
    </row>
    <row r="3" spans="1:13">
      <c r="A3" s="260" t="s">
        <v>14</v>
      </c>
      <c r="B3" s="260" t="s">
        <v>194</v>
      </c>
      <c r="C3" s="7" t="s">
        <v>195</v>
      </c>
      <c r="D3" s="251" t="str">
        <f>损益表!A1</f>
        <v>一汽J6G平底板3.0自适应座椅项目</v>
      </c>
      <c r="E3" s="251"/>
      <c r="F3" s="7" t="s">
        <v>196</v>
      </c>
      <c r="G3" s="263" t="s">
        <v>289</v>
      </c>
      <c r="H3" s="264"/>
      <c r="I3" s="264"/>
      <c r="J3" s="265"/>
      <c r="K3" s="252" t="s">
        <v>150</v>
      </c>
    </row>
    <row r="4" spans="1:13">
      <c r="A4" s="260"/>
      <c r="B4" s="260"/>
      <c r="C4" s="7" t="s">
        <v>139</v>
      </c>
      <c r="D4" s="160" t="str">
        <f>销量!C5</f>
        <v>驾驶员座总成</v>
      </c>
      <c r="E4" s="160">
        <f>销量!D5</f>
        <v>0</v>
      </c>
      <c r="F4" s="160">
        <f>销量!E5</f>
        <v>0</v>
      </c>
      <c r="G4" s="160">
        <f>销量!F5</f>
        <v>0</v>
      </c>
      <c r="H4" s="160">
        <f>销量!G5</f>
        <v>0</v>
      </c>
      <c r="I4" s="160">
        <f>销量!H5</f>
        <v>0</v>
      </c>
      <c r="J4" s="160"/>
      <c r="K4" s="253"/>
    </row>
    <row r="5" spans="1:13" ht="35.25" customHeight="1">
      <c r="A5" s="260"/>
      <c r="B5" s="260"/>
      <c r="C5" s="7" t="s">
        <v>140</v>
      </c>
      <c r="D5" s="160" t="str">
        <f>销量!C6</f>
        <v>6800010NH43-C00/A</v>
      </c>
      <c r="E5" s="160">
        <f>销量!D6</f>
        <v>0</v>
      </c>
      <c r="F5" s="160">
        <f>销量!E6</f>
        <v>0</v>
      </c>
      <c r="G5" s="160">
        <f>销量!F6</f>
        <v>0</v>
      </c>
      <c r="H5" s="160">
        <f>销量!G6</f>
        <v>0</v>
      </c>
      <c r="I5" s="160">
        <f>销量!H6</f>
        <v>0</v>
      </c>
      <c r="J5" s="160"/>
      <c r="K5" s="254"/>
    </row>
    <row r="6" spans="1:13" ht="16.5" customHeight="1">
      <c r="A6" s="10">
        <v>1</v>
      </c>
      <c r="B6" s="261" t="s">
        <v>230</v>
      </c>
      <c r="C6" s="262"/>
      <c r="D6" s="11">
        <v>2377.7254368533559</v>
      </c>
      <c r="E6" s="11"/>
      <c r="F6" s="11"/>
      <c r="G6" s="11"/>
      <c r="H6" s="11"/>
      <c r="I6" s="11"/>
      <c r="J6" s="11"/>
      <c r="K6" s="176"/>
    </row>
    <row r="7" spans="1:13" ht="16.5" customHeight="1">
      <c r="A7" s="10">
        <v>2</v>
      </c>
      <c r="B7" s="261"/>
      <c r="C7" s="262"/>
      <c r="D7" s="9"/>
      <c r="E7" s="9"/>
      <c r="F7" s="9"/>
      <c r="G7" s="9"/>
      <c r="H7" s="9"/>
      <c r="I7" s="9"/>
      <c r="J7" s="9"/>
      <c r="K7" s="14"/>
    </row>
    <row r="8" spans="1:13" ht="16.5" customHeight="1">
      <c r="A8" s="10">
        <v>3</v>
      </c>
      <c r="B8" s="261"/>
      <c r="C8" s="262"/>
      <c r="D8" s="11"/>
      <c r="E8" s="9"/>
      <c r="F8" s="11"/>
      <c r="G8" s="9"/>
      <c r="H8" s="11"/>
      <c r="I8" s="11"/>
      <c r="J8" s="11"/>
      <c r="K8" s="14"/>
    </row>
    <row r="9" spans="1:13">
      <c r="A9" s="10">
        <v>4</v>
      </c>
      <c r="B9" s="261"/>
      <c r="C9" s="262"/>
      <c r="D9" s="11"/>
      <c r="E9" s="9"/>
      <c r="F9" s="11"/>
      <c r="G9" s="9"/>
      <c r="H9" s="9"/>
      <c r="I9" s="9"/>
      <c r="J9" s="9"/>
      <c r="K9" s="14"/>
    </row>
    <row r="10" spans="1:13" ht="16.5" customHeight="1">
      <c r="A10" s="10">
        <v>5</v>
      </c>
      <c r="B10" s="261"/>
      <c r="C10" s="262"/>
      <c r="D10" s="11"/>
      <c r="E10" s="9"/>
      <c r="F10" s="11"/>
      <c r="G10" s="9"/>
      <c r="H10" s="9"/>
      <c r="I10" s="9"/>
      <c r="J10" s="9"/>
      <c r="K10" s="14"/>
      <c r="L10" s="255"/>
      <c r="M10" s="256"/>
    </row>
    <row r="11" spans="1:13" ht="16.5" customHeight="1">
      <c r="A11" s="10">
        <v>6</v>
      </c>
      <c r="B11" s="261"/>
      <c r="C11" s="262"/>
      <c r="D11" s="11"/>
      <c r="E11" s="9"/>
      <c r="F11" s="11"/>
      <c r="G11" s="9"/>
      <c r="H11" s="9"/>
      <c r="I11" s="9"/>
      <c r="J11" s="9"/>
      <c r="K11" s="14"/>
      <c r="L11" s="255"/>
      <c r="M11" s="256"/>
    </row>
    <row r="12" spans="1:13" ht="31.5" customHeight="1">
      <c r="A12" s="257" t="s">
        <v>197</v>
      </c>
      <c r="B12" s="258"/>
      <c r="C12" s="259"/>
      <c r="D12" s="12">
        <f t="shared" ref="D12:J12" si="0">SUM(D6:D11)</f>
        <v>2377.7254368533559</v>
      </c>
      <c r="E12" s="12">
        <f t="shared" si="0"/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/>
      <c r="J12" s="12">
        <f t="shared" si="0"/>
        <v>0</v>
      </c>
      <c r="K12" s="14"/>
    </row>
    <row r="13" spans="1:13">
      <c r="C13" s="204" t="s">
        <v>182</v>
      </c>
      <c r="D13" s="207">
        <f>D12*0.97</f>
        <v>2306.3936737477552</v>
      </c>
      <c r="E13" s="14"/>
      <c r="F13" s="14"/>
      <c r="G13" s="14"/>
      <c r="H13" s="14"/>
      <c r="I13" s="14"/>
      <c r="J13" s="14"/>
    </row>
    <row r="14" spans="1:13">
      <c r="C14" s="204" t="s">
        <v>183</v>
      </c>
      <c r="D14" s="207">
        <f t="shared" ref="D14:D17" si="1">D13*0.97</f>
        <v>2237.2018635353224</v>
      </c>
      <c r="E14" s="14"/>
      <c r="F14" s="14"/>
      <c r="G14" s="14"/>
      <c r="H14" s="14"/>
      <c r="I14" s="14"/>
      <c r="J14" s="14"/>
    </row>
    <row r="15" spans="1:13">
      <c r="C15" s="204" t="s">
        <v>229</v>
      </c>
      <c r="D15" s="207">
        <f t="shared" si="1"/>
        <v>2170.0858076292625</v>
      </c>
      <c r="E15" s="14"/>
      <c r="F15" s="14"/>
      <c r="G15" s="14"/>
      <c r="H15" s="14"/>
      <c r="I15" s="14"/>
      <c r="J15" s="14"/>
    </row>
    <row r="16" spans="1:13">
      <c r="C16" s="204" t="s">
        <v>231</v>
      </c>
      <c r="D16" s="207">
        <f t="shared" si="1"/>
        <v>2104.9832334003845</v>
      </c>
      <c r="E16" s="14"/>
      <c r="F16" s="14"/>
      <c r="G16" s="14"/>
      <c r="H16" s="14"/>
      <c r="I16" s="14"/>
      <c r="J16" s="14"/>
    </row>
    <row r="17" spans="3:10">
      <c r="C17" s="204" t="s">
        <v>263</v>
      </c>
      <c r="D17" s="207">
        <f t="shared" si="1"/>
        <v>2041.8337363983728</v>
      </c>
      <c r="E17" s="14"/>
      <c r="F17" s="14"/>
      <c r="G17" s="14"/>
      <c r="H17" s="14"/>
      <c r="I17" s="14"/>
      <c r="J17" s="14"/>
    </row>
  </sheetData>
  <mergeCells count="17">
    <mergeCell ref="L10:M10"/>
    <mergeCell ref="L11:M11"/>
    <mergeCell ref="A12:C12"/>
    <mergeCell ref="A3:A5"/>
    <mergeCell ref="B3:B5"/>
    <mergeCell ref="B11:C11"/>
    <mergeCell ref="G3:J3"/>
    <mergeCell ref="B6:C6"/>
    <mergeCell ref="B7:C7"/>
    <mergeCell ref="B8:C8"/>
    <mergeCell ref="B9:C9"/>
    <mergeCell ref="B10:C10"/>
    <mergeCell ref="A1:B1"/>
    <mergeCell ref="A2:D2"/>
    <mergeCell ref="E2:K2"/>
    <mergeCell ref="D3:E3"/>
    <mergeCell ref="K3:K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3.5"/>
  <cols>
    <col min="1" max="1" width="6.625" style="3" customWidth="1"/>
    <col min="2" max="2" width="29.625" style="3" customWidth="1"/>
    <col min="3" max="3" width="25.5" style="3" customWidth="1"/>
    <col min="4" max="4" width="18.625" style="3" customWidth="1"/>
    <col min="5" max="16384" width="9" style="3"/>
  </cols>
  <sheetData>
    <row r="1" spans="1:5" ht="27" customHeight="1">
      <c r="A1" s="189" t="s">
        <v>14</v>
      </c>
      <c r="B1" s="189" t="s">
        <v>198</v>
      </c>
      <c r="C1" s="189" t="s">
        <v>199</v>
      </c>
      <c r="D1" s="189" t="s">
        <v>200</v>
      </c>
    </row>
    <row r="2" spans="1:5" ht="15.75" customHeight="1">
      <c r="A2" s="189">
        <v>1</v>
      </c>
      <c r="B2" s="190" t="s">
        <v>201</v>
      </c>
      <c r="C2" s="191" t="s">
        <v>255</v>
      </c>
      <c r="D2" s="189"/>
    </row>
    <row r="3" spans="1:5" ht="15.75" customHeight="1">
      <c r="A3" s="189">
        <v>2</v>
      </c>
      <c r="B3" s="190" t="s">
        <v>202</v>
      </c>
      <c r="C3" s="192" t="s">
        <v>255</v>
      </c>
      <c r="D3" s="189" t="s">
        <v>233</v>
      </c>
    </row>
    <row r="4" spans="1:5" ht="15.75" customHeight="1">
      <c r="A4" s="189">
        <v>3</v>
      </c>
      <c r="B4" s="190" t="s">
        <v>203</v>
      </c>
      <c r="C4" s="191" t="s">
        <v>256</v>
      </c>
      <c r="D4" s="189" t="s">
        <v>234</v>
      </c>
    </row>
    <row r="5" spans="1:5" ht="15.75" customHeight="1">
      <c r="A5" s="193">
        <v>4</v>
      </c>
      <c r="B5" s="190" t="s">
        <v>204</v>
      </c>
      <c r="C5" s="191" t="s">
        <v>257</v>
      </c>
      <c r="D5" s="189"/>
    </row>
    <row r="6" spans="1:5" ht="15.75" customHeight="1">
      <c r="A6" s="193">
        <v>5</v>
      </c>
      <c r="B6" s="190" t="s">
        <v>205</v>
      </c>
      <c r="C6" s="191" t="s">
        <v>258</v>
      </c>
      <c r="D6" s="189"/>
    </row>
    <row r="7" spans="1:5" ht="15.75" customHeight="1">
      <c r="A7" s="189">
        <v>6</v>
      </c>
      <c r="B7" s="189" t="s">
        <v>206</v>
      </c>
      <c r="C7" s="192" t="s">
        <v>170</v>
      </c>
      <c r="D7" s="189"/>
    </row>
    <row r="8" spans="1:5" ht="15.75" customHeight="1">
      <c r="A8" s="189">
        <v>7</v>
      </c>
      <c r="B8" s="190" t="s">
        <v>207</v>
      </c>
      <c r="C8" s="195" t="s">
        <v>259</v>
      </c>
      <c r="D8" s="189"/>
    </row>
    <row r="9" spans="1:5" ht="15.75" customHeight="1">
      <c r="A9" s="189">
        <v>8</v>
      </c>
      <c r="B9" s="189" t="s">
        <v>208</v>
      </c>
      <c r="C9" s="195" t="s">
        <v>235</v>
      </c>
      <c r="D9" s="189"/>
    </row>
    <row r="10" spans="1:5" ht="15.75" customHeight="1">
      <c r="A10" s="189">
        <v>9</v>
      </c>
      <c r="B10" s="189" t="s">
        <v>209</v>
      </c>
      <c r="C10" s="195" t="s">
        <v>260</v>
      </c>
      <c r="D10" s="189"/>
    </row>
    <row r="11" spans="1:5" ht="15.75" customHeight="1">
      <c r="A11" s="189">
        <v>10</v>
      </c>
      <c r="B11" s="189" t="s">
        <v>210</v>
      </c>
      <c r="C11" s="195" t="s">
        <v>286</v>
      </c>
      <c r="D11" s="189" t="s">
        <v>236</v>
      </c>
      <c r="E11" s="162"/>
    </row>
    <row r="12" spans="1:5" ht="15.75" customHeight="1">
      <c r="A12" s="189">
        <v>11</v>
      </c>
      <c r="B12" s="189" t="s">
        <v>211</v>
      </c>
      <c r="C12" s="195" t="s">
        <v>235</v>
      </c>
      <c r="D12" s="189"/>
    </row>
    <row r="13" spans="1:5" ht="15.75" customHeight="1">
      <c r="A13" s="189">
        <v>12</v>
      </c>
      <c r="B13" s="190" t="s">
        <v>237</v>
      </c>
      <c r="C13" s="195" t="s">
        <v>261</v>
      </c>
      <c r="D13" s="189"/>
    </row>
    <row r="14" spans="1:5" ht="15.75" customHeight="1">
      <c r="A14" s="189">
        <v>13</v>
      </c>
      <c r="B14" s="190" t="s">
        <v>238</v>
      </c>
      <c r="C14" s="195" t="s">
        <v>287</v>
      </c>
      <c r="D14" s="189"/>
    </row>
    <row r="15" spans="1:5" ht="15.75" customHeight="1">
      <c r="A15" s="189">
        <v>14</v>
      </c>
      <c r="B15" s="190" t="s">
        <v>239</v>
      </c>
      <c r="C15" s="195" t="s">
        <v>262</v>
      </c>
      <c r="D15" s="189"/>
    </row>
    <row r="16" spans="1:5" ht="15.75" customHeight="1">
      <c r="A16" s="189">
        <v>15</v>
      </c>
      <c r="B16" s="189" t="s">
        <v>125</v>
      </c>
      <c r="C16" s="189"/>
      <c r="D16" s="189"/>
    </row>
    <row r="17" spans="1:4" ht="16.5">
      <c r="A17" s="194"/>
      <c r="B17" s="187" t="s">
        <v>240</v>
      </c>
      <c r="C17" s="194"/>
      <c r="D17" s="194"/>
    </row>
  </sheetData>
  <phoneticPr fontId="3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workbookViewId="0">
      <selection activeCell="J11" sqref="J11"/>
    </sheetView>
  </sheetViews>
  <sheetFormatPr defaultColWidth="9" defaultRowHeight="13.5"/>
  <cols>
    <col min="1" max="2" width="9" style="67"/>
    <col min="3" max="3" width="15.75" style="67" customWidth="1"/>
    <col min="4" max="4" width="13.625" style="67" customWidth="1"/>
    <col min="5" max="7" width="11.125" style="67" customWidth="1"/>
    <col min="8" max="8" width="12.875" style="150" customWidth="1"/>
    <col min="9" max="16384" width="9" style="67"/>
  </cols>
  <sheetData>
    <row r="1" spans="1:11" s="147" customFormat="1" ht="18.75" customHeight="1">
      <c r="F1" s="271" t="s">
        <v>212</v>
      </c>
      <c r="G1" s="271"/>
      <c r="H1" s="148"/>
    </row>
    <row r="2" spans="1:11" ht="19.5" customHeight="1">
      <c r="A2" s="272" t="s">
        <v>213</v>
      </c>
      <c r="B2" s="272"/>
      <c r="C2" s="273" t="s">
        <v>264</v>
      </c>
      <c r="D2" s="273"/>
      <c r="E2" s="273"/>
      <c r="F2" s="273"/>
      <c r="G2" s="267"/>
      <c r="H2" s="149" t="s">
        <v>220</v>
      </c>
      <c r="J2" s="167"/>
      <c r="K2" s="167"/>
    </row>
    <row r="3" spans="1:11" ht="34.5" customHeight="1">
      <c r="A3" s="272"/>
      <c r="B3" s="272"/>
      <c r="C3" s="157" t="s">
        <v>223</v>
      </c>
      <c r="D3" s="157" t="s">
        <v>222</v>
      </c>
      <c r="E3" s="158" t="s">
        <v>226</v>
      </c>
      <c r="F3" s="158" t="s">
        <v>225</v>
      </c>
      <c r="G3" s="158" t="s">
        <v>224</v>
      </c>
      <c r="H3" s="161">
        <f>销量!C8</f>
        <v>3266</v>
      </c>
    </row>
    <row r="4" spans="1:11" ht="24" customHeight="1">
      <c r="A4" s="268" t="s">
        <v>214</v>
      </c>
      <c r="B4" s="268"/>
      <c r="C4" s="151"/>
      <c r="D4" s="152">
        <f>$H$3*E4</f>
        <v>51.276199999999996</v>
      </c>
      <c r="E4" s="156">
        <v>1.5699999999999999E-2</v>
      </c>
      <c r="F4" s="152"/>
      <c r="G4" s="153">
        <v>4.48E-2</v>
      </c>
      <c r="I4" s="165"/>
      <c r="J4" s="68"/>
      <c r="K4" s="68"/>
    </row>
    <row r="5" spans="1:11" ht="24" customHeight="1">
      <c r="A5" s="268" t="s">
        <v>215</v>
      </c>
      <c r="B5" s="154" t="s">
        <v>216</v>
      </c>
      <c r="C5" s="151"/>
      <c r="D5" s="152">
        <f t="shared" ref="D5:D6" si="0">$H$3*E5</f>
        <v>155.4616</v>
      </c>
      <c r="E5" s="153">
        <v>4.7600000000000003E-2</v>
      </c>
      <c r="F5" s="153"/>
      <c r="G5" s="153">
        <v>4.0399999999999998E-2</v>
      </c>
      <c r="I5" s="166"/>
      <c r="J5" s="68"/>
      <c r="K5" s="68"/>
    </row>
    <row r="6" spans="1:11" ht="24" customHeight="1">
      <c r="A6" s="268"/>
      <c r="B6" s="154" t="s">
        <v>217</v>
      </c>
      <c r="C6" s="151"/>
      <c r="D6" s="152">
        <f t="shared" si="0"/>
        <v>12.4108</v>
      </c>
      <c r="E6" s="156">
        <v>3.8E-3</v>
      </c>
      <c r="F6" s="152"/>
      <c r="G6" s="153">
        <v>1.66E-2</v>
      </c>
      <c r="I6" s="165"/>
      <c r="J6" s="68"/>
      <c r="K6" s="68"/>
    </row>
    <row r="7" spans="1:11" ht="24" customHeight="1">
      <c r="A7" s="266" t="s">
        <v>218</v>
      </c>
      <c r="B7" s="267"/>
      <c r="C7" s="155"/>
      <c r="D7" s="152">
        <f>$H$3*E7</f>
        <v>219.14859999999999</v>
      </c>
      <c r="E7" s="156">
        <f>SUM(E4:E6)</f>
        <v>6.7099999999999993E-2</v>
      </c>
      <c r="F7" s="152"/>
      <c r="G7" s="156">
        <f>SUM(G4:G6)</f>
        <v>0.1018</v>
      </c>
      <c r="I7" s="165"/>
      <c r="J7" s="68"/>
      <c r="K7" s="68"/>
    </row>
    <row r="8" spans="1:11" ht="24" customHeight="1">
      <c r="A8" s="268" t="s">
        <v>45</v>
      </c>
      <c r="B8" s="268"/>
      <c r="C8" s="151"/>
      <c r="D8" s="152">
        <f>$H$3*E8</f>
        <v>98.306599999999989</v>
      </c>
      <c r="E8" s="153">
        <v>3.0099999999999998E-2</v>
      </c>
      <c r="F8" s="152"/>
      <c r="G8" s="153">
        <f>1.97%+0.75%</f>
        <v>2.7199999999999998E-2</v>
      </c>
      <c r="I8" s="166"/>
      <c r="J8" s="68"/>
      <c r="K8" s="68"/>
    </row>
    <row r="9" spans="1:11" ht="24" customHeight="1">
      <c r="A9" s="269" t="s">
        <v>219</v>
      </c>
      <c r="B9" s="154" t="s">
        <v>216</v>
      </c>
      <c r="C9" s="151"/>
      <c r="D9" s="152">
        <f>$H$3*E9</f>
        <v>24.494999999999997</v>
      </c>
      <c r="E9" s="153">
        <v>7.4999999999999997E-3</v>
      </c>
      <c r="F9" s="152"/>
      <c r="G9" s="153">
        <v>5.3E-3</v>
      </c>
      <c r="I9" s="150"/>
      <c r="J9" s="68"/>
      <c r="K9" s="68"/>
    </row>
    <row r="10" spans="1:11" ht="24" customHeight="1">
      <c r="A10" s="270"/>
      <c r="B10" s="154" t="s">
        <v>217</v>
      </c>
      <c r="C10" s="151"/>
      <c r="D10" s="152">
        <f>$H$3*E10</f>
        <v>83.936199999999999</v>
      </c>
      <c r="E10" s="150">
        <v>2.5700000000000001E-2</v>
      </c>
      <c r="F10" s="152"/>
      <c r="G10" s="153">
        <v>3.4099999999999998E-2</v>
      </c>
      <c r="I10" s="150"/>
      <c r="J10" s="68"/>
      <c r="K10" s="68"/>
    </row>
    <row r="11" spans="1:11" ht="24" customHeight="1">
      <c r="A11" s="268" t="s">
        <v>48</v>
      </c>
      <c r="B11" s="268"/>
      <c r="C11" s="151"/>
      <c r="D11" s="152">
        <f t="shared" ref="D11" si="1">$H$3*E11</f>
        <v>75.444599999999994</v>
      </c>
      <c r="E11" s="153">
        <v>2.3099999999999999E-2</v>
      </c>
      <c r="F11" s="152"/>
      <c r="G11" s="153">
        <v>1.0999999999999999E-2</v>
      </c>
      <c r="I11" s="150"/>
      <c r="J11" s="68"/>
      <c r="K11" s="68"/>
    </row>
    <row r="15" spans="1:11">
      <c r="A15" s="147"/>
      <c r="B15" s="147"/>
      <c r="C15" s="147"/>
      <c r="D15" s="147"/>
      <c r="E15" s="147"/>
      <c r="F15" s="271" t="s">
        <v>212</v>
      </c>
      <c r="G15" s="271"/>
      <c r="H15" s="148"/>
    </row>
    <row r="16" spans="1:11" ht="26.25" customHeight="1">
      <c r="A16" s="272" t="s">
        <v>213</v>
      </c>
      <c r="B16" s="272"/>
      <c r="C16" s="273" t="str">
        <f>C2</f>
        <v>按长春2023年预算+财务费用按集团</v>
      </c>
      <c r="D16" s="273"/>
      <c r="E16" s="273"/>
      <c r="F16" s="273"/>
      <c r="G16" s="267"/>
      <c r="H16" s="149" t="s">
        <v>220</v>
      </c>
    </row>
    <row r="17" spans="1:8" ht="27">
      <c r="A17" s="272"/>
      <c r="B17" s="272"/>
      <c r="C17" s="157" t="s">
        <v>223</v>
      </c>
      <c r="D17" s="157" t="s">
        <v>221</v>
      </c>
      <c r="E17" s="158" t="s">
        <v>226</v>
      </c>
      <c r="F17" s="158" t="s">
        <v>225</v>
      </c>
      <c r="G17" s="158" t="s">
        <v>224</v>
      </c>
      <c r="H17" s="161">
        <f>销量!D8</f>
        <v>0</v>
      </c>
    </row>
    <row r="18" spans="1:8">
      <c r="A18" s="268" t="s">
        <v>214</v>
      </c>
      <c r="B18" s="268"/>
      <c r="C18" s="151"/>
      <c r="D18" s="152">
        <f>$H$17*E18</f>
        <v>0</v>
      </c>
      <c r="E18" s="156">
        <v>1.5699999999999999E-2</v>
      </c>
      <c r="F18" s="152"/>
      <c r="G18" s="153">
        <v>4.48E-2</v>
      </c>
    </row>
    <row r="19" spans="1:8">
      <c r="A19" s="268" t="s">
        <v>215</v>
      </c>
      <c r="B19" s="175" t="s">
        <v>216</v>
      </c>
      <c r="C19" s="151"/>
      <c r="D19" s="152">
        <f t="shared" ref="D19:D25" si="2">$H$17*E19</f>
        <v>0</v>
      </c>
      <c r="E19" s="153">
        <v>4.7600000000000003E-2</v>
      </c>
      <c r="F19" s="152"/>
      <c r="G19" s="153">
        <v>4.0399999999999998E-2</v>
      </c>
    </row>
    <row r="20" spans="1:8">
      <c r="A20" s="268"/>
      <c r="B20" s="175" t="s">
        <v>217</v>
      </c>
      <c r="C20" s="151"/>
      <c r="D20" s="152">
        <f t="shared" si="2"/>
        <v>0</v>
      </c>
      <c r="E20" s="156">
        <v>3.8E-3</v>
      </c>
      <c r="F20" s="152"/>
      <c r="G20" s="153">
        <v>1.66E-2</v>
      </c>
    </row>
    <row r="21" spans="1:8">
      <c r="A21" s="266" t="s">
        <v>218</v>
      </c>
      <c r="B21" s="267"/>
      <c r="C21" s="155"/>
      <c r="D21" s="152">
        <f t="shared" si="2"/>
        <v>0</v>
      </c>
      <c r="E21" s="156">
        <f>SUM(E18:E20)</f>
        <v>6.7099999999999993E-2</v>
      </c>
      <c r="F21" s="152"/>
      <c r="G21" s="156">
        <f>SUM(G18:G20)</f>
        <v>0.1018</v>
      </c>
    </row>
    <row r="22" spans="1:8">
      <c r="A22" s="268" t="s">
        <v>45</v>
      </c>
      <c r="B22" s="268"/>
      <c r="C22" s="151"/>
      <c r="D22" s="152">
        <f t="shared" si="2"/>
        <v>0</v>
      </c>
      <c r="E22" s="153">
        <v>3.0099999999999998E-2</v>
      </c>
      <c r="F22" s="152"/>
      <c r="G22" s="153">
        <f>1.97%+0.75%</f>
        <v>2.7199999999999998E-2</v>
      </c>
    </row>
    <row r="23" spans="1:8">
      <c r="A23" s="269" t="s">
        <v>219</v>
      </c>
      <c r="B23" s="175" t="s">
        <v>216</v>
      </c>
      <c r="C23" s="151"/>
      <c r="D23" s="152">
        <f t="shared" si="2"/>
        <v>0</v>
      </c>
      <c r="E23" s="153">
        <v>7.4999999999999997E-3</v>
      </c>
      <c r="F23" s="152"/>
      <c r="G23" s="153">
        <v>5.3E-3</v>
      </c>
    </row>
    <row r="24" spans="1:8">
      <c r="A24" s="270"/>
      <c r="B24" s="175" t="s">
        <v>217</v>
      </c>
      <c r="C24" s="151"/>
      <c r="D24" s="152">
        <f t="shared" si="2"/>
        <v>0</v>
      </c>
      <c r="E24" s="150">
        <v>2.5700000000000001E-2</v>
      </c>
      <c r="F24" s="152"/>
      <c r="G24" s="153">
        <v>3.4099999999999998E-2</v>
      </c>
    </row>
    <row r="25" spans="1:8">
      <c r="A25" s="268" t="s">
        <v>48</v>
      </c>
      <c r="B25" s="268"/>
      <c r="C25" s="151"/>
      <c r="D25" s="152">
        <f t="shared" si="2"/>
        <v>0</v>
      </c>
      <c r="E25" s="153">
        <v>2.3099999999999999E-2</v>
      </c>
      <c r="F25" s="152"/>
      <c r="G25" s="153">
        <v>1.0999999999999999E-2</v>
      </c>
    </row>
    <row r="29" spans="1:8">
      <c r="A29" s="147"/>
      <c r="B29" s="147"/>
      <c r="C29" s="147"/>
      <c r="D29" s="147"/>
      <c r="E29" s="147"/>
      <c r="F29" s="271" t="s">
        <v>212</v>
      </c>
      <c r="G29" s="271"/>
      <c r="H29" s="148"/>
    </row>
    <row r="30" spans="1:8" ht="24" customHeight="1">
      <c r="A30" s="272" t="s">
        <v>213</v>
      </c>
      <c r="B30" s="272"/>
      <c r="C30" s="273" t="str">
        <f>C2</f>
        <v>按长春2023年预算+财务费用按集团</v>
      </c>
      <c r="D30" s="273"/>
      <c r="E30" s="273"/>
      <c r="F30" s="273"/>
      <c r="G30" s="267"/>
      <c r="H30" s="149" t="s">
        <v>220</v>
      </c>
    </row>
    <row r="31" spans="1:8" ht="27">
      <c r="A31" s="272"/>
      <c r="B31" s="272"/>
      <c r="C31" s="157" t="s">
        <v>223</v>
      </c>
      <c r="D31" s="157" t="s">
        <v>221</v>
      </c>
      <c r="E31" s="158" t="s">
        <v>226</v>
      </c>
      <c r="F31" s="158" t="s">
        <v>225</v>
      </c>
      <c r="G31" s="158" t="s">
        <v>224</v>
      </c>
      <c r="H31" s="161">
        <f>销量!E8</f>
        <v>0</v>
      </c>
    </row>
    <row r="32" spans="1:8">
      <c r="A32" s="268" t="s">
        <v>214</v>
      </c>
      <c r="B32" s="268"/>
      <c r="C32" s="151"/>
      <c r="D32" s="152">
        <f>$H$31*E32</f>
        <v>0</v>
      </c>
      <c r="E32" s="156">
        <v>1.5699999999999999E-2</v>
      </c>
      <c r="F32" s="152"/>
      <c r="G32" s="153">
        <v>4.48E-2</v>
      </c>
    </row>
    <row r="33" spans="1:8">
      <c r="A33" s="268" t="s">
        <v>215</v>
      </c>
      <c r="B33" s="175" t="s">
        <v>216</v>
      </c>
      <c r="C33" s="151"/>
      <c r="D33" s="152">
        <f t="shared" ref="D33:D39" si="3">$H$31*E33</f>
        <v>0</v>
      </c>
      <c r="E33" s="153">
        <v>4.7600000000000003E-2</v>
      </c>
      <c r="F33" s="152"/>
      <c r="G33" s="153">
        <v>4.0399999999999998E-2</v>
      </c>
    </row>
    <row r="34" spans="1:8">
      <c r="A34" s="268"/>
      <c r="B34" s="175" t="s">
        <v>217</v>
      </c>
      <c r="C34" s="151"/>
      <c r="D34" s="152">
        <f t="shared" si="3"/>
        <v>0</v>
      </c>
      <c r="E34" s="156">
        <v>3.8E-3</v>
      </c>
      <c r="F34" s="152"/>
      <c r="G34" s="153">
        <v>1.66E-2</v>
      </c>
    </row>
    <row r="35" spans="1:8">
      <c r="A35" s="266" t="s">
        <v>218</v>
      </c>
      <c r="B35" s="267"/>
      <c r="C35" s="155"/>
      <c r="D35" s="152">
        <f t="shared" si="3"/>
        <v>0</v>
      </c>
      <c r="E35" s="156">
        <f>SUM(E32:E34)</f>
        <v>6.7099999999999993E-2</v>
      </c>
      <c r="F35" s="156"/>
      <c r="G35" s="156">
        <f>SUM(G32:G34)</f>
        <v>0.1018</v>
      </c>
    </row>
    <row r="36" spans="1:8">
      <c r="A36" s="268" t="s">
        <v>45</v>
      </c>
      <c r="B36" s="268"/>
      <c r="C36" s="151"/>
      <c r="D36" s="152">
        <f t="shared" si="3"/>
        <v>0</v>
      </c>
      <c r="E36" s="153">
        <v>3.0099999999999998E-2</v>
      </c>
      <c r="F36" s="152"/>
      <c r="G36" s="153">
        <f>1.97%+0.75%</f>
        <v>2.7199999999999998E-2</v>
      </c>
    </row>
    <row r="37" spans="1:8">
      <c r="A37" s="269" t="s">
        <v>219</v>
      </c>
      <c r="B37" s="175" t="s">
        <v>216</v>
      </c>
      <c r="C37" s="151"/>
      <c r="D37" s="152">
        <f t="shared" si="3"/>
        <v>0</v>
      </c>
      <c r="E37" s="153">
        <v>7.4999999999999997E-3</v>
      </c>
      <c r="F37" s="152"/>
      <c r="G37" s="153">
        <v>5.3E-3</v>
      </c>
    </row>
    <row r="38" spans="1:8">
      <c r="A38" s="270"/>
      <c r="B38" s="175" t="s">
        <v>217</v>
      </c>
      <c r="C38" s="151"/>
      <c r="D38" s="152">
        <f t="shared" si="3"/>
        <v>0</v>
      </c>
      <c r="E38" s="150">
        <v>2.5700000000000001E-2</v>
      </c>
      <c r="F38" s="152"/>
      <c r="G38" s="153">
        <v>3.4099999999999998E-2</v>
      </c>
    </row>
    <row r="39" spans="1:8">
      <c r="A39" s="268" t="s">
        <v>48</v>
      </c>
      <c r="B39" s="268"/>
      <c r="C39" s="151"/>
      <c r="D39" s="152">
        <f t="shared" si="3"/>
        <v>0</v>
      </c>
      <c r="E39" s="153">
        <v>2.3099999999999999E-2</v>
      </c>
      <c r="F39" s="152"/>
      <c r="G39" s="153">
        <v>1.0999999999999999E-2</v>
      </c>
    </row>
    <row r="42" spans="1:8">
      <c r="A42" s="147"/>
      <c r="B42" s="147"/>
      <c r="C42" s="147"/>
      <c r="D42" s="147"/>
      <c r="E42" s="147"/>
      <c r="F42" s="271" t="s">
        <v>212</v>
      </c>
      <c r="G42" s="271"/>
      <c r="H42" s="148"/>
    </row>
    <row r="43" spans="1:8">
      <c r="A43" s="272" t="s">
        <v>213</v>
      </c>
      <c r="B43" s="272"/>
      <c r="C43" s="273" t="str">
        <f>C2</f>
        <v>按长春2023年预算+财务费用按集团</v>
      </c>
      <c r="D43" s="273"/>
      <c r="E43" s="273"/>
      <c r="F43" s="273"/>
      <c r="G43" s="267"/>
      <c r="H43" s="149" t="s">
        <v>220</v>
      </c>
    </row>
    <row r="44" spans="1:8" ht="27">
      <c r="A44" s="272"/>
      <c r="B44" s="272"/>
      <c r="C44" s="157" t="s">
        <v>223</v>
      </c>
      <c r="D44" s="157" t="s">
        <v>221</v>
      </c>
      <c r="E44" s="158" t="s">
        <v>226</v>
      </c>
      <c r="F44" s="158" t="s">
        <v>225</v>
      </c>
      <c r="G44" s="158" t="s">
        <v>224</v>
      </c>
      <c r="H44" s="161">
        <f>销量!F8</f>
        <v>0</v>
      </c>
    </row>
    <row r="45" spans="1:8">
      <c r="A45" s="268" t="s">
        <v>214</v>
      </c>
      <c r="B45" s="268"/>
      <c r="C45" s="151"/>
      <c r="D45" s="152">
        <f>$H$44*E45</f>
        <v>0</v>
      </c>
      <c r="E45" s="156">
        <v>1.5699999999999999E-2</v>
      </c>
      <c r="F45" s="152"/>
      <c r="G45" s="153">
        <v>4.48E-2</v>
      </c>
    </row>
    <row r="46" spans="1:8">
      <c r="A46" s="268" t="s">
        <v>215</v>
      </c>
      <c r="B46" s="175" t="s">
        <v>216</v>
      </c>
      <c r="C46" s="151"/>
      <c r="D46" s="152">
        <f t="shared" ref="D46:D52" si="4">$H$44*E46</f>
        <v>0</v>
      </c>
      <c r="E46" s="153">
        <v>4.7600000000000003E-2</v>
      </c>
      <c r="F46" s="152"/>
      <c r="G46" s="153">
        <v>4.0399999999999998E-2</v>
      </c>
    </row>
    <row r="47" spans="1:8">
      <c r="A47" s="268"/>
      <c r="B47" s="175" t="s">
        <v>217</v>
      </c>
      <c r="C47" s="151"/>
      <c r="D47" s="152">
        <f t="shared" si="4"/>
        <v>0</v>
      </c>
      <c r="E47" s="156">
        <v>3.8E-3</v>
      </c>
      <c r="F47" s="152"/>
      <c r="G47" s="153">
        <v>1.66E-2</v>
      </c>
    </row>
    <row r="48" spans="1:8">
      <c r="A48" s="266" t="s">
        <v>218</v>
      </c>
      <c r="B48" s="267"/>
      <c r="C48" s="155"/>
      <c r="D48" s="152">
        <f t="shared" si="4"/>
        <v>0</v>
      </c>
      <c r="E48" s="156">
        <f>SUM(E45:E47)</f>
        <v>6.7099999999999993E-2</v>
      </c>
      <c r="F48" s="156"/>
      <c r="G48" s="156">
        <f>SUM(G45:G47)</f>
        <v>0.1018</v>
      </c>
    </row>
    <row r="49" spans="1:8">
      <c r="A49" s="268" t="s">
        <v>45</v>
      </c>
      <c r="B49" s="268"/>
      <c r="C49" s="151"/>
      <c r="D49" s="152">
        <f t="shared" si="4"/>
        <v>0</v>
      </c>
      <c r="E49" s="153">
        <v>3.0099999999999998E-2</v>
      </c>
      <c r="F49" s="152"/>
      <c r="G49" s="153">
        <f>1.97%+0.75%</f>
        <v>2.7199999999999998E-2</v>
      </c>
    </row>
    <row r="50" spans="1:8">
      <c r="A50" s="269" t="s">
        <v>219</v>
      </c>
      <c r="B50" s="175" t="s">
        <v>216</v>
      </c>
      <c r="C50" s="151"/>
      <c r="D50" s="152">
        <f t="shared" si="4"/>
        <v>0</v>
      </c>
      <c r="E50" s="153">
        <v>7.4999999999999997E-3</v>
      </c>
      <c r="F50" s="152"/>
      <c r="G50" s="153">
        <v>5.3E-3</v>
      </c>
    </row>
    <row r="51" spans="1:8">
      <c r="A51" s="270"/>
      <c r="B51" s="175" t="s">
        <v>217</v>
      </c>
      <c r="C51" s="151"/>
      <c r="D51" s="152">
        <f t="shared" si="4"/>
        <v>0</v>
      </c>
      <c r="E51" s="150">
        <v>2.5700000000000001E-2</v>
      </c>
      <c r="F51" s="152"/>
      <c r="G51" s="153">
        <v>3.4099999999999998E-2</v>
      </c>
    </row>
    <row r="52" spans="1:8">
      <c r="A52" s="268" t="s">
        <v>48</v>
      </c>
      <c r="B52" s="268"/>
      <c r="C52" s="151"/>
      <c r="D52" s="152">
        <f t="shared" si="4"/>
        <v>0</v>
      </c>
      <c r="E52" s="153">
        <v>2.3099999999999999E-2</v>
      </c>
      <c r="F52" s="152"/>
      <c r="G52" s="153">
        <v>1.0999999999999999E-2</v>
      </c>
    </row>
    <row r="55" spans="1:8">
      <c r="A55" s="147"/>
      <c r="B55" s="147"/>
      <c r="C55" s="147"/>
      <c r="D55" s="147"/>
      <c r="E55" s="147"/>
      <c r="F55" s="271" t="s">
        <v>212</v>
      </c>
      <c r="G55" s="271"/>
      <c r="H55" s="148"/>
    </row>
    <row r="56" spans="1:8">
      <c r="A56" s="272" t="s">
        <v>213</v>
      </c>
      <c r="B56" s="272"/>
      <c r="C56" s="273" t="str">
        <f>C2</f>
        <v>按长春2023年预算+财务费用按集团</v>
      </c>
      <c r="D56" s="273"/>
      <c r="E56" s="273"/>
      <c r="F56" s="273"/>
      <c r="G56" s="267"/>
      <c r="H56" s="149" t="s">
        <v>220</v>
      </c>
    </row>
    <row r="57" spans="1:8" ht="27">
      <c r="A57" s="272"/>
      <c r="B57" s="272"/>
      <c r="C57" s="157" t="s">
        <v>223</v>
      </c>
      <c r="D57" s="157" t="s">
        <v>221</v>
      </c>
      <c r="E57" s="158" t="s">
        <v>226</v>
      </c>
      <c r="F57" s="158" t="s">
        <v>225</v>
      </c>
      <c r="G57" s="158" t="s">
        <v>224</v>
      </c>
      <c r="H57" s="161">
        <f>销量!G8</f>
        <v>0</v>
      </c>
    </row>
    <row r="58" spans="1:8">
      <c r="A58" s="268" t="s">
        <v>214</v>
      </c>
      <c r="B58" s="268"/>
      <c r="C58" s="151"/>
      <c r="D58" s="152">
        <f>$H$57*E58</f>
        <v>0</v>
      </c>
      <c r="E58" s="156">
        <v>1.5699999999999999E-2</v>
      </c>
      <c r="F58" s="152"/>
      <c r="G58" s="153">
        <v>4.48E-2</v>
      </c>
    </row>
    <row r="59" spans="1:8">
      <c r="A59" s="268" t="s">
        <v>215</v>
      </c>
      <c r="B59" s="175" t="s">
        <v>216</v>
      </c>
      <c r="C59" s="151"/>
      <c r="D59" s="152">
        <f t="shared" ref="D59:D65" si="5">$H$57*E59</f>
        <v>0</v>
      </c>
      <c r="E59" s="153">
        <v>4.7600000000000003E-2</v>
      </c>
      <c r="F59" s="152"/>
      <c r="G59" s="153">
        <v>4.0399999999999998E-2</v>
      </c>
    </row>
    <row r="60" spans="1:8">
      <c r="A60" s="268"/>
      <c r="B60" s="175" t="s">
        <v>217</v>
      </c>
      <c r="C60" s="151"/>
      <c r="D60" s="152">
        <f t="shared" si="5"/>
        <v>0</v>
      </c>
      <c r="E60" s="156">
        <v>3.8E-3</v>
      </c>
      <c r="F60" s="152"/>
      <c r="G60" s="153">
        <v>1.66E-2</v>
      </c>
    </row>
    <row r="61" spans="1:8">
      <c r="A61" s="266" t="s">
        <v>218</v>
      </c>
      <c r="B61" s="267"/>
      <c r="C61" s="155"/>
      <c r="D61" s="152">
        <f t="shared" si="5"/>
        <v>0</v>
      </c>
      <c r="E61" s="156">
        <f>SUM(E58:E60)</f>
        <v>6.7099999999999993E-2</v>
      </c>
      <c r="F61" s="156"/>
      <c r="G61" s="156">
        <f>SUM(G58:G60)</f>
        <v>0.1018</v>
      </c>
    </row>
    <row r="62" spans="1:8">
      <c r="A62" s="268" t="s">
        <v>45</v>
      </c>
      <c r="B62" s="268"/>
      <c r="C62" s="151"/>
      <c r="D62" s="152">
        <f t="shared" si="5"/>
        <v>0</v>
      </c>
      <c r="E62" s="153">
        <v>3.0099999999999998E-2</v>
      </c>
      <c r="F62" s="152"/>
      <c r="G62" s="153">
        <f>1.97%+0.75%</f>
        <v>2.7199999999999998E-2</v>
      </c>
    </row>
    <row r="63" spans="1:8">
      <c r="A63" s="269" t="s">
        <v>219</v>
      </c>
      <c r="B63" s="175" t="s">
        <v>216</v>
      </c>
      <c r="C63" s="151"/>
      <c r="D63" s="152">
        <f t="shared" si="5"/>
        <v>0</v>
      </c>
      <c r="E63" s="153">
        <v>7.4999999999999997E-3</v>
      </c>
      <c r="F63" s="152"/>
      <c r="G63" s="153">
        <v>5.3E-3</v>
      </c>
    </row>
    <row r="64" spans="1:8">
      <c r="A64" s="270"/>
      <c r="B64" s="175" t="s">
        <v>217</v>
      </c>
      <c r="C64" s="151"/>
      <c r="D64" s="152">
        <f t="shared" si="5"/>
        <v>0</v>
      </c>
      <c r="E64" s="150">
        <v>2.5700000000000001E-2</v>
      </c>
      <c r="F64" s="152"/>
      <c r="G64" s="153">
        <v>3.4099999999999998E-2</v>
      </c>
    </row>
    <row r="65" spans="1:8">
      <c r="A65" s="268" t="s">
        <v>48</v>
      </c>
      <c r="B65" s="268"/>
      <c r="C65" s="151"/>
      <c r="D65" s="152">
        <f t="shared" si="5"/>
        <v>0</v>
      </c>
      <c r="E65" s="153">
        <v>2.3099999999999999E-2</v>
      </c>
      <c r="F65" s="152"/>
      <c r="G65" s="153">
        <v>1.0999999999999999E-2</v>
      </c>
    </row>
    <row r="68" spans="1:8">
      <c r="A68" s="147"/>
      <c r="B68" s="147"/>
      <c r="C68" s="147"/>
      <c r="D68" s="147"/>
      <c r="E68" s="147"/>
      <c r="F68" s="271" t="s">
        <v>212</v>
      </c>
      <c r="G68" s="271"/>
      <c r="H68" s="148"/>
    </row>
    <row r="69" spans="1:8">
      <c r="A69" s="272" t="s">
        <v>213</v>
      </c>
      <c r="B69" s="272"/>
      <c r="C69" s="273" t="str">
        <f>C2</f>
        <v>按长春2023年预算+财务费用按集团</v>
      </c>
      <c r="D69" s="273"/>
      <c r="E69" s="273"/>
      <c r="F69" s="273"/>
      <c r="G69" s="267"/>
      <c r="H69" s="149" t="s">
        <v>220</v>
      </c>
    </row>
    <row r="70" spans="1:8" ht="27">
      <c r="A70" s="272"/>
      <c r="B70" s="272"/>
      <c r="C70" s="157" t="s">
        <v>223</v>
      </c>
      <c r="D70" s="157" t="s">
        <v>221</v>
      </c>
      <c r="E70" s="158" t="s">
        <v>226</v>
      </c>
      <c r="F70" s="158" t="s">
        <v>225</v>
      </c>
      <c r="G70" s="158" t="s">
        <v>224</v>
      </c>
      <c r="H70" s="161">
        <f>销量!H8</f>
        <v>0</v>
      </c>
    </row>
    <row r="71" spans="1:8">
      <c r="A71" s="268" t="s">
        <v>214</v>
      </c>
      <c r="B71" s="268"/>
      <c r="C71" s="151"/>
      <c r="D71" s="152">
        <f>$H$70*E71</f>
        <v>0</v>
      </c>
      <c r="E71" s="156">
        <v>1.5699999999999999E-2</v>
      </c>
      <c r="F71" s="152"/>
      <c r="G71" s="153">
        <v>4.48E-2</v>
      </c>
    </row>
    <row r="72" spans="1:8">
      <c r="A72" s="268" t="s">
        <v>215</v>
      </c>
      <c r="B72" s="175" t="s">
        <v>216</v>
      </c>
      <c r="C72" s="151"/>
      <c r="D72" s="152">
        <f t="shared" ref="D72:D78" si="6">$H$70*E72</f>
        <v>0</v>
      </c>
      <c r="E72" s="153">
        <v>4.7600000000000003E-2</v>
      </c>
      <c r="F72" s="152"/>
      <c r="G72" s="153">
        <v>4.0399999999999998E-2</v>
      </c>
    </row>
    <row r="73" spans="1:8">
      <c r="A73" s="268"/>
      <c r="B73" s="175" t="s">
        <v>217</v>
      </c>
      <c r="C73" s="151"/>
      <c r="D73" s="152">
        <f t="shared" si="6"/>
        <v>0</v>
      </c>
      <c r="E73" s="156">
        <v>3.8E-3</v>
      </c>
      <c r="F73" s="152"/>
      <c r="G73" s="153">
        <v>1.66E-2</v>
      </c>
    </row>
    <row r="74" spans="1:8">
      <c r="A74" s="266" t="s">
        <v>218</v>
      </c>
      <c r="B74" s="267"/>
      <c r="C74" s="155"/>
      <c r="D74" s="152">
        <f t="shared" si="6"/>
        <v>0</v>
      </c>
      <c r="E74" s="156">
        <f>SUM(E71:E73)</f>
        <v>6.7099999999999993E-2</v>
      </c>
      <c r="F74" s="156"/>
      <c r="G74" s="156">
        <f>SUM(G71:G73)</f>
        <v>0.1018</v>
      </c>
    </row>
    <row r="75" spans="1:8">
      <c r="A75" s="268" t="s">
        <v>45</v>
      </c>
      <c r="B75" s="268"/>
      <c r="C75" s="151"/>
      <c r="D75" s="152">
        <f t="shared" si="6"/>
        <v>0</v>
      </c>
      <c r="E75" s="153">
        <v>3.0099999999999998E-2</v>
      </c>
      <c r="F75" s="152"/>
      <c r="G75" s="153">
        <f>1.97%+0.75%</f>
        <v>2.7199999999999998E-2</v>
      </c>
    </row>
    <row r="76" spans="1:8">
      <c r="A76" s="269" t="s">
        <v>219</v>
      </c>
      <c r="B76" s="175" t="s">
        <v>216</v>
      </c>
      <c r="C76" s="151"/>
      <c r="D76" s="152">
        <f t="shared" si="6"/>
        <v>0</v>
      </c>
      <c r="E76" s="153">
        <v>7.4999999999999997E-3</v>
      </c>
      <c r="F76" s="152"/>
      <c r="G76" s="153">
        <v>5.3E-3</v>
      </c>
    </row>
    <row r="77" spans="1:8">
      <c r="A77" s="270"/>
      <c r="B77" s="175" t="s">
        <v>217</v>
      </c>
      <c r="C77" s="151"/>
      <c r="D77" s="152">
        <f t="shared" si="6"/>
        <v>0</v>
      </c>
      <c r="E77" s="150">
        <v>2.5700000000000001E-2</v>
      </c>
      <c r="F77" s="152"/>
      <c r="G77" s="153">
        <v>3.4099999999999998E-2</v>
      </c>
    </row>
    <row r="78" spans="1:8">
      <c r="A78" s="268" t="s">
        <v>48</v>
      </c>
      <c r="B78" s="268"/>
      <c r="C78" s="151"/>
      <c r="D78" s="152">
        <f t="shared" si="6"/>
        <v>0</v>
      </c>
      <c r="E78" s="153">
        <v>2.3099999999999999E-2</v>
      </c>
      <c r="F78" s="152"/>
      <c r="G78" s="153">
        <v>1.0999999999999999E-2</v>
      </c>
    </row>
  </sheetData>
  <mergeCells count="54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3" ySplit="7" topLeftCell="D23" activePane="bottomRight" state="frozen"/>
      <selection pane="topRight"/>
      <selection pane="bottomLeft"/>
      <selection pane="bottomRight" activeCell="C6" sqref="C6"/>
    </sheetView>
  </sheetViews>
  <sheetFormatPr defaultColWidth="9" defaultRowHeight="16.5"/>
  <cols>
    <col min="1" max="1" width="5.125" style="110" customWidth="1"/>
    <col min="2" max="2" width="32.625" style="110" bestFit="1" customWidth="1"/>
    <col min="3" max="8" width="12.875" style="111" customWidth="1"/>
    <col min="9" max="9" width="12.75" style="111" customWidth="1"/>
    <col min="10" max="10" width="15.5" style="110" customWidth="1"/>
    <col min="11" max="36" width="9" style="110"/>
    <col min="37" max="37" width="4.375" style="110" customWidth="1"/>
    <col min="38" max="38" width="13.875" style="110" customWidth="1"/>
    <col min="39" max="16384" width="9" style="110"/>
  </cols>
  <sheetData>
    <row r="1" spans="1:39" ht="27" customHeight="1">
      <c r="A1" s="213" t="s">
        <v>283</v>
      </c>
      <c r="B1" s="213"/>
      <c r="C1" s="213"/>
      <c r="D1" s="213"/>
      <c r="E1" s="213"/>
      <c r="F1" s="213"/>
      <c r="G1" s="213"/>
      <c r="H1" s="213"/>
      <c r="I1" s="213"/>
    </row>
    <row r="2" spans="1:39" ht="19.5" customHeight="1">
      <c r="A2" s="208"/>
      <c r="B2" s="209"/>
      <c r="C2" s="216" t="s">
        <v>284</v>
      </c>
      <c r="D2" s="216"/>
      <c r="E2" s="216"/>
      <c r="F2" s="216"/>
      <c r="G2" s="209"/>
      <c r="H2" s="209" t="s">
        <v>282</v>
      </c>
      <c r="I2" s="209"/>
    </row>
    <row r="3" spans="1:39" ht="15.75" customHeight="1">
      <c r="A3" s="214" t="s">
        <v>14</v>
      </c>
      <c r="B3" s="112" t="s">
        <v>1</v>
      </c>
      <c r="C3" s="112" t="s">
        <v>241</v>
      </c>
      <c r="D3" s="112" t="s">
        <v>242</v>
      </c>
      <c r="E3" s="112" t="s">
        <v>243</v>
      </c>
      <c r="F3" s="112" t="s">
        <v>244</v>
      </c>
      <c r="G3" s="112" t="s">
        <v>245</v>
      </c>
      <c r="H3" s="112" t="s">
        <v>269</v>
      </c>
      <c r="I3" s="51" t="s">
        <v>15</v>
      </c>
      <c r="AM3" s="110" t="s">
        <v>16</v>
      </c>
    </row>
    <row r="4" spans="1:39" s="48" customFormat="1" ht="15.75" customHeight="1">
      <c r="A4" s="215"/>
      <c r="B4" s="53" t="s">
        <v>3</v>
      </c>
      <c r="C4" s="113">
        <f>'2023年'!I6</f>
        <v>2000</v>
      </c>
      <c r="D4" s="113">
        <f>'2024年'!I6</f>
        <v>5000</v>
      </c>
      <c r="E4" s="113">
        <f>'2025年'!I6</f>
        <v>5000</v>
      </c>
      <c r="F4" s="113">
        <f>'2026年'!I6</f>
        <v>5000</v>
      </c>
      <c r="G4" s="113">
        <f>'2027年'!I6</f>
        <v>5000</v>
      </c>
      <c r="H4" s="113">
        <f>'2028年'!I6</f>
        <v>10000</v>
      </c>
      <c r="I4" s="113">
        <f>SUM(C4:H4)</f>
        <v>32000</v>
      </c>
      <c r="J4" s="69"/>
      <c r="AK4" s="52" t="s">
        <v>14</v>
      </c>
      <c r="AL4" s="53" t="s">
        <v>3</v>
      </c>
      <c r="AM4" s="48" t="s">
        <v>17</v>
      </c>
    </row>
    <row r="5" spans="1:39" s="48" customFormat="1" ht="15.75" customHeight="1">
      <c r="A5" s="62">
        <v>1</v>
      </c>
      <c r="B5" s="53" t="s">
        <v>18</v>
      </c>
      <c r="C5" s="113">
        <f>'2023年'!I7</f>
        <v>6532000</v>
      </c>
      <c r="D5" s="113">
        <f>'2024年'!I7</f>
        <v>16330000</v>
      </c>
      <c r="E5" s="113">
        <f>'2025年'!I7</f>
        <v>16330000</v>
      </c>
      <c r="F5" s="113">
        <f>'2026年'!I7</f>
        <v>16330000</v>
      </c>
      <c r="G5" s="113">
        <f>'2027年'!I7</f>
        <v>16330000</v>
      </c>
      <c r="H5" s="113">
        <f>'2028年'!I7</f>
        <v>32660000</v>
      </c>
      <c r="I5" s="113">
        <f t="shared" ref="I5:I11" si="0">SUM(C5:H5)</f>
        <v>104512000</v>
      </c>
      <c r="J5" s="69"/>
      <c r="AK5" s="52" t="s">
        <v>19</v>
      </c>
      <c r="AL5" s="53" t="s">
        <v>18</v>
      </c>
      <c r="AM5" s="48" t="s">
        <v>17</v>
      </c>
    </row>
    <row r="6" spans="1:39" s="48" customFormat="1" ht="15.75" customHeight="1">
      <c r="A6" s="62">
        <v>2</v>
      </c>
      <c r="B6" s="50" t="s">
        <v>20</v>
      </c>
      <c r="C6" s="113">
        <f>'2023年'!I8</f>
        <v>0</v>
      </c>
      <c r="D6" s="113">
        <f>'2024年'!I8</f>
        <v>489900.00000000041</v>
      </c>
      <c r="E6" s="113">
        <f>'2025年'!I8</f>
        <v>965102.99999999884</v>
      </c>
      <c r="F6" s="113">
        <f>'2026年'!I8</f>
        <v>1426049.909999999</v>
      </c>
      <c r="G6" s="113">
        <f>'2027年'!I8</f>
        <v>1873168.4127000012</v>
      </c>
      <c r="H6" s="113">
        <f>'2028年'!I8</f>
        <v>4613746.7206379995</v>
      </c>
      <c r="I6" s="113">
        <f t="shared" si="0"/>
        <v>9367968.0433379989</v>
      </c>
      <c r="J6" s="69"/>
      <c r="AK6" s="52" t="s">
        <v>21</v>
      </c>
      <c r="AL6" s="50" t="s">
        <v>22</v>
      </c>
      <c r="AM6" s="48" t="s">
        <v>17</v>
      </c>
    </row>
    <row r="7" spans="1:39" s="48" customFormat="1" ht="15.75" customHeight="1">
      <c r="A7" s="62">
        <v>3</v>
      </c>
      <c r="B7" s="53" t="s">
        <v>23</v>
      </c>
      <c r="C7" s="114">
        <f>+C5-C6</f>
        <v>6532000</v>
      </c>
      <c r="D7" s="114">
        <f>'2024年'!I9</f>
        <v>15840100</v>
      </c>
      <c r="E7" s="114">
        <f>'2025年'!I9</f>
        <v>15364897.000000002</v>
      </c>
      <c r="F7" s="114">
        <f>'2026年'!I9</f>
        <v>14903950.090000002</v>
      </c>
      <c r="G7" s="114">
        <f>'2027年'!I9</f>
        <v>14456831.587299999</v>
      </c>
      <c r="H7" s="114">
        <f>'2028年'!I9</f>
        <v>28046253.279362001</v>
      </c>
      <c r="I7" s="113">
        <f t="shared" si="0"/>
        <v>95144031.956661999</v>
      </c>
      <c r="J7" s="69"/>
      <c r="AK7" s="52" t="s">
        <v>24</v>
      </c>
      <c r="AL7" s="53" t="s">
        <v>23</v>
      </c>
      <c r="AM7" s="48" t="s">
        <v>25</v>
      </c>
    </row>
    <row r="8" spans="1:39" s="48" customFormat="1" ht="15.75" customHeight="1">
      <c r="A8" s="62">
        <v>4</v>
      </c>
      <c r="B8" s="52" t="s">
        <v>26</v>
      </c>
      <c r="C8" s="113">
        <f>'2023年'!I10</f>
        <v>4755450.8737067115</v>
      </c>
      <c r="D8" s="113">
        <f>'2024年'!I10</f>
        <v>11531968.368738776</v>
      </c>
      <c r="E8" s="113">
        <f>'2025年'!I10</f>
        <v>11186009.317676613</v>
      </c>
      <c r="F8" s="113">
        <f>'2026年'!I10</f>
        <v>10850429.038146313</v>
      </c>
      <c r="G8" s="113">
        <f>'2027年'!I10</f>
        <v>10524916.167001922</v>
      </c>
      <c r="H8" s="113">
        <f>'2028年'!I10</f>
        <v>20418337.363983728</v>
      </c>
      <c r="I8" s="113">
        <f t="shared" si="0"/>
        <v>69267111.129254073</v>
      </c>
      <c r="J8" s="69"/>
      <c r="AK8" s="52" t="s">
        <v>27</v>
      </c>
      <c r="AL8" s="52" t="s">
        <v>26</v>
      </c>
      <c r="AM8" s="48" t="s">
        <v>28</v>
      </c>
    </row>
    <row r="9" spans="1:39" s="48" customFormat="1" ht="15.75" customHeight="1">
      <c r="A9" s="62">
        <v>5</v>
      </c>
      <c r="B9" s="52" t="s">
        <v>29</v>
      </c>
      <c r="C9" s="113">
        <f>'2023年'!I11</f>
        <v>102552.4</v>
      </c>
      <c r="D9" s="113">
        <f>'2024年'!I11</f>
        <v>256380.99999999997</v>
      </c>
      <c r="E9" s="113">
        <f>'2025年'!I11</f>
        <v>256380.99999999997</v>
      </c>
      <c r="F9" s="113">
        <f>'2026年'!I11</f>
        <v>256380.99999999997</v>
      </c>
      <c r="G9" s="113">
        <f>'2027年'!I11</f>
        <v>256380.99999999997</v>
      </c>
      <c r="H9" s="113">
        <f>'2028年'!I11</f>
        <v>512761.99999999994</v>
      </c>
      <c r="I9" s="113">
        <f t="shared" si="0"/>
        <v>1640838.4</v>
      </c>
      <c r="J9" s="69"/>
      <c r="AK9" s="52" t="s">
        <v>30</v>
      </c>
      <c r="AL9" s="52" t="s">
        <v>29</v>
      </c>
    </row>
    <row r="10" spans="1:39" s="48" customFormat="1" ht="15.75" customHeight="1">
      <c r="A10" s="62">
        <v>6</v>
      </c>
      <c r="B10" s="52" t="s">
        <v>31</v>
      </c>
      <c r="C10" s="113">
        <f>'2023年'!I12</f>
        <v>24821.599999999999</v>
      </c>
      <c r="D10" s="113">
        <f>'2024年'!I12</f>
        <v>62054</v>
      </c>
      <c r="E10" s="113">
        <f>'2025年'!I12</f>
        <v>62054</v>
      </c>
      <c r="F10" s="113">
        <f>'2026年'!I12</f>
        <v>62054</v>
      </c>
      <c r="G10" s="113">
        <f>'2027年'!I12</f>
        <v>62054</v>
      </c>
      <c r="H10" s="113">
        <f>'2028年'!I12</f>
        <v>124108</v>
      </c>
      <c r="I10" s="113">
        <f t="shared" si="0"/>
        <v>397145.59999999998</v>
      </c>
      <c r="J10" s="69"/>
      <c r="AK10" s="52" t="s">
        <v>32</v>
      </c>
      <c r="AL10" s="52" t="s">
        <v>31</v>
      </c>
    </row>
    <row r="11" spans="1:39" s="48" customFormat="1" ht="15.75" customHeight="1">
      <c r="A11" s="62">
        <v>7</v>
      </c>
      <c r="B11" s="115" t="s">
        <v>33</v>
      </c>
      <c r="C11" s="113">
        <f>'2023年'!I13</f>
        <v>167872.4</v>
      </c>
      <c r="D11" s="113">
        <f>'2024年'!I13</f>
        <v>419681</v>
      </c>
      <c r="E11" s="113">
        <f>'2025年'!I13</f>
        <v>419681</v>
      </c>
      <c r="F11" s="113">
        <f>'2026年'!I13</f>
        <v>419681</v>
      </c>
      <c r="G11" s="113">
        <f>'2027年'!I13</f>
        <v>419681</v>
      </c>
      <c r="H11" s="113">
        <f>'2028年'!I13</f>
        <v>839362</v>
      </c>
      <c r="I11" s="113">
        <f t="shared" si="0"/>
        <v>2685958.4</v>
      </c>
      <c r="J11" s="69"/>
      <c r="AK11" s="52" t="s">
        <v>34</v>
      </c>
      <c r="AL11" s="52" t="s">
        <v>33</v>
      </c>
      <c r="AM11" s="48" t="s">
        <v>17</v>
      </c>
    </row>
    <row r="12" spans="1:39" s="48" customFormat="1" ht="15.75" customHeight="1">
      <c r="A12" s="62">
        <v>8</v>
      </c>
      <c r="B12" s="116" t="s">
        <v>35</v>
      </c>
      <c r="C12" s="117">
        <f>'2023年'!I14</f>
        <v>295246.40000000002</v>
      </c>
      <c r="D12" s="117">
        <f>'2024年'!I14</f>
        <v>738116</v>
      </c>
      <c r="E12" s="117">
        <f>'2025年'!I14</f>
        <v>738116</v>
      </c>
      <c r="F12" s="117">
        <f>'2026年'!I14</f>
        <v>738116</v>
      </c>
      <c r="G12" s="117">
        <f>'2027年'!I14</f>
        <v>738116</v>
      </c>
      <c r="H12" s="117">
        <f>'2028年'!I14</f>
        <v>1476232</v>
      </c>
      <c r="I12" s="117">
        <f>SUM(C12:H12)</f>
        <v>4723942.4000000004</v>
      </c>
      <c r="J12" s="69"/>
      <c r="AK12" s="52" t="s">
        <v>36</v>
      </c>
      <c r="AL12" s="55" t="s">
        <v>35</v>
      </c>
    </row>
    <row r="13" spans="1:39" s="48" customFormat="1" ht="15.75" customHeight="1">
      <c r="A13" s="62">
        <v>9</v>
      </c>
      <c r="B13" s="118" t="s">
        <v>37</v>
      </c>
      <c r="C13" s="113">
        <f>'2023年'!I15</f>
        <v>1481302.7262932886</v>
      </c>
      <c r="D13" s="113">
        <f>'2024年'!I15</f>
        <v>3570015.6312612239</v>
      </c>
      <c r="E13" s="113">
        <f>'2025年'!I15</f>
        <v>3440771.6823233888</v>
      </c>
      <c r="F13" s="113">
        <f>'2026年'!I15</f>
        <v>3315405.0518536884</v>
      </c>
      <c r="G13" s="113">
        <f>'2027年'!I15</f>
        <v>3193799.4202980772</v>
      </c>
      <c r="H13" s="113">
        <f>'2028年'!I15</f>
        <v>6151683.9153782725</v>
      </c>
      <c r="I13" s="113">
        <f>I7-I8-I12</f>
        <v>21152978.427407928</v>
      </c>
      <c r="J13" s="69"/>
      <c r="L13" s="110"/>
      <c r="M13" s="110"/>
      <c r="N13" s="110"/>
      <c r="O13" s="110"/>
      <c r="P13" s="110"/>
      <c r="Q13" s="110"/>
      <c r="AK13" s="52" t="s">
        <v>38</v>
      </c>
      <c r="AL13" s="55" t="s">
        <v>37</v>
      </c>
    </row>
    <row r="14" spans="1:39" ht="15.75" customHeight="1">
      <c r="A14" s="62">
        <v>10</v>
      </c>
      <c r="B14" s="119" t="s">
        <v>39</v>
      </c>
      <c r="C14" s="120">
        <f>+C13/C7</f>
        <v>0.22677629000203439</v>
      </c>
      <c r="D14" s="120">
        <f>'2024年'!I16</f>
        <v>0.22537835185770444</v>
      </c>
      <c r="E14" s="120">
        <f>'2025年'!I16</f>
        <v>0.22393717851303452</v>
      </c>
      <c r="F14" s="120">
        <f>'2026年'!I16</f>
        <v>0.22245143279687996</v>
      </c>
      <c r="G14" s="120">
        <f>'2027年'!I16</f>
        <v>0.22091973618228755</v>
      </c>
      <c r="H14" s="120">
        <f>'2028年'!I16</f>
        <v>0.2193406675074501</v>
      </c>
      <c r="I14" s="120">
        <f>+I13/I7</f>
        <v>0.22232585683401651</v>
      </c>
      <c r="J14" s="69"/>
      <c r="AK14" s="119" t="s">
        <v>40</v>
      </c>
      <c r="AL14" s="119" t="s">
        <v>39</v>
      </c>
    </row>
    <row r="15" spans="1:39" ht="15.75" customHeight="1">
      <c r="A15" s="62">
        <v>11</v>
      </c>
      <c r="B15" s="119" t="s">
        <v>41</v>
      </c>
      <c r="C15" s="113">
        <f>'2023年'!I17</f>
        <v>336098.2</v>
      </c>
      <c r="D15" s="113">
        <f>'2024年'!I17</f>
        <v>802483</v>
      </c>
      <c r="E15" s="113">
        <f>'2025年'!I17</f>
        <v>802483</v>
      </c>
      <c r="F15" s="113">
        <f>'2026年'!I17</f>
        <v>802483</v>
      </c>
      <c r="G15" s="113">
        <f>'2027年'!I17</f>
        <v>802483</v>
      </c>
      <c r="H15" s="113">
        <f>'2028年'!I17</f>
        <v>1579791</v>
      </c>
      <c r="I15" s="113">
        <f t="shared" ref="I15" si="1">SUM(C15:H15)</f>
        <v>5125821.2</v>
      </c>
      <c r="J15" s="69"/>
      <c r="AK15" s="119" t="s">
        <v>42</v>
      </c>
      <c r="AL15" s="119" t="s">
        <v>41</v>
      </c>
    </row>
    <row r="16" spans="1:39" ht="15.75" customHeight="1">
      <c r="A16" s="159"/>
      <c r="B16" s="119"/>
      <c r="C16" s="113"/>
      <c r="D16" s="113"/>
      <c r="E16" s="113"/>
      <c r="F16" s="113"/>
      <c r="G16" s="113"/>
      <c r="H16" s="113"/>
      <c r="I16" s="113"/>
      <c r="J16" s="69"/>
      <c r="AK16" s="119"/>
      <c r="AL16" s="119"/>
    </row>
    <row r="17" spans="1:39" ht="15.75" customHeight="1">
      <c r="A17" s="62">
        <v>12</v>
      </c>
      <c r="B17" s="119" t="s">
        <v>43</v>
      </c>
      <c r="C17" s="121">
        <f>'2023年'!I19</f>
        <v>48989.999999999993</v>
      </c>
      <c r="D17" s="121">
        <f>'2024年'!I19</f>
        <v>122474.99999999999</v>
      </c>
      <c r="E17" s="121">
        <f>'2025年'!I19</f>
        <v>122474.99999999999</v>
      </c>
      <c r="F17" s="121">
        <f>'2026年'!I19</f>
        <v>122474.99999999999</v>
      </c>
      <c r="G17" s="121">
        <f>'2027年'!I19</f>
        <v>122474.99999999999</v>
      </c>
      <c r="H17" s="121">
        <f>'2028年'!I19</f>
        <v>244949.99999999997</v>
      </c>
      <c r="I17" s="113">
        <f t="shared" ref="I17" si="2">SUM(C17:E17)</f>
        <v>293939.99999999994</v>
      </c>
      <c r="J17" s="69"/>
      <c r="R17" s="69"/>
      <c r="AK17" s="119" t="s">
        <v>44</v>
      </c>
      <c r="AL17" s="119" t="s">
        <v>43</v>
      </c>
      <c r="AM17" s="110" t="s">
        <v>17</v>
      </c>
    </row>
    <row r="18" spans="1:39" ht="15.75" customHeight="1">
      <c r="A18" s="62">
        <v>13</v>
      </c>
      <c r="B18" s="119" t="s">
        <v>45</v>
      </c>
      <c r="C18" s="121">
        <f>'2023年'!I20</f>
        <v>196613.19999999998</v>
      </c>
      <c r="D18" s="121">
        <f>'2024年'!I20</f>
        <v>491532.99999999994</v>
      </c>
      <c r="E18" s="121">
        <f>'2025年'!I20</f>
        <v>491532.99999999994</v>
      </c>
      <c r="F18" s="121">
        <f>'2026年'!I20</f>
        <v>491532.99999999994</v>
      </c>
      <c r="G18" s="121">
        <f>'2027年'!I20</f>
        <v>491532.99999999994</v>
      </c>
      <c r="H18" s="121">
        <f>'2028年'!I20</f>
        <v>983065.99999999988</v>
      </c>
      <c r="I18" s="113">
        <f t="shared" ref="I18:I20" si="3">SUM(C18:H18)</f>
        <v>3145811.1999999997</v>
      </c>
      <c r="J18" s="69"/>
      <c r="AK18" s="119" t="s">
        <v>46</v>
      </c>
      <c r="AL18" s="119" t="s">
        <v>45</v>
      </c>
    </row>
    <row r="19" spans="1:39" s="47" customFormat="1" ht="15.75" customHeight="1">
      <c r="A19" s="62">
        <v>14</v>
      </c>
      <c r="B19" s="60" t="s">
        <v>47</v>
      </c>
      <c r="C19" s="122">
        <f>'2023年'!I21</f>
        <v>40150</v>
      </c>
      <c r="D19" s="122">
        <f>'2024年'!I21</f>
        <v>40150</v>
      </c>
      <c r="E19" s="122">
        <f>'2025年'!I21</f>
        <v>40150</v>
      </c>
      <c r="F19" s="122">
        <f>'2026年'!I21</f>
        <v>40150</v>
      </c>
      <c r="G19" s="122">
        <f>'2027年'!I21</f>
        <v>40150</v>
      </c>
      <c r="H19" s="122">
        <f>'2028年'!I21</f>
        <v>40150</v>
      </c>
      <c r="I19" s="113">
        <f t="shared" si="3"/>
        <v>240900</v>
      </c>
      <c r="J19" s="69"/>
      <c r="AK19" s="60"/>
      <c r="AL19" s="60"/>
    </row>
    <row r="20" spans="1:39" s="48" customFormat="1" ht="15.75" customHeight="1">
      <c r="A20" s="62">
        <v>15</v>
      </c>
      <c r="B20" s="52" t="s">
        <v>48</v>
      </c>
      <c r="C20" s="121">
        <f>'2023年'!I22</f>
        <v>150889.19999999998</v>
      </c>
      <c r="D20" s="121">
        <f>'2024年'!I22</f>
        <v>377222.99999999994</v>
      </c>
      <c r="E20" s="121">
        <f>'2025年'!I22</f>
        <v>377222.99999999994</v>
      </c>
      <c r="F20" s="121">
        <f>'2026年'!I22</f>
        <v>377222.99999999994</v>
      </c>
      <c r="G20" s="121">
        <f>'2027年'!I22</f>
        <v>377222.99999999994</v>
      </c>
      <c r="H20" s="121">
        <f>'2028年'!I22</f>
        <v>754445.99999999988</v>
      </c>
      <c r="I20" s="113">
        <f t="shared" si="3"/>
        <v>2414227.1999999997</v>
      </c>
      <c r="J20" s="69"/>
      <c r="AK20" s="52" t="s">
        <v>49</v>
      </c>
      <c r="AL20" s="52" t="s">
        <v>48</v>
      </c>
    </row>
    <row r="21" spans="1:39" s="108" customFormat="1" ht="15.75" customHeight="1">
      <c r="A21" s="62">
        <v>16</v>
      </c>
      <c r="B21" s="123" t="s">
        <v>50</v>
      </c>
      <c r="C21" s="117">
        <f t="shared" ref="C21" si="4">+C20+C19+C18+C17+C15</f>
        <v>772740.6</v>
      </c>
      <c r="D21" s="117">
        <f>'2024年'!I23</f>
        <v>1833864</v>
      </c>
      <c r="E21" s="117">
        <f>'2025年'!I23</f>
        <v>1833864</v>
      </c>
      <c r="F21" s="117">
        <f>'2026年'!I23</f>
        <v>1833864</v>
      </c>
      <c r="G21" s="117">
        <f>'2027年'!I23</f>
        <v>1833864</v>
      </c>
      <c r="H21" s="117">
        <f>'2028年'!I23</f>
        <v>3602403</v>
      </c>
      <c r="I21" s="117">
        <f>SUM(C21:H21)</f>
        <v>11710599.6</v>
      </c>
      <c r="J21" s="69"/>
      <c r="AK21" s="136" t="s">
        <v>51</v>
      </c>
      <c r="AL21" s="137" t="s">
        <v>50</v>
      </c>
    </row>
    <row r="22" spans="1:39" ht="15.75" customHeight="1">
      <c r="A22" s="62">
        <v>17</v>
      </c>
      <c r="B22" s="119" t="s">
        <v>52</v>
      </c>
      <c r="C22" s="124">
        <f>+C13-C21</f>
        <v>708562.12629328866</v>
      </c>
      <c r="D22" s="124">
        <f>'2024年'!I24</f>
        <v>1736151.6312612239</v>
      </c>
      <c r="E22" s="124">
        <f>'2025年'!I24</f>
        <v>1606907.6823233888</v>
      </c>
      <c r="F22" s="124">
        <f>'2026年'!I24</f>
        <v>1481541.0518536884</v>
      </c>
      <c r="G22" s="124">
        <f>'2027年'!I24</f>
        <v>1359935.4202980772</v>
      </c>
      <c r="H22" s="124">
        <f>'2028年'!I24</f>
        <v>2549280.9153782725</v>
      </c>
      <c r="I22" s="124">
        <f>+I13-I21</f>
        <v>9442378.8274079282</v>
      </c>
      <c r="J22" s="69"/>
      <c r="AK22" s="119" t="s">
        <v>53</v>
      </c>
      <c r="AL22" s="119" t="s">
        <v>52</v>
      </c>
    </row>
    <row r="23" spans="1:39" ht="15.75" customHeight="1">
      <c r="A23" s="62">
        <v>18</v>
      </c>
      <c r="B23" s="119" t="s">
        <v>54</v>
      </c>
      <c r="C23" s="124">
        <f>IF(C22&lt;0,0,C22*0.25)</f>
        <v>177140.53157332217</v>
      </c>
      <c r="D23" s="124">
        <f>'2024年'!I25</f>
        <v>434037.90781530598</v>
      </c>
      <c r="E23" s="124">
        <f>'2025年'!I25</f>
        <v>401726.92058084719</v>
      </c>
      <c r="F23" s="124">
        <f>'2026年'!I25</f>
        <v>370385.26296342211</v>
      </c>
      <c r="G23" s="124">
        <f>'2027年'!I25</f>
        <v>339983.85507451929</v>
      </c>
      <c r="H23" s="124">
        <f>'2028年'!I25</f>
        <v>637320.22884456813</v>
      </c>
      <c r="I23" s="124">
        <f>IF(I22&lt;0,0,I22*0.25)</f>
        <v>2360594.706851982</v>
      </c>
      <c r="J23" s="69"/>
      <c r="AK23" s="119" t="s">
        <v>55</v>
      </c>
      <c r="AL23" s="119" t="s">
        <v>54</v>
      </c>
    </row>
    <row r="24" spans="1:39" ht="15.75" customHeight="1">
      <c r="A24" s="62">
        <v>19</v>
      </c>
      <c r="B24" s="119" t="s">
        <v>56</v>
      </c>
      <c r="C24" s="124">
        <f>C22-C23</f>
        <v>531421.59471996652</v>
      </c>
      <c r="D24" s="124">
        <f>'2024年'!I26</f>
        <v>1302113.7234459179</v>
      </c>
      <c r="E24" s="124">
        <f>'2025年'!I26</f>
        <v>1205180.7617425416</v>
      </c>
      <c r="F24" s="124">
        <f>'2026年'!I26</f>
        <v>1111155.7888902663</v>
      </c>
      <c r="G24" s="124">
        <f>'2027年'!I26</f>
        <v>1019951.5652235579</v>
      </c>
      <c r="H24" s="124">
        <f>'2028年'!I26</f>
        <v>1911960.6865337044</v>
      </c>
      <c r="I24" s="124">
        <f>I22-I23</f>
        <v>7081784.1205559466</v>
      </c>
      <c r="J24" s="69"/>
      <c r="AK24" s="119" t="s">
        <v>57</v>
      </c>
      <c r="AL24" s="119" t="s">
        <v>56</v>
      </c>
    </row>
    <row r="25" spans="1:39" ht="15.75" customHeight="1">
      <c r="A25" s="62">
        <v>20</v>
      </c>
      <c r="B25" s="119" t="s">
        <v>58</v>
      </c>
      <c r="C25" s="125">
        <f>(C24/C5)*100%</f>
        <v>8.1356643404771362E-2</v>
      </c>
      <c r="D25" s="125">
        <f>'2024年'!I27</f>
        <v>7.97375213377782E-2</v>
      </c>
      <c r="E25" s="125">
        <f>'2025年'!I27</f>
        <v>7.3801638808483866E-2</v>
      </c>
      <c r="F25" s="125">
        <f>'2026年'!I27</f>
        <v>6.8043832755068354E-2</v>
      </c>
      <c r="G25" s="125">
        <f>'2027年'!I27</f>
        <v>6.2458760883255228E-2</v>
      </c>
      <c r="H25" s="125">
        <f>'2028年'!I27</f>
        <v>5.8541355986947471E-2</v>
      </c>
      <c r="I25" s="125">
        <f>(I24/I5)*100%</f>
        <v>6.7760487987560722E-2</v>
      </c>
      <c r="J25" s="69"/>
      <c r="AK25" s="138" t="s">
        <v>59</v>
      </c>
      <c r="AL25" s="138" t="s">
        <v>60</v>
      </c>
    </row>
    <row r="26" spans="1:39" s="109" customFormat="1" ht="15.75" customHeight="1">
      <c r="C26" s="126"/>
      <c r="D26" s="126"/>
      <c r="E26" s="126"/>
      <c r="F26" s="126"/>
      <c r="G26" s="126"/>
      <c r="H26" s="126"/>
      <c r="I26" s="126"/>
      <c r="J26" s="135"/>
    </row>
    <row r="27" spans="1:39" s="109" customFormat="1" ht="15.75" customHeight="1">
      <c r="A27" s="109" t="s">
        <v>61</v>
      </c>
      <c r="C27" s="127"/>
      <c r="D27" s="127"/>
      <c r="E27" s="127"/>
      <c r="F27" s="127"/>
      <c r="G27" s="127"/>
      <c r="H27" s="127"/>
      <c r="I27" s="127"/>
      <c r="J27" s="135"/>
      <c r="AK27" s="109" t="s">
        <v>61</v>
      </c>
    </row>
    <row r="28" spans="1:39" ht="15.75" customHeight="1">
      <c r="A28" s="119" t="s">
        <v>14</v>
      </c>
      <c r="B28" s="128" t="s">
        <v>1</v>
      </c>
      <c r="C28" s="112" t="s">
        <v>241</v>
      </c>
      <c r="D28" s="112" t="s">
        <v>242</v>
      </c>
      <c r="E28" s="112" t="s">
        <v>243</v>
      </c>
      <c r="F28" s="112" t="s">
        <v>244</v>
      </c>
      <c r="G28" s="112" t="s">
        <v>269</v>
      </c>
      <c r="H28" s="112" t="s">
        <v>269</v>
      </c>
      <c r="I28" s="51" t="s">
        <v>15</v>
      </c>
      <c r="AM28" s="110" t="s">
        <v>16</v>
      </c>
    </row>
    <row r="29" spans="1:39" s="48" customFormat="1" ht="15.75" customHeight="1">
      <c r="A29" s="52" t="s">
        <v>62</v>
      </c>
      <c r="B29" s="55" t="s">
        <v>63</v>
      </c>
      <c r="C29" s="59"/>
      <c r="D29" s="59"/>
      <c r="E29" s="59"/>
      <c r="F29" s="59"/>
      <c r="G29" s="59"/>
      <c r="H29" s="59"/>
      <c r="I29" s="59"/>
      <c r="J29" s="69"/>
      <c r="AK29" s="52" t="s">
        <v>64</v>
      </c>
      <c r="AL29" s="55" t="s">
        <v>63</v>
      </c>
    </row>
    <row r="30" spans="1:39" s="48" customFormat="1" ht="15.75" customHeight="1">
      <c r="A30" s="52" t="s">
        <v>19</v>
      </c>
      <c r="B30" s="52" t="s">
        <v>65</v>
      </c>
      <c r="C30" s="54">
        <f>+C7/C4</f>
        <v>3266</v>
      </c>
      <c r="D30" s="54">
        <f t="shared" ref="D30:H30" si="5">+D7/D4</f>
        <v>3168.02</v>
      </c>
      <c r="E30" s="54">
        <f t="shared" si="5"/>
        <v>3072.9794000000002</v>
      </c>
      <c r="F30" s="54">
        <f t="shared" si="5"/>
        <v>2980.7900180000001</v>
      </c>
      <c r="G30" s="54">
        <f t="shared" ref="G30" si="6">+G7/G4</f>
        <v>2891.3663174599997</v>
      </c>
      <c r="H30" s="54">
        <f t="shared" si="5"/>
        <v>2804.6253279361999</v>
      </c>
      <c r="I30" s="54">
        <f>+I7/I4</f>
        <v>2973.2509986456876</v>
      </c>
      <c r="J30" s="69"/>
      <c r="AK30" s="52" t="s">
        <v>19</v>
      </c>
      <c r="AL30" s="52" t="s">
        <v>65</v>
      </c>
    </row>
    <row r="31" spans="1:39" s="48" customFormat="1" ht="15.75" customHeight="1">
      <c r="A31" s="52" t="s">
        <v>21</v>
      </c>
      <c r="B31" s="52" t="s">
        <v>66</v>
      </c>
      <c r="C31" s="54">
        <f>+C8/C4</f>
        <v>2377.7254368533559</v>
      </c>
      <c r="D31" s="54">
        <f t="shared" ref="D31:H31" si="7">+D8/D4</f>
        <v>2306.3936737477552</v>
      </c>
      <c r="E31" s="54">
        <f t="shared" si="7"/>
        <v>2237.2018635353224</v>
      </c>
      <c r="F31" s="54">
        <f t="shared" si="7"/>
        <v>2170.0858076292625</v>
      </c>
      <c r="G31" s="54">
        <f t="shared" ref="G31" si="8">+G8/G4</f>
        <v>2104.9832334003845</v>
      </c>
      <c r="H31" s="54">
        <f t="shared" si="7"/>
        <v>2041.8337363983728</v>
      </c>
      <c r="I31" s="54">
        <f>+I8/I4</f>
        <v>2164.5972227891898</v>
      </c>
      <c r="J31" s="69"/>
      <c r="AK31" s="52" t="s">
        <v>21</v>
      </c>
      <c r="AL31" s="52" t="s">
        <v>66</v>
      </c>
    </row>
    <row r="32" spans="1:39" s="48" customFormat="1" ht="15.75" customHeight="1">
      <c r="A32" s="52" t="s">
        <v>67</v>
      </c>
      <c r="B32" s="52" t="s">
        <v>68</v>
      </c>
      <c r="C32" s="59">
        <f t="shared" ref="C32:I32" si="9">C30-C31</f>
        <v>888.27456314664414</v>
      </c>
      <c r="D32" s="59">
        <f t="shared" si="9"/>
        <v>861.62632625224478</v>
      </c>
      <c r="E32" s="59">
        <f t="shared" si="9"/>
        <v>835.77753646467772</v>
      </c>
      <c r="F32" s="59">
        <f t="shared" si="9"/>
        <v>810.70421037073766</v>
      </c>
      <c r="G32" s="59">
        <f t="shared" ref="G32" si="10">G30-G31</f>
        <v>786.38308405961516</v>
      </c>
      <c r="H32" s="59">
        <f t="shared" si="9"/>
        <v>762.79159153782712</v>
      </c>
      <c r="I32" s="59">
        <f t="shared" si="9"/>
        <v>808.65377585649776</v>
      </c>
      <c r="J32" s="69"/>
      <c r="AK32" s="52" t="s">
        <v>67</v>
      </c>
      <c r="AL32" s="52" t="s">
        <v>68</v>
      </c>
    </row>
    <row r="33" spans="1:38" s="48" customFormat="1" ht="15.75" customHeight="1">
      <c r="A33" s="52">
        <v>3.1</v>
      </c>
      <c r="B33" s="52" t="s">
        <v>69</v>
      </c>
      <c r="C33" s="129">
        <f t="shared" ref="C33:I33" si="11">C32/C30</f>
        <v>0.27197629000203433</v>
      </c>
      <c r="D33" s="129">
        <f t="shared" si="11"/>
        <v>0.27197629000203433</v>
      </c>
      <c r="E33" s="129">
        <f t="shared" si="11"/>
        <v>0.27197629000203438</v>
      </c>
      <c r="F33" s="129">
        <f t="shared" si="11"/>
        <v>0.27197629000203449</v>
      </c>
      <c r="G33" s="129">
        <f t="shared" ref="G33" si="12">G32/G30</f>
        <v>0.27197629000203444</v>
      </c>
      <c r="H33" s="129">
        <f t="shared" si="11"/>
        <v>0.27197629000203455</v>
      </c>
      <c r="I33" s="129">
        <f t="shared" si="11"/>
        <v>0.27197629000203433</v>
      </c>
      <c r="J33" s="69"/>
      <c r="AK33" s="52"/>
      <c r="AL33" s="52"/>
    </row>
    <row r="34" spans="1:38" s="48" customFormat="1" ht="15.75" customHeight="1">
      <c r="A34" s="52" t="s">
        <v>64</v>
      </c>
      <c r="B34" s="55" t="s">
        <v>8</v>
      </c>
      <c r="C34" s="59"/>
      <c r="D34" s="59"/>
      <c r="E34" s="59"/>
      <c r="F34" s="59"/>
      <c r="G34" s="59"/>
      <c r="H34" s="59"/>
      <c r="I34" s="59"/>
      <c r="J34" s="69"/>
      <c r="AK34" s="52" t="s">
        <v>70</v>
      </c>
      <c r="AL34" s="55" t="s">
        <v>8</v>
      </c>
    </row>
    <row r="35" spans="1:38" s="48" customFormat="1" ht="15.75" customHeight="1">
      <c r="A35" s="52" t="s">
        <v>19</v>
      </c>
      <c r="B35" s="60" t="s">
        <v>71</v>
      </c>
      <c r="C35" s="54">
        <f>+C9/C4</f>
        <v>51.276199999999996</v>
      </c>
      <c r="D35" s="54">
        <f t="shared" ref="D35:H35" si="13">+D9/D4</f>
        <v>51.276199999999996</v>
      </c>
      <c r="E35" s="54">
        <f t="shared" si="13"/>
        <v>51.276199999999996</v>
      </c>
      <c r="F35" s="54">
        <f t="shared" si="13"/>
        <v>51.276199999999996</v>
      </c>
      <c r="G35" s="54">
        <f t="shared" ref="G35" si="14">+G9/G4</f>
        <v>51.276199999999996</v>
      </c>
      <c r="H35" s="54">
        <f t="shared" si="13"/>
        <v>51.276199999999996</v>
      </c>
      <c r="I35" s="54">
        <f>+I9/I4</f>
        <v>51.276199999999996</v>
      </c>
      <c r="J35" s="69"/>
      <c r="AK35" s="52" t="s">
        <v>67</v>
      </c>
      <c r="AL35" s="52" t="s">
        <v>71</v>
      </c>
    </row>
    <row r="36" spans="1:38" s="48" customFormat="1" ht="15.75" customHeight="1">
      <c r="A36" s="52" t="s">
        <v>21</v>
      </c>
      <c r="B36" s="60" t="s">
        <v>72</v>
      </c>
      <c r="C36" s="54">
        <f>+C10/C4</f>
        <v>12.4108</v>
      </c>
      <c r="D36" s="54">
        <f t="shared" ref="D36:H36" si="15">+D10/D4</f>
        <v>12.4108</v>
      </c>
      <c r="E36" s="54">
        <f t="shared" si="15"/>
        <v>12.4108</v>
      </c>
      <c r="F36" s="54">
        <f t="shared" si="15"/>
        <v>12.4108</v>
      </c>
      <c r="G36" s="54">
        <f t="shared" ref="G36" si="16">+G10/G4</f>
        <v>12.4108</v>
      </c>
      <c r="H36" s="54">
        <f t="shared" si="15"/>
        <v>12.4108</v>
      </c>
      <c r="I36" s="54">
        <f>+I10/I4</f>
        <v>12.4108</v>
      </c>
      <c r="J36" s="69"/>
      <c r="AK36" s="52" t="s">
        <v>24</v>
      </c>
      <c r="AL36" s="52" t="s">
        <v>72</v>
      </c>
    </row>
    <row r="37" spans="1:38" s="48" customFormat="1" ht="15.75" customHeight="1">
      <c r="A37" s="52" t="s">
        <v>67</v>
      </c>
      <c r="B37" s="60" t="s">
        <v>73</v>
      </c>
      <c r="C37" s="54">
        <f>+C11/C4</f>
        <v>83.936199999999999</v>
      </c>
      <c r="D37" s="54">
        <f t="shared" ref="D37:H37" si="17">+D11/D4</f>
        <v>83.936199999999999</v>
      </c>
      <c r="E37" s="54">
        <f t="shared" si="17"/>
        <v>83.936199999999999</v>
      </c>
      <c r="F37" s="54">
        <f t="shared" si="17"/>
        <v>83.936199999999999</v>
      </c>
      <c r="G37" s="54">
        <f t="shared" ref="G37" si="18">+G11/G4</f>
        <v>83.936199999999999</v>
      </c>
      <c r="H37" s="54">
        <f t="shared" si="17"/>
        <v>83.936199999999999</v>
      </c>
      <c r="I37" s="54">
        <f>+I11/I4</f>
        <v>83.936199999999999</v>
      </c>
      <c r="J37" s="69"/>
      <c r="AK37" s="52" t="s">
        <v>30</v>
      </c>
      <c r="AL37" s="52" t="s">
        <v>73</v>
      </c>
    </row>
    <row r="38" spans="1:38" s="48" customFormat="1" ht="15.75" customHeight="1">
      <c r="A38" s="52" t="s">
        <v>74</v>
      </c>
      <c r="B38" s="118" t="s">
        <v>75</v>
      </c>
      <c r="C38" s="54"/>
      <c r="D38" s="54"/>
      <c r="E38" s="54"/>
      <c r="F38" s="54"/>
      <c r="G38" s="54"/>
      <c r="H38" s="54"/>
      <c r="I38" s="54"/>
      <c r="J38" s="69"/>
      <c r="AK38" s="52" t="s">
        <v>74</v>
      </c>
      <c r="AL38" s="55" t="s">
        <v>75</v>
      </c>
    </row>
    <row r="39" spans="1:38" s="48" customFormat="1">
      <c r="A39" s="52" t="s">
        <v>19</v>
      </c>
      <c r="B39" s="60" t="s">
        <v>76</v>
      </c>
      <c r="C39" s="54">
        <f>+C13/C4</f>
        <v>740.65136314664437</v>
      </c>
      <c r="D39" s="54">
        <f t="shared" ref="D39:H39" si="19">+D13/D4</f>
        <v>714.00312625224478</v>
      </c>
      <c r="E39" s="54">
        <f t="shared" si="19"/>
        <v>688.15433646467773</v>
      </c>
      <c r="F39" s="54">
        <f t="shared" si="19"/>
        <v>663.08101037073766</v>
      </c>
      <c r="G39" s="54">
        <f t="shared" ref="G39" si="20">+G13/G4</f>
        <v>638.75988405961539</v>
      </c>
      <c r="H39" s="54">
        <f t="shared" si="19"/>
        <v>615.16839153782723</v>
      </c>
      <c r="I39" s="54">
        <f>+I13/I4</f>
        <v>661.03057585649776</v>
      </c>
      <c r="J39" s="69"/>
      <c r="AK39" s="52" t="s">
        <v>19</v>
      </c>
      <c r="AL39" s="52" t="s">
        <v>77</v>
      </c>
    </row>
    <row r="40" spans="1:38" s="48" customFormat="1" ht="15.75" customHeight="1">
      <c r="A40" s="52" t="s">
        <v>21</v>
      </c>
      <c r="B40" s="60" t="s">
        <v>78</v>
      </c>
      <c r="C40" s="113">
        <f t="shared" ref="C40:H40" si="21">+C21/C39</f>
        <v>1043.3256974199373</v>
      </c>
      <c r="D40" s="113">
        <f t="shared" si="21"/>
        <v>2568.4257289261895</v>
      </c>
      <c r="E40" s="113">
        <f t="shared" si="21"/>
        <v>2664.9021924664285</v>
      </c>
      <c r="F40" s="113">
        <f t="shared" si="21"/>
        <v>2765.6711190909564</v>
      </c>
      <c r="G40" s="113">
        <f t="shared" ref="G40" si="22">+G21/G39</f>
        <v>2870.9755351963299</v>
      </c>
      <c r="H40" s="113">
        <f t="shared" si="21"/>
        <v>5855.9624479316008</v>
      </c>
      <c r="I40" s="180">
        <f t="shared" ref="I40" si="23">+I21/I39</f>
        <v>17715.670088069026</v>
      </c>
      <c r="J40" s="69"/>
      <c r="AK40" s="52" t="s">
        <v>21</v>
      </c>
      <c r="AL40" s="52" t="s">
        <v>78</v>
      </c>
    </row>
    <row r="41" spans="1:38" s="48" customFormat="1" ht="15.75" customHeight="1">
      <c r="A41" s="52" t="s">
        <v>79</v>
      </c>
      <c r="B41" s="55" t="s">
        <v>80</v>
      </c>
      <c r="C41" s="59"/>
      <c r="D41" s="59"/>
      <c r="E41" s="59"/>
      <c r="F41" s="59"/>
      <c r="G41" s="59"/>
      <c r="H41" s="59"/>
      <c r="I41" s="59"/>
      <c r="J41" s="69"/>
      <c r="AK41" s="52" t="s">
        <v>79</v>
      </c>
      <c r="AL41" s="55" t="s">
        <v>80</v>
      </c>
    </row>
    <row r="42" spans="1:38" s="48" customFormat="1" ht="15.75" customHeight="1">
      <c r="A42" s="52" t="s">
        <v>19</v>
      </c>
      <c r="B42" s="52" t="s">
        <v>81</v>
      </c>
      <c r="C42" s="59">
        <f>+C15/C4</f>
        <v>168.04910000000001</v>
      </c>
      <c r="D42" s="59">
        <f t="shared" ref="D42:H42" si="24">+D15/D4</f>
        <v>160.4966</v>
      </c>
      <c r="E42" s="59">
        <f t="shared" si="24"/>
        <v>160.4966</v>
      </c>
      <c r="F42" s="59">
        <f t="shared" si="24"/>
        <v>160.4966</v>
      </c>
      <c r="G42" s="59">
        <f t="shared" ref="G42" si="25">+G15/G4</f>
        <v>160.4966</v>
      </c>
      <c r="H42" s="59">
        <f t="shared" si="24"/>
        <v>157.97909999999999</v>
      </c>
      <c r="I42" s="59">
        <f>+I15/I4</f>
        <v>160.18191250000001</v>
      </c>
      <c r="J42" s="69"/>
      <c r="AK42" s="52" t="s">
        <v>19</v>
      </c>
      <c r="AL42" s="52" t="s">
        <v>81</v>
      </c>
    </row>
    <row r="43" spans="1:38" s="48" customFormat="1" ht="15.75" customHeight="1">
      <c r="A43" s="52" t="s">
        <v>21</v>
      </c>
      <c r="B43" s="52" t="s">
        <v>82</v>
      </c>
      <c r="C43" s="59">
        <f>+C17/C4</f>
        <v>24.494999999999997</v>
      </c>
      <c r="D43" s="59">
        <f t="shared" ref="D43:H43" si="26">+D17/D4</f>
        <v>24.494999999999997</v>
      </c>
      <c r="E43" s="59">
        <f t="shared" si="26"/>
        <v>24.494999999999997</v>
      </c>
      <c r="F43" s="59">
        <f t="shared" si="26"/>
        <v>24.494999999999997</v>
      </c>
      <c r="G43" s="59">
        <f t="shared" ref="G43" si="27">+G17/G4</f>
        <v>24.494999999999997</v>
      </c>
      <c r="H43" s="59">
        <f t="shared" si="26"/>
        <v>24.494999999999997</v>
      </c>
      <c r="I43" s="59">
        <f>+I17/I4</f>
        <v>9.1856249999999982</v>
      </c>
      <c r="J43" s="69"/>
      <c r="AK43" s="52" t="s">
        <v>21</v>
      </c>
      <c r="AL43" s="52" t="s">
        <v>82</v>
      </c>
    </row>
    <row r="44" spans="1:38" s="48" customFormat="1" ht="15.75" customHeight="1">
      <c r="A44" s="52" t="s">
        <v>67</v>
      </c>
      <c r="B44" s="52" t="s">
        <v>83</v>
      </c>
      <c r="C44" s="59">
        <f>+C18/C4</f>
        <v>98.306599999999989</v>
      </c>
      <c r="D44" s="59">
        <f t="shared" ref="D44:H44" si="28">+D18/D4</f>
        <v>98.306599999999989</v>
      </c>
      <c r="E44" s="59">
        <f t="shared" si="28"/>
        <v>98.306599999999989</v>
      </c>
      <c r="F44" s="59">
        <f t="shared" si="28"/>
        <v>98.306599999999989</v>
      </c>
      <c r="G44" s="59">
        <f t="shared" ref="G44" si="29">+G18/G4</f>
        <v>98.306599999999989</v>
      </c>
      <c r="H44" s="59">
        <f t="shared" si="28"/>
        <v>98.306599999999989</v>
      </c>
      <c r="I44" s="59">
        <f>+I18/I4</f>
        <v>98.306599999999989</v>
      </c>
      <c r="J44" s="69"/>
      <c r="AK44" s="52" t="s">
        <v>67</v>
      </c>
      <c r="AL44" s="52" t="s">
        <v>83</v>
      </c>
    </row>
    <row r="45" spans="1:38" s="48" customFormat="1" ht="15.75" customHeight="1">
      <c r="A45" s="52" t="s">
        <v>24</v>
      </c>
      <c r="B45" s="52" t="s">
        <v>84</v>
      </c>
      <c r="C45" s="59"/>
      <c r="D45" s="59"/>
      <c r="E45" s="59"/>
      <c r="F45" s="59"/>
      <c r="G45" s="59"/>
      <c r="H45" s="59"/>
      <c r="I45" s="59"/>
      <c r="J45" s="69"/>
      <c r="AK45" s="52" t="s">
        <v>24</v>
      </c>
      <c r="AL45" s="52" t="s">
        <v>85</v>
      </c>
    </row>
    <row r="46" spans="1:38" s="48" customFormat="1" ht="15.75" customHeight="1">
      <c r="A46" s="52" t="s">
        <v>27</v>
      </c>
      <c r="B46" s="52" t="s">
        <v>86</v>
      </c>
      <c r="C46" s="59"/>
      <c r="D46" s="59"/>
      <c r="E46" s="59"/>
      <c r="F46" s="59"/>
      <c r="G46" s="59"/>
      <c r="H46" s="59"/>
      <c r="I46" s="59"/>
      <c r="J46" s="69"/>
      <c r="AK46" s="52" t="s">
        <v>27</v>
      </c>
      <c r="AL46" s="52" t="s">
        <v>86</v>
      </c>
    </row>
    <row r="47" spans="1:38" s="48" customFormat="1" ht="15.75" customHeight="1">
      <c r="A47" s="52" t="s">
        <v>87</v>
      </c>
      <c r="B47" s="55" t="s">
        <v>88</v>
      </c>
      <c r="C47" s="59"/>
      <c r="D47" s="59"/>
      <c r="E47" s="59"/>
      <c r="F47" s="59"/>
      <c r="G47" s="59"/>
      <c r="H47" s="59"/>
      <c r="I47" s="59"/>
      <c r="J47" s="69"/>
      <c r="AK47" s="52" t="s">
        <v>87</v>
      </c>
      <c r="AL47" s="55" t="s">
        <v>88</v>
      </c>
    </row>
    <row r="48" spans="1:38" s="48" customFormat="1" ht="15.75" customHeight="1">
      <c r="A48" s="52" t="s">
        <v>19</v>
      </c>
      <c r="B48" s="52" t="s">
        <v>89</v>
      </c>
      <c r="C48" s="130">
        <f>+(C11+C17)/C7</f>
        <v>3.32E-2</v>
      </c>
      <c r="D48" s="130">
        <f t="shared" ref="D48:H48" si="30">+(D11+D17)/D7</f>
        <v>3.4226804123711339E-2</v>
      </c>
      <c r="E48" s="130">
        <f t="shared" si="30"/>
        <v>3.5285365075991067E-2</v>
      </c>
      <c r="F48" s="130">
        <f t="shared" si="30"/>
        <v>3.6376665026794916E-2</v>
      </c>
      <c r="G48" s="130">
        <f t="shared" ref="G48" si="31">+(G11+G17)/G7</f>
        <v>3.7501716522468996E-2</v>
      </c>
      <c r="H48" s="130">
        <f t="shared" si="30"/>
        <v>3.866156342522576E-2</v>
      </c>
      <c r="I48" s="130">
        <f>+(I11+I17)/I7</f>
        <v>3.131986671909532E-2</v>
      </c>
      <c r="J48" s="69"/>
      <c r="AK48" s="52" t="s">
        <v>19</v>
      </c>
      <c r="AL48" s="52" t="s">
        <v>89</v>
      </c>
    </row>
    <row r="49" spans="1:38" s="48" customFormat="1" ht="15.75" customHeight="1">
      <c r="A49" s="52" t="s">
        <v>21</v>
      </c>
      <c r="B49" s="52" t="s">
        <v>90</v>
      </c>
      <c r="C49" s="130">
        <f>+(C9+C10+C15)/C7</f>
        <v>7.09541028781384E-2</v>
      </c>
      <c r="D49" s="130">
        <f t="shared" ref="D49:H49" si="32">+(D9+D10+D15)/D7</f>
        <v>7.0764578506448822E-2</v>
      </c>
      <c r="E49" s="130">
        <f t="shared" si="32"/>
        <v>7.295317371798847E-2</v>
      </c>
      <c r="F49" s="130">
        <f t="shared" si="32"/>
        <v>7.520945744122523E-2</v>
      </c>
      <c r="G49" s="130">
        <f t="shared" ref="G49" si="33">+(G9+G10+G15)/G7</f>
        <v>7.7535523135283752E-2</v>
      </c>
      <c r="H49" s="130">
        <f t="shared" si="32"/>
        <v>7.9035904650805636E-2</v>
      </c>
      <c r="I49" s="130">
        <f>+(I9+I10+I15)/I7</f>
        <v>7.5294320123653211E-2</v>
      </c>
      <c r="J49" s="69"/>
      <c r="AK49" s="52" t="s">
        <v>21</v>
      </c>
      <c r="AL49" s="52" t="s">
        <v>90</v>
      </c>
    </row>
    <row r="50" spans="1:38" s="48" customFormat="1" ht="15.75" customHeight="1">
      <c r="A50" s="52" t="s">
        <v>67</v>
      </c>
      <c r="B50" s="52" t="s">
        <v>91</v>
      </c>
      <c r="C50" s="130">
        <f>+C18/C7</f>
        <v>3.0099999999999998E-2</v>
      </c>
      <c r="D50" s="130">
        <f t="shared" ref="D50:H50" si="34">+D18/D7</f>
        <v>3.1030927835051542E-2</v>
      </c>
      <c r="E50" s="130">
        <f t="shared" si="34"/>
        <v>3.1990647252630455E-2</v>
      </c>
      <c r="F50" s="130">
        <f t="shared" si="34"/>
        <v>3.298004871405201E-2</v>
      </c>
      <c r="G50" s="130">
        <f t="shared" ref="G50" si="35">+G18/G7</f>
        <v>3.4000050220672186E-2</v>
      </c>
      <c r="H50" s="130">
        <f t="shared" si="34"/>
        <v>3.5051598165641427E-2</v>
      </c>
      <c r="I50" s="130">
        <f>+I18/I7</f>
        <v>3.3063673414985326E-2</v>
      </c>
      <c r="J50" s="69"/>
      <c r="AK50" s="52" t="s">
        <v>67</v>
      </c>
      <c r="AL50" s="52" t="s">
        <v>91</v>
      </c>
    </row>
    <row r="51" spans="1:38" s="48" customFormat="1" ht="15.75" customHeight="1">
      <c r="A51" s="52" t="s">
        <v>24</v>
      </c>
      <c r="B51" s="52" t="s">
        <v>92</v>
      </c>
      <c r="C51" s="130">
        <f>+C19/C7</f>
        <v>6.1466625842008576E-3</v>
      </c>
      <c r="D51" s="130">
        <f t="shared" ref="D51:H51" si="36">+D19/D7</f>
        <v>2.5347062202890134E-3</v>
      </c>
      <c r="E51" s="130">
        <f t="shared" si="36"/>
        <v>2.6130991961742403E-3</v>
      </c>
      <c r="F51" s="130">
        <f t="shared" si="36"/>
        <v>2.6939166970868455E-3</v>
      </c>
      <c r="G51" s="130">
        <f t="shared" ref="G51" si="37">+G19/G7</f>
        <v>2.7772337083369547E-3</v>
      </c>
      <c r="H51" s="130">
        <f t="shared" si="36"/>
        <v>1.4315637671839972E-3</v>
      </c>
      <c r="I51" s="130">
        <f>+I19/I7</f>
        <v>2.5319507177258335E-3</v>
      </c>
      <c r="J51" s="69"/>
      <c r="AK51" s="52" t="s">
        <v>24</v>
      </c>
      <c r="AL51" s="52" t="s">
        <v>92</v>
      </c>
    </row>
    <row r="52" spans="1:38" s="48" customFormat="1" ht="15.75" customHeight="1">
      <c r="A52" s="52" t="s">
        <v>27</v>
      </c>
      <c r="B52" s="52" t="s">
        <v>93</v>
      </c>
      <c r="C52" s="130">
        <f>+C20/C7</f>
        <v>2.3099999999999999E-2</v>
      </c>
      <c r="D52" s="130">
        <f t="shared" ref="D52:H52" si="38">+D20/D7</f>
        <v>2.3814432989690718E-2</v>
      </c>
      <c r="E52" s="130">
        <f t="shared" si="38"/>
        <v>2.4550961845041974E-2</v>
      </c>
      <c r="F52" s="130">
        <f t="shared" si="38"/>
        <v>2.5310269943342241E-2</v>
      </c>
      <c r="G52" s="130">
        <f t="shared" ref="G52" si="39">+G20/G7</f>
        <v>2.6093061797260047E-2</v>
      </c>
      <c r="H52" s="130">
        <f t="shared" si="38"/>
        <v>2.6900063708515512E-2</v>
      </c>
      <c r="I52" s="130">
        <f>+I20/I7</f>
        <v>2.5374447039407343E-2</v>
      </c>
      <c r="J52" s="69"/>
      <c r="AK52" s="52" t="s">
        <v>27</v>
      </c>
      <c r="AL52" s="52" t="s">
        <v>93</v>
      </c>
    </row>
    <row r="53" spans="1:38" s="48" customFormat="1" ht="15.75" customHeight="1">
      <c r="A53" s="52" t="s">
        <v>30</v>
      </c>
      <c r="B53" s="52" t="s">
        <v>94</v>
      </c>
      <c r="C53" s="130">
        <f>+C24/C7</f>
        <v>8.1356643404771362E-2</v>
      </c>
      <c r="D53" s="130">
        <f t="shared" ref="D53:H53" si="40">+D24/D7</f>
        <v>8.2203630245132164E-2</v>
      </c>
      <c r="E53" s="130">
        <f t="shared" si="40"/>
        <v>7.843728218565614E-2</v>
      </c>
      <c r="F53" s="130">
        <f t="shared" si="40"/>
        <v>7.4554449134649925E-2</v>
      </c>
      <c r="G53" s="130">
        <f t="shared" ref="G53" si="41">+G24/G7</f>
        <v>7.0551528463509414E-2</v>
      </c>
      <c r="H53" s="130">
        <f t="shared" si="40"/>
        <v>6.8171697213496668E-2</v>
      </c>
      <c r="I53" s="130">
        <f>+I24/I7</f>
        <v>7.4432247350855296E-2</v>
      </c>
      <c r="J53" s="69"/>
      <c r="AK53" s="52" t="s">
        <v>30</v>
      </c>
      <c r="AL53" s="52" t="s">
        <v>95</v>
      </c>
    </row>
    <row r="54" spans="1:38" s="48" customFormat="1" ht="15.75" customHeight="1">
      <c r="A54" s="52" t="s">
        <v>96</v>
      </c>
      <c r="B54" s="55" t="s">
        <v>97</v>
      </c>
      <c r="C54" s="59">
        <f>+C22/C4</f>
        <v>354.28106314664433</v>
      </c>
      <c r="D54" s="59">
        <f t="shared" ref="D54:H54" si="42">+D22/D4</f>
        <v>347.23032625224477</v>
      </c>
      <c r="E54" s="59">
        <f t="shared" si="42"/>
        <v>321.38153646467777</v>
      </c>
      <c r="F54" s="59">
        <f t="shared" si="42"/>
        <v>296.3082103707377</v>
      </c>
      <c r="G54" s="59">
        <f t="shared" ref="G54" si="43">+G22/G4</f>
        <v>271.98708405961543</v>
      </c>
      <c r="H54" s="59">
        <f t="shared" si="42"/>
        <v>254.92809153782724</v>
      </c>
      <c r="I54" s="59">
        <f>+I22/I4</f>
        <v>295.07433835649778</v>
      </c>
      <c r="J54" s="69"/>
      <c r="AK54" s="52" t="s">
        <v>96</v>
      </c>
      <c r="AL54" s="55" t="s">
        <v>97</v>
      </c>
    </row>
    <row r="55" spans="1:38" s="48" customFormat="1" ht="15.75" customHeight="1">
      <c r="A55" s="52" t="s">
        <v>98</v>
      </c>
      <c r="B55" s="131" t="s">
        <v>99</v>
      </c>
      <c r="C55" s="59"/>
      <c r="D55" s="59"/>
      <c r="E55" s="59"/>
      <c r="F55" s="59"/>
      <c r="G55" s="59"/>
      <c r="H55" s="59"/>
      <c r="I55" s="59"/>
      <c r="J55" s="69"/>
      <c r="AK55" s="52"/>
      <c r="AL55" s="55"/>
    </row>
    <row r="56" spans="1:38" s="48" customFormat="1" ht="15.75" customHeight="1">
      <c r="A56" s="52" t="s">
        <v>19</v>
      </c>
      <c r="B56" s="52" t="s">
        <v>100</v>
      </c>
      <c r="C56" s="59">
        <f>C57+C58</f>
        <v>399900</v>
      </c>
      <c r="D56" s="59"/>
      <c r="E56" s="59"/>
      <c r="F56" s="59"/>
      <c r="G56" s="59"/>
      <c r="H56" s="59"/>
      <c r="I56" s="59"/>
      <c r="J56" s="69"/>
    </row>
    <row r="57" spans="1:38" s="48" customFormat="1" ht="15.75" customHeight="1">
      <c r="A57" s="52">
        <v>1.1000000000000001</v>
      </c>
      <c r="B57" s="132" t="s">
        <v>101</v>
      </c>
      <c r="C57" s="59">
        <f>项目投资!B27</f>
        <v>240900</v>
      </c>
      <c r="D57" s="59"/>
      <c r="E57" s="59"/>
      <c r="F57" s="59"/>
      <c r="G57" s="59"/>
      <c r="H57" s="59"/>
      <c r="I57" s="59"/>
      <c r="J57" s="69"/>
    </row>
    <row r="58" spans="1:38" s="48" customFormat="1" ht="15.75" customHeight="1">
      <c r="A58" s="52">
        <v>1.2</v>
      </c>
      <c r="B58" s="52" t="s">
        <v>102</v>
      </c>
      <c r="C58" s="59">
        <f>项目投资!B26</f>
        <v>159000</v>
      </c>
      <c r="D58" s="59"/>
      <c r="E58" s="59"/>
      <c r="F58" s="59"/>
      <c r="G58" s="59"/>
      <c r="H58" s="59"/>
      <c r="I58" s="59"/>
      <c r="J58" s="69"/>
    </row>
    <row r="59" spans="1:38" ht="15.75" customHeight="1">
      <c r="A59" s="119" t="s">
        <v>21</v>
      </c>
      <c r="B59" s="119" t="s">
        <v>103</v>
      </c>
      <c r="C59" s="133">
        <f t="shared" ref="C59:H59" si="44">C60+C61</f>
        <v>556596.59471996652</v>
      </c>
      <c r="D59" s="133">
        <f t="shared" si="44"/>
        <v>1327288.7234459179</v>
      </c>
      <c r="E59" s="133">
        <f t="shared" si="44"/>
        <v>1230355.7617425416</v>
      </c>
      <c r="F59" s="133">
        <f t="shared" si="44"/>
        <v>1136330.7888902663</v>
      </c>
      <c r="G59" s="133">
        <f t="shared" ref="G59" si="45">G60+G61</f>
        <v>1045126.5652235579</v>
      </c>
      <c r="H59" s="133">
        <f t="shared" si="44"/>
        <v>1937135.6865337044</v>
      </c>
      <c r="I59" s="133">
        <f t="shared" ref="I59" si="46">I60+I61</f>
        <v>7232834.1205559466</v>
      </c>
      <c r="J59" s="69"/>
    </row>
    <row r="60" spans="1:38" ht="15.75" customHeight="1">
      <c r="A60" s="119" t="s">
        <v>67</v>
      </c>
      <c r="B60" s="119" t="s">
        <v>104</v>
      </c>
      <c r="C60" s="133">
        <f t="shared" ref="C60:H60" si="47">C24</f>
        <v>531421.59471996652</v>
      </c>
      <c r="D60" s="133">
        <f t="shared" si="47"/>
        <v>1302113.7234459179</v>
      </c>
      <c r="E60" s="133">
        <f t="shared" si="47"/>
        <v>1205180.7617425416</v>
      </c>
      <c r="F60" s="133">
        <f t="shared" si="47"/>
        <v>1111155.7888902663</v>
      </c>
      <c r="G60" s="133">
        <f t="shared" ref="G60" si="48">G24</f>
        <v>1019951.5652235579</v>
      </c>
      <c r="H60" s="133">
        <f t="shared" si="47"/>
        <v>1911960.6865337044</v>
      </c>
      <c r="I60" s="133">
        <f t="shared" ref="I60" si="49">I24</f>
        <v>7081784.1205559466</v>
      </c>
      <c r="J60" s="69"/>
    </row>
    <row r="61" spans="1:38" ht="15.75" customHeight="1">
      <c r="A61" s="119" t="s">
        <v>24</v>
      </c>
      <c r="B61" s="119" t="s">
        <v>105</v>
      </c>
      <c r="C61" s="133">
        <f>'2023年'!I18</f>
        <v>25175</v>
      </c>
      <c r="D61" s="133">
        <f>'2024年'!I18</f>
        <v>25175</v>
      </c>
      <c r="E61" s="133">
        <f>'2025年'!I18</f>
        <v>25175</v>
      </c>
      <c r="F61" s="133">
        <f>'2026年'!I18</f>
        <v>25175</v>
      </c>
      <c r="G61" s="133">
        <f>'2027年'!I18</f>
        <v>25175</v>
      </c>
      <c r="H61" s="133">
        <f>'2028年'!I18</f>
        <v>25175</v>
      </c>
      <c r="I61" s="133">
        <f>项目投资!J26</f>
        <v>151050</v>
      </c>
      <c r="J61" s="69"/>
    </row>
    <row r="62" spans="1:38" ht="15.75" customHeight="1">
      <c r="A62" s="119" t="s">
        <v>27</v>
      </c>
      <c r="B62" s="119" t="s">
        <v>106</v>
      </c>
      <c r="C62" s="134"/>
      <c r="D62" s="134"/>
      <c r="E62" s="134"/>
      <c r="F62" s="134"/>
      <c r="G62" s="134"/>
      <c r="H62" s="134"/>
      <c r="I62" s="133"/>
      <c r="J62" s="69"/>
    </row>
    <row r="64" spans="1:38">
      <c r="B64"/>
    </row>
  </sheetData>
  <mergeCells count="3">
    <mergeCell ref="A1:I1"/>
    <mergeCell ref="A3:A4"/>
    <mergeCell ref="C2:F2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107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108</v>
      </c>
      <c r="B2" s="77"/>
    </row>
    <row r="3" spans="1:13" ht="16.899999999999999" customHeight="1">
      <c r="A3" s="78" t="s">
        <v>14</v>
      </c>
      <c r="B3" s="78" t="s">
        <v>109</v>
      </c>
      <c r="C3" s="217" t="s">
        <v>110</v>
      </c>
      <c r="D3" s="217"/>
      <c r="E3" s="217"/>
      <c r="F3" s="80"/>
      <c r="G3" s="81"/>
      <c r="H3" s="82"/>
      <c r="I3" s="82"/>
      <c r="J3" s="82" t="s">
        <v>111</v>
      </c>
      <c r="K3" s="82"/>
      <c r="L3" s="82"/>
      <c r="M3" s="103"/>
    </row>
    <row r="4" spans="1:13" ht="16.149999999999999" customHeight="1">
      <c r="A4" s="83"/>
      <c r="B4" s="83" t="s">
        <v>112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113</v>
      </c>
    </row>
    <row r="5" spans="1:13" ht="15.6" customHeight="1">
      <c r="A5" s="85">
        <v>1</v>
      </c>
      <c r="B5" s="86" t="s">
        <v>114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6532000</v>
      </c>
      <c r="G5" s="87">
        <f t="shared" si="1"/>
        <v>16330000</v>
      </c>
      <c r="H5" s="87">
        <f t="shared" si="1"/>
        <v>16330000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104512000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115</v>
      </c>
      <c r="C6" s="89"/>
      <c r="D6" s="89"/>
      <c r="E6" s="89" t="e">
        <f>损益表!#REF!</f>
        <v>#REF!</v>
      </c>
      <c r="F6" s="89">
        <f>损益表!C5</f>
        <v>6532000</v>
      </c>
      <c r="G6" s="89">
        <f>损益表!D5</f>
        <v>16330000</v>
      </c>
      <c r="H6" s="89">
        <f>损益表!E5</f>
        <v>16330000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损益表!I5</f>
        <v>104512000</v>
      </c>
      <c r="M6" s="91" t="e">
        <f t="shared" si="2"/>
        <v>#REF!</v>
      </c>
    </row>
    <row r="7" spans="1:13" ht="15.6" customHeight="1">
      <c r="A7" s="85">
        <v>1.2</v>
      </c>
      <c r="B7" s="88" t="s">
        <v>116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117</v>
      </c>
      <c r="C8" s="89" t="s">
        <v>118</v>
      </c>
      <c r="D8" s="89" t="s">
        <v>118</v>
      </c>
      <c r="E8" s="89" t="s">
        <v>118</v>
      </c>
      <c r="F8" s="89" t="s">
        <v>118</v>
      </c>
      <c r="G8" s="89" t="s">
        <v>118</v>
      </c>
      <c r="H8" s="89" t="s">
        <v>118</v>
      </c>
      <c r="I8" s="89" t="s">
        <v>118</v>
      </c>
      <c r="J8" s="89" t="s">
        <v>118</v>
      </c>
      <c r="K8" s="89" t="s">
        <v>118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119</v>
      </c>
      <c r="C9" s="89" t="s">
        <v>118</v>
      </c>
      <c r="D9" s="89" t="s">
        <v>118</v>
      </c>
      <c r="E9" s="89" t="s">
        <v>118</v>
      </c>
      <c r="F9" s="89" t="s">
        <v>118</v>
      </c>
      <c r="G9" s="89" t="s">
        <v>118</v>
      </c>
      <c r="H9" s="89" t="s">
        <v>118</v>
      </c>
      <c r="I9" s="89" t="s">
        <v>118</v>
      </c>
      <c r="J9" s="89" t="s">
        <v>118</v>
      </c>
      <c r="K9" s="89" t="s">
        <v>118</v>
      </c>
      <c r="L9" s="89" t="s">
        <v>118</v>
      </c>
      <c r="M9" s="91">
        <f t="shared" si="2"/>
        <v>0</v>
      </c>
    </row>
    <row r="10" spans="1:13" ht="15.6" customHeight="1">
      <c r="A10" s="90">
        <v>2</v>
      </c>
      <c r="B10" s="86" t="s">
        <v>120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121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122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123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124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54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125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126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6532000</v>
      </c>
      <c r="G17" s="87">
        <f t="shared" si="4"/>
        <v>16330000</v>
      </c>
      <c r="H17" s="87">
        <f t="shared" si="4"/>
        <v>16330000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104512000</v>
      </c>
      <c r="M17" s="91" t="e">
        <f t="shared" si="2"/>
        <v>#REF!</v>
      </c>
    </row>
    <row r="18" spans="1:18" ht="12">
      <c r="A18" s="92">
        <v>4</v>
      </c>
      <c r="B18" s="88" t="s">
        <v>127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118</v>
      </c>
    </row>
    <row r="19" spans="1:18" s="72" customFormat="1" ht="12">
      <c r="A19" s="92">
        <v>5</v>
      </c>
      <c r="B19" s="88" t="s">
        <v>128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6532000</v>
      </c>
      <c r="G19" s="89">
        <f t="shared" si="6"/>
        <v>16330000</v>
      </c>
      <c r="H19" s="89">
        <f t="shared" si="6"/>
        <v>16330000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104512000</v>
      </c>
      <c r="M19" s="91" t="e">
        <f>SUM(C19:L19)</f>
        <v>#REF!</v>
      </c>
    </row>
    <row r="20" spans="1:18" s="72" customFormat="1" ht="12">
      <c r="A20" s="85">
        <v>6</v>
      </c>
      <c r="B20" s="88" t="s">
        <v>129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118</v>
      </c>
    </row>
    <row r="21" spans="1:18" ht="12">
      <c r="A21" s="93"/>
      <c r="B21" s="94" t="s">
        <v>130</v>
      </c>
      <c r="C21" s="94"/>
      <c r="D21" s="94"/>
      <c r="E21" s="94" t="s">
        <v>131</v>
      </c>
      <c r="F21" s="94"/>
      <c r="G21" s="94"/>
      <c r="H21" s="94"/>
      <c r="I21" s="94" t="s">
        <v>132</v>
      </c>
      <c r="J21" s="94"/>
      <c r="K21" s="94"/>
      <c r="L21" s="94"/>
      <c r="M21" s="105"/>
    </row>
    <row r="22" spans="1:18" ht="12">
      <c r="A22" s="95"/>
      <c r="B22" s="96" t="s">
        <v>133</v>
      </c>
      <c r="C22" s="96"/>
      <c r="D22" s="97" t="s">
        <v>134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135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136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11" sqref="E11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8" t="s">
        <v>137</v>
      </c>
      <c r="B1" s="218"/>
      <c r="C1" s="222" t="s">
        <v>250</v>
      </c>
      <c r="D1" s="223"/>
      <c r="E1" s="223"/>
      <c r="F1" s="223"/>
      <c r="G1" s="223"/>
      <c r="H1" s="223"/>
      <c r="I1" s="224"/>
    </row>
    <row r="2" spans="1:38">
      <c r="A2" s="218" t="s">
        <v>138</v>
      </c>
      <c r="B2" s="218"/>
      <c r="C2" s="225" t="s">
        <v>228</v>
      </c>
      <c r="D2" s="225"/>
      <c r="E2" s="225"/>
      <c r="F2" s="225"/>
      <c r="G2" s="225"/>
      <c r="H2" s="225"/>
      <c r="I2" s="225"/>
    </row>
    <row r="3" spans="1:38">
      <c r="A3" s="218" t="s">
        <v>139</v>
      </c>
      <c r="B3" s="218"/>
      <c r="C3" s="160" t="str">
        <f>销量!C5</f>
        <v>驾驶员座总成</v>
      </c>
      <c r="D3" s="160">
        <f>销量!D5</f>
        <v>0</v>
      </c>
      <c r="E3" s="160">
        <f>销量!E5</f>
        <v>0</v>
      </c>
      <c r="F3" s="160">
        <f>销量!F5</f>
        <v>0</v>
      </c>
      <c r="G3" s="160">
        <f>销量!G5</f>
        <v>0</v>
      </c>
      <c r="H3" s="160">
        <f>销量!H5</f>
        <v>0</v>
      </c>
      <c r="I3" s="219" t="s">
        <v>15</v>
      </c>
    </row>
    <row r="4" spans="1:38" ht="28.5">
      <c r="A4" s="218" t="s">
        <v>140</v>
      </c>
      <c r="B4" s="218"/>
      <c r="C4" s="160" t="str">
        <f>销量!C6</f>
        <v>6800010NH43-C00/A</v>
      </c>
      <c r="D4" s="160">
        <f>销量!D6</f>
        <v>0</v>
      </c>
      <c r="E4" s="160">
        <f>销量!E6</f>
        <v>0</v>
      </c>
      <c r="F4" s="160">
        <f>销量!F6</f>
        <v>0</v>
      </c>
      <c r="G4" s="160">
        <f>销量!G6</f>
        <v>0</v>
      </c>
      <c r="H4" s="160">
        <f>销量!H6</f>
        <v>0</v>
      </c>
      <c r="I4" s="220"/>
    </row>
    <row r="5" spans="1:38">
      <c r="A5" s="218" t="s">
        <v>141</v>
      </c>
      <c r="B5" s="218"/>
      <c r="C5" s="51"/>
      <c r="D5" s="51"/>
      <c r="E5" s="51"/>
      <c r="F5" s="51"/>
      <c r="G5" s="51"/>
      <c r="H5" s="51"/>
      <c r="I5" s="221"/>
      <c r="AL5" s="48" t="s">
        <v>16</v>
      </c>
    </row>
    <row r="6" spans="1:38" ht="17.25">
      <c r="A6" s="52" t="s">
        <v>14</v>
      </c>
      <c r="B6" s="53" t="s">
        <v>142</v>
      </c>
      <c r="C6" s="21">
        <f>销量!C9</f>
        <v>2000</v>
      </c>
      <c r="D6" s="21">
        <f>销量!D9</f>
        <v>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4">
        <f>SUM(C6:H6)</f>
        <v>2000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50">
        <v>1</v>
      </c>
      <c r="B7" s="53" t="s">
        <v>18</v>
      </c>
      <c r="C7" s="54">
        <f>C6*销量!C8</f>
        <v>6532000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6532000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50">
        <v>2</v>
      </c>
      <c r="B8" s="50" t="s">
        <v>20</v>
      </c>
      <c r="C8" s="54"/>
      <c r="D8" s="54"/>
      <c r="E8" s="54"/>
      <c r="F8" s="54"/>
      <c r="G8" s="54"/>
      <c r="H8" s="54"/>
      <c r="I8" s="54">
        <f>SUM(C8:H8)</f>
        <v>0</v>
      </c>
      <c r="J8" s="69"/>
      <c r="T8" s="50" t="s">
        <v>22</v>
      </c>
      <c r="AJ8" s="52" t="s">
        <v>21</v>
      </c>
      <c r="AK8" s="50" t="s">
        <v>22</v>
      </c>
      <c r="AL8" s="48" t="s">
        <v>17</v>
      </c>
    </row>
    <row r="9" spans="1:38">
      <c r="A9" s="50">
        <v>3</v>
      </c>
      <c r="B9" s="53" t="s">
        <v>23</v>
      </c>
      <c r="C9" s="54">
        <f>+C7-C8</f>
        <v>6532000</v>
      </c>
      <c r="D9" s="54">
        <f t="shared" ref="D9:H9" si="0">+D7-D8</f>
        <v>0</v>
      </c>
      <c r="E9" s="54">
        <f t="shared" si="0"/>
        <v>0</v>
      </c>
      <c r="F9" s="54">
        <f t="shared" si="0"/>
        <v>0</v>
      </c>
      <c r="G9" s="54">
        <f t="shared" si="0"/>
        <v>0</v>
      </c>
      <c r="H9" s="54">
        <f t="shared" si="0"/>
        <v>0</v>
      </c>
      <c r="I9" s="54">
        <f>SUM(C9:H9)</f>
        <v>6532000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50">
        <v>4</v>
      </c>
      <c r="B10" s="52" t="s">
        <v>26</v>
      </c>
      <c r="C10" s="54">
        <f>C6*C33</f>
        <v>4755450.8737067115</v>
      </c>
      <c r="D10" s="54">
        <f t="shared" ref="D10:H10" si="1">D6*D33</f>
        <v>0</v>
      </c>
      <c r="E10" s="54">
        <f t="shared" si="1"/>
        <v>0</v>
      </c>
      <c r="F10" s="54">
        <f t="shared" si="1"/>
        <v>0</v>
      </c>
      <c r="G10" s="54">
        <f t="shared" si="1"/>
        <v>0</v>
      </c>
      <c r="H10" s="54">
        <f t="shared" si="1"/>
        <v>0</v>
      </c>
      <c r="I10" s="54">
        <f>SUM(C10:H10)</f>
        <v>4755450.8737067115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50">
        <v>5</v>
      </c>
      <c r="B11" s="52" t="s">
        <v>29</v>
      </c>
      <c r="C11" s="54">
        <f>+C6*C36</f>
        <v>102552.4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ref="I11:I15" si="3">SUM(C11:H11)</f>
        <v>102552.4</v>
      </c>
      <c r="T11" s="52" t="s">
        <v>29</v>
      </c>
      <c r="AJ11" s="52" t="s">
        <v>30</v>
      </c>
      <c r="AK11" s="52" t="s">
        <v>29</v>
      </c>
    </row>
    <row r="12" spans="1:38">
      <c r="A12" s="50">
        <v>6</v>
      </c>
      <c r="B12" s="52" t="s">
        <v>31</v>
      </c>
      <c r="C12" s="54">
        <f>+C6*C37</f>
        <v>24821.599999999999</v>
      </c>
      <c r="D12" s="54">
        <f t="shared" ref="D12:H12" si="4">+D6*D37</f>
        <v>0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3"/>
        <v>24821.599999999999</v>
      </c>
      <c r="T12" s="52" t="s">
        <v>31</v>
      </c>
      <c r="AJ12" s="52" t="s">
        <v>32</v>
      </c>
      <c r="AK12" s="52" t="s">
        <v>31</v>
      </c>
    </row>
    <row r="13" spans="1:38">
      <c r="A13" s="50">
        <v>7</v>
      </c>
      <c r="B13" s="52" t="s">
        <v>33</v>
      </c>
      <c r="C13" s="54">
        <f>+C6*C38</f>
        <v>167872.4</v>
      </c>
      <c r="D13" s="54">
        <f t="shared" ref="D13:H13" si="5">+D6*D38</f>
        <v>0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3"/>
        <v>167872.4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50">
        <v>8</v>
      </c>
      <c r="B14" s="55" t="s">
        <v>35</v>
      </c>
      <c r="C14" s="54">
        <f>SUM(C11:C13)</f>
        <v>295246.40000000002</v>
      </c>
      <c r="D14" s="54">
        <f t="shared" ref="D14:H14" si="6">SUM(D11:D13)</f>
        <v>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3"/>
        <v>295246.40000000002</v>
      </c>
      <c r="T14" s="55" t="s">
        <v>35</v>
      </c>
      <c r="AJ14" s="52" t="s">
        <v>36</v>
      </c>
      <c r="AK14" s="55" t="s">
        <v>35</v>
      </c>
    </row>
    <row r="15" spans="1:38">
      <c r="A15" s="50">
        <v>9</v>
      </c>
      <c r="B15" s="55" t="s">
        <v>37</v>
      </c>
      <c r="C15" s="54">
        <f>+C9-C10-C14</f>
        <v>1481302.7262932886</v>
      </c>
      <c r="D15" s="54">
        <f t="shared" ref="D15:H15" si="7">+D9-D10-D14</f>
        <v>0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3"/>
        <v>1481302.7262932886</v>
      </c>
      <c r="T15" s="55" t="s">
        <v>37</v>
      </c>
      <c r="AJ15" s="52" t="s">
        <v>38</v>
      </c>
      <c r="AK15" s="55" t="s">
        <v>37</v>
      </c>
    </row>
    <row r="16" spans="1:38">
      <c r="A16" s="50">
        <v>10</v>
      </c>
      <c r="B16" s="52" t="s">
        <v>39</v>
      </c>
      <c r="C16" s="56">
        <f>+C15/C9</f>
        <v>0.22677629000203439</v>
      </c>
      <c r="D16" s="56" t="e">
        <f t="shared" ref="D16:H16" si="8">+D15/D9</f>
        <v>#DIV/0!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0.22677629000203439</v>
      </c>
      <c r="T16" s="52" t="s">
        <v>39</v>
      </c>
      <c r="AJ16" s="52" t="s">
        <v>40</v>
      </c>
      <c r="AK16" s="52" t="s">
        <v>39</v>
      </c>
    </row>
    <row r="17" spans="1:38">
      <c r="A17" s="50">
        <v>11</v>
      </c>
      <c r="B17" s="52" t="s">
        <v>41</v>
      </c>
      <c r="C17" s="54">
        <f>C6*C43+C18</f>
        <v>336098.2</v>
      </c>
      <c r="D17" s="54">
        <f t="shared" ref="D17:H17" si="10">D6*D43+D18</f>
        <v>0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>SUM(C17:H17)</f>
        <v>336098.2</v>
      </c>
      <c r="J17" s="168"/>
      <c r="K17" s="169"/>
      <c r="L17" s="169"/>
      <c r="T17" s="52" t="s">
        <v>41</v>
      </c>
      <c r="AJ17" s="52" t="s">
        <v>42</v>
      </c>
      <c r="AK17" s="52" t="s">
        <v>41</v>
      </c>
    </row>
    <row r="18" spans="1:38" s="46" customFormat="1">
      <c r="A18" s="50">
        <v>12</v>
      </c>
      <c r="B18" s="57" t="s">
        <v>143</v>
      </c>
      <c r="C18" s="58">
        <f>$I$18/$I$6*C6</f>
        <v>25175</v>
      </c>
      <c r="D18" s="58">
        <f t="shared" ref="D18:H18" si="11">$I$18/$I$6*D6</f>
        <v>0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项目投资!D26</f>
        <v>25175</v>
      </c>
      <c r="J18" s="170" t="s">
        <v>144</v>
      </c>
      <c r="K18" s="170"/>
      <c r="L18" s="170"/>
    </row>
    <row r="19" spans="1:38">
      <c r="A19" s="50">
        <v>13</v>
      </c>
      <c r="B19" s="52" t="s">
        <v>43</v>
      </c>
      <c r="C19" s="54">
        <f>C6*C44</f>
        <v>48989.999999999993</v>
      </c>
      <c r="D19" s="54">
        <f t="shared" ref="D19:H19" si="12">D6*D44</f>
        <v>0</v>
      </c>
      <c r="E19" s="54">
        <f t="shared" si="12"/>
        <v>0</v>
      </c>
      <c r="F19" s="54">
        <f>F6*F44</f>
        <v>0</v>
      </c>
      <c r="G19" s="54">
        <f t="shared" si="12"/>
        <v>0</v>
      </c>
      <c r="H19" s="54">
        <f t="shared" si="12"/>
        <v>0</v>
      </c>
      <c r="I19" s="54">
        <f>SUM(C19:H19)</f>
        <v>48989.999999999993</v>
      </c>
      <c r="J19" s="171"/>
      <c r="K19" s="169"/>
      <c r="L19" s="169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50">
        <v>14</v>
      </c>
      <c r="B20" s="52" t="s">
        <v>45</v>
      </c>
      <c r="C20" s="54">
        <f>C6*C45</f>
        <v>196613.19999999998</v>
      </c>
      <c r="D20" s="54">
        <f t="shared" ref="D20:H20" si="13">D6*D45</f>
        <v>0</v>
      </c>
      <c r="E20" s="54">
        <f t="shared" si="13"/>
        <v>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>SUM(C20:H20)</f>
        <v>196613.19999999998</v>
      </c>
      <c r="T20" s="52" t="s">
        <v>45</v>
      </c>
      <c r="AJ20" s="52" t="s">
        <v>46</v>
      </c>
      <c r="AK20" s="52" t="s">
        <v>45</v>
      </c>
    </row>
    <row r="21" spans="1:38">
      <c r="A21" s="50">
        <v>15</v>
      </c>
      <c r="B21" s="52" t="s">
        <v>47</v>
      </c>
      <c r="C21" s="59">
        <f>$I$21/$I$6*C6</f>
        <v>40150</v>
      </c>
      <c r="D21" s="59">
        <f t="shared" ref="D21:H21" si="14">$I$21/$I$6*D6</f>
        <v>0</v>
      </c>
      <c r="E21" s="59">
        <f t="shared" si="14"/>
        <v>0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项目投资!D27</f>
        <v>40150</v>
      </c>
      <c r="T21" s="52" t="s">
        <v>47</v>
      </c>
      <c r="AJ21" s="52"/>
      <c r="AK21" s="52"/>
    </row>
    <row r="22" spans="1:38">
      <c r="A22" s="50">
        <v>16</v>
      </c>
      <c r="B22" s="52" t="s">
        <v>48</v>
      </c>
      <c r="C22" s="54">
        <f>C6*C47</f>
        <v>150889.19999999998</v>
      </c>
      <c r="D22" s="54">
        <f t="shared" ref="D22:H22" si="15">D6*D47</f>
        <v>0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>SUM(C22:H22)</f>
        <v>150889.19999999998</v>
      </c>
      <c r="T22" s="52" t="s">
        <v>48</v>
      </c>
      <c r="AJ22" s="52" t="s">
        <v>49</v>
      </c>
      <c r="AK22" s="52" t="s">
        <v>48</v>
      </c>
    </row>
    <row r="23" spans="1:38">
      <c r="A23" s="50">
        <v>17</v>
      </c>
      <c r="B23" s="55" t="s">
        <v>50</v>
      </c>
      <c r="C23" s="59">
        <f>+C22+C21+C20+C19+C17</f>
        <v>772740.6</v>
      </c>
      <c r="D23" s="59">
        <f t="shared" ref="D23:H23" si="16">+D22+D21+D20+D19+D17</f>
        <v>0</v>
      </c>
      <c r="E23" s="59">
        <f t="shared" si="16"/>
        <v>0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772740.6</v>
      </c>
      <c r="T23" s="55" t="s">
        <v>50</v>
      </c>
      <c r="AJ23" s="52" t="s">
        <v>51</v>
      </c>
      <c r="AK23" s="55" t="s">
        <v>50</v>
      </c>
    </row>
    <row r="24" spans="1:38">
      <c r="A24" s="50">
        <v>18</v>
      </c>
      <c r="B24" s="60" t="s">
        <v>52</v>
      </c>
      <c r="C24" s="59">
        <f>+C15-C23</f>
        <v>708562.12629328866</v>
      </c>
      <c r="D24" s="59">
        <f t="shared" ref="D24:H24" si="18">+D15-D23</f>
        <v>0</v>
      </c>
      <c r="E24" s="59">
        <f t="shared" si="18"/>
        <v>0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708562.12629328866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50">
        <v>19</v>
      </c>
      <c r="B25" s="52" t="s">
        <v>145</v>
      </c>
      <c r="C25" s="59">
        <f>IF(C24&lt;0,0,C24*0.25)</f>
        <v>177140.53157332217</v>
      </c>
      <c r="D25" s="59">
        <f>IF(D24&lt;0,0,D24*0.15)</f>
        <v>0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177140.53157332217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50">
        <v>20</v>
      </c>
      <c r="B26" s="52" t="s">
        <v>56</v>
      </c>
      <c r="C26" s="59">
        <f t="shared" ref="C26:H26" si="21">C24-C25</f>
        <v>531421.59471996652</v>
      </c>
      <c r="D26" s="59">
        <f t="shared" si="21"/>
        <v>0</v>
      </c>
      <c r="E26" s="59">
        <f t="shared" si="21"/>
        <v>0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SUM(C26:H26)</f>
        <v>531421.59471996652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50">
        <v>21</v>
      </c>
      <c r="B27" s="52" t="s">
        <v>60</v>
      </c>
      <c r="C27" s="61">
        <f t="shared" ref="C27:I27" si="22">C26/C7</f>
        <v>8.1356643404771362E-2</v>
      </c>
      <c r="D27" s="61" t="e">
        <f t="shared" ref="D27:H27" si="23">D26/D7</f>
        <v>#DIV/0!</v>
      </c>
      <c r="E27" s="61" t="e">
        <f t="shared" si="23"/>
        <v>#DIV/0!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8.1356643404771362E-2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62">
        <v>1</v>
      </c>
      <c r="B31" s="57" t="s">
        <v>65</v>
      </c>
      <c r="C31" s="63">
        <f>销量!C8</f>
        <v>3266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62">
        <v>2</v>
      </c>
      <c r="B32" s="52" t="s">
        <v>147</v>
      </c>
      <c r="C32" s="54">
        <f>C31*1</f>
        <v>3266</v>
      </c>
      <c r="D32" s="54">
        <f t="shared" ref="D32:H32" si="24">D31*1</f>
        <v>0</v>
      </c>
      <c r="E32" s="54">
        <f t="shared" si="24"/>
        <v>0</v>
      </c>
      <c r="F32" s="54">
        <f t="shared" si="24"/>
        <v>0</v>
      </c>
      <c r="G32" s="54">
        <f t="shared" si="24"/>
        <v>0</v>
      </c>
      <c r="H32" s="54">
        <f t="shared" si="24"/>
        <v>0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62">
        <v>3</v>
      </c>
      <c r="B33" s="57" t="s">
        <v>66</v>
      </c>
      <c r="C33" s="54">
        <f>材料成本!D12</f>
        <v>2377.7254368533559</v>
      </c>
      <c r="D33" s="54">
        <f>材料成本!E12</f>
        <v>0</v>
      </c>
      <c r="E33" s="54">
        <f>材料成本!F12</f>
        <v>0</v>
      </c>
      <c r="F33" s="54">
        <f>材料成本!G12</f>
        <v>0</v>
      </c>
      <c r="G33" s="54">
        <f>材料成本!H12</f>
        <v>0</v>
      </c>
      <c r="H33" s="54">
        <f>材料成本!I12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62">
        <v>4</v>
      </c>
      <c r="B34" s="52" t="s">
        <v>68</v>
      </c>
      <c r="C34" s="64">
        <f>C32-C33</f>
        <v>888.27456314664414</v>
      </c>
      <c r="D34" s="64">
        <f t="shared" ref="D34:H34" si="25">D32-D33</f>
        <v>0</v>
      </c>
      <c r="E34" s="64">
        <f t="shared" si="25"/>
        <v>0</v>
      </c>
      <c r="F34" s="64">
        <f t="shared" si="25"/>
        <v>0</v>
      </c>
      <c r="G34" s="64">
        <f t="shared" si="25"/>
        <v>0</v>
      </c>
      <c r="H34" s="64">
        <f t="shared" si="25"/>
        <v>0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62">
        <v>1</v>
      </c>
      <c r="B36" s="52" t="s">
        <v>71</v>
      </c>
      <c r="C36" s="58">
        <f>标准成本!D4</f>
        <v>51.276199999999996</v>
      </c>
      <c r="D36" s="58">
        <f>标准成本!D18</f>
        <v>0</v>
      </c>
      <c r="E36" s="58">
        <f>标准成本!D32</f>
        <v>0</v>
      </c>
      <c r="F36" s="58">
        <f>标准成本!D45</f>
        <v>0</v>
      </c>
      <c r="G36" s="58">
        <f>标准成本!D58</f>
        <v>0</v>
      </c>
      <c r="H36" s="58">
        <f>标准成本!D71</f>
        <v>0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62">
        <v>2</v>
      </c>
      <c r="B37" s="52" t="s">
        <v>72</v>
      </c>
      <c r="C37" s="58">
        <f>标准成本!D6</f>
        <v>12.4108</v>
      </c>
      <c r="D37" s="58">
        <f>标准成本!D20</f>
        <v>0</v>
      </c>
      <c r="E37" s="58">
        <f>标准成本!D34</f>
        <v>0</v>
      </c>
      <c r="F37" s="58">
        <f>标准成本!D47</f>
        <v>0</v>
      </c>
      <c r="G37" s="58">
        <f>标准成本!D60</f>
        <v>0</v>
      </c>
      <c r="H37" s="58">
        <f>标准成本!D73</f>
        <v>0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62">
        <v>3</v>
      </c>
      <c r="B38" s="52" t="s">
        <v>73</v>
      </c>
      <c r="C38" s="58">
        <f>标准成本!D10</f>
        <v>83.936199999999999</v>
      </c>
      <c r="D38" s="58">
        <f>标准成本!D24</f>
        <v>0</v>
      </c>
      <c r="E38" s="58">
        <f>标准成本!D38</f>
        <v>0</v>
      </c>
      <c r="F38" s="58">
        <f>标准成本!D51</f>
        <v>0</v>
      </c>
      <c r="G38" s="58">
        <f>标准成本!D64</f>
        <v>0</v>
      </c>
      <c r="H38" s="58">
        <f>标准成本!D77</f>
        <v>0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62">
        <v>1</v>
      </c>
      <c r="B40" s="52" t="s">
        <v>77</v>
      </c>
      <c r="C40" s="59">
        <f>C34-C36-C37-C38</f>
        <v>740.65136314664414</v>
      </c>
      <c r="D40" s="59">
        <f t="shared" ref="D40:H40" si="26">D34-D36-D37-D38</f>
        <v>0</v>
      </c>
      <c r="E40" s="59">
        <f t="shared" si="26"/>
        <v>0</v>
      </c>
      <c r="F40" s="59">
        <f t="shared" si="26"/>
        <v>0</v>
      </c>
      <c r="G40" s="59">
        <f t="shared" si="26"/>
        <v>0</v>
      </c>
      <c r="H40" s="59">
        <f t="shared" si="26"/>
        <v>0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62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62">
        <v>1</v>
      </c>
      <c r="B43" s="60" t="s">
        <v>81</v>
      </c>
      <c r="C43" s="58">
        <f>标准成本!D5</f>
        <v>155.4616</v>
      </c>
      <c r="D43" s="58">
        <f>标准成本!D19</f>
        <v>0</v>
      </c>
      <c r="E43" s="58">
        <f>标准成本!D33</f>
        <v>0</v>
      </c>
      <c r="F43" s="58">
        <f>标准成本!D46</f>
        <v>0</v>
      </c>
      <c r="G43" s="58">
        <f>标准成本!D59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62">
        <v>2</v>
      </c>
      <c r="B44" s="60" t="s">
        <v>82</v>
      </c>
      <c r="C44" s="58">
        <f>标准成本!D9</f>
        <v>24.494999999999997</v>
      </c>
      <c r="D44" s="58">
        <f>标准成本!D23</f>
        <v>0</v>
      </c>
      <c r="E44" s="58">
        <f>标准成本!D37</f>
        <v>0</v>
      </c>
      <c r="F44" s="58">
        <f>标准成本!D50</f>
        <v>0</v>
      </c>
      <c r="G44" s="58">
        <f>标准成本!D63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62">
        <v>3</v>
      </c>
      <c r="B45" s="60" t="s">
        <v>83</v>
      </c>
      <c r="C45" s="58">
        <f>标准成本!D8</f>
        <v>98.306599999999989</v>
      </c>
      <c r="D45" s="58">
        <f>标准成本!D22</f>
        <v>0</v>
      </c>
      <c r="E45" s="58">
        <f>标准成本!D36</f>
        <v>0</v>
      </c>
      <c r="F45" s="58">
        <f>标准成本!D49</f>
        <v>0</v>
      </c>
      <c r="G45" s="58">
        <f>标准成本!D62</f>
        <v>0</v>
      </c>
      <c r="H45" s="65">
        <f>标准成本!D75</f>
        <v>0</v>
      </c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62">
        <v>4</v>
      </c>
      <c r="B46" s="60" t="s">
        <v>84</v>
      </c>
      <c r="C46" s="65">
        <f>C21/C6</f>
        <v>20.074999999999999</v>
      </c>
      <c r="D46" s="65" t="e">
        <f t="shared" ref="D46:H46" si="27">D21/D6</f>
        <v>#DIV/0!</v>
      </c>
      <c r="E46" s="65" t="e">
        <f t="shared" si="27"/>
        <v>#DIV/0!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62">
        <v>5</v>
      </c>
      <c r="B47" s="60" t="s">
        <v>86</v>
      </c>
      <c r="C47" s="58">
        <f>标准成本!D11</f>
        <v>75.444599999999994</v>
      </c>
      <c r="D47" s="58">
        <f>标准成本!D25</f>
        <v>0</v>
      </c>
      <c r="E47" s="58">
        <f>标准成本!D39</f>
        <v>0</v>
      </c>
      <c r="F47" s="58">
        <f>标准成本!D52</f>
        <v>0</v>
      </c>
      <c r="G47" s="58">
        <f>标准成本!D65</f>
        <v>0</v>
      </c>
      <c r="H47" s="65">
        <f>标准成本!D78</f>
        <v>0</v>
      </c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366.86856314664419</v>
      </c>
      <c r="D48" s="59" t="e">
        <f t="shared" ref="D48:H48" si="28">D40-D43-D44-D45-D47-D46</f>
        <v>#DIV/0!</v>
      </c>
      <c r="E48" s="59" t="e">
        <f t="shared" si="28"/>
        <v>#DIV/0!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38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8" t="s">
        <v>137</v>
      </c>
      <c r="B1" s="218"/>
      <c r="C1" s="222" t="s">
        <v>251</v>
      </c>
      <c r="D1" s="223"/>
      <c r="E1" s="223"/>
      <c r="F1" s="223"/>
      <c r="G1" s="223"/>
      <c r="H1" s="223"/>
      <c r="I1" s="224"/>
    </row>
    <row r="2" spans="1:38">
      <c r="A2" s="218" t="s">
        <v>138</v>
      </c>
      <c r="B2" s="218"/>
      <c r="C2" s="225" t="str">
        <f>'2023年'!C2:I2</f>
        <v>一汽解放</v>
      </c>
      <c r="D2" s="225"/>
      <c r="E2" s="225"/>
      <c r="F2" s="225"/>
      <c r="G2" s="225"/>
      <c r="H2" s="225"/>
      <c r="I2" s="225"/>
    </row>
    <row r="3" spans="1:38">
      <c r="A3" s="218" t="s">
        <v>139</v>
      </c>
      <c r="B3" s="218"/>
      <c r="C3" s="160" t="str">
        <f>销量!C5</f>
        <v>驾驶员座总成</v>
      </c>
      <c r="D3" s="160">
        <f>销量!D5</f>
        <v>0</v>
      </c>
      <c r="E3" s="160">
        <f>销量!E5</f>
        <v>0</v>
      </c>
      <c r="F3" s="160">
        <f>销量!F5</f>
        <v>0</v>
      </c>
      <c r="G3" s="160">
        <f>销量!G5</f>
        <v>0</v>
      </c>
      <c r="H3" s="160">
        <f>销量!H5</f>
        <v>0</v>
      </c>
      <c r="I3" s="219" t="s">
        <v>15</v>
      </c>
    </row>
    <row r="4" spans="1:38" ht="28.5">
      <c r="A4" s="218" t="s">
        <v>140</v>
      </c>
      <c r="B4" s="218"/>
      <c r="C4" s="160" t="str">
        <f>销量!C6</f>
        <v>6800010NH43-C00/A</v>
      </c>
      <c r="D4" s="160">
        <f>销量!D6</f>
        <v>0</v>
      </c>
      <c r="E4" s="160">
        <f>销量!E6</f>
        <v>0</v>
      </c>
      <c r="F4" s="160">
        <f>销量!F6</f>
        <v>0</v>
      </c>
      <c r="G4" s="160">
        <f>销量!G6</f>
        <v>0</v>
      </c>
      <c r="H4" s="160">
        <f>销量!H6</f>
        <v>0</v>
      </c>
      <c r="I4" s="220"/>
    </row>
    <row r="5" spans="1:38">
      <c r="A5" s="218" t="s">
        <v>141</v>
      </c>
      <c r="B5" s="218"/>
      <c r="C5" s="51"/>
      <c r="D5" s="51"/>
      <c r="E5" s="51"/>
      <c r="F5" s="51"/>
      <c r="G5" s="51"/>
      <c r="H5" s="51"/>
      <c r="I5" s="221"/>
      <c r="AL5" s="48" t="s">
        <v>16</v>
      </c>
    </row>
    <row r="6" spans="1:38" ht="17.25">
      <c r="A6" s="52" t="s">
        <v>14</v>
      </c>
      <c r="B6" s="53" t="s">
        <v>142</v>
      </c>
      <c r="C6" s="21">
        <f>销量!C10</f>
        <v>5000</v>
      </c>
      <c r="D6" s="21">
        <f>销量!D10</f>
        <v>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4">
        <f>SUM(C6:H6)</f>
        <v>5000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9">
        <v>1</v>
      </c>
      <c r="B7" s="53" t="s">
        <v>18</v>
      </c>
      <c r="C7" s="54">
        <f>C6*销量!C8</f>
        <v>16330000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16330000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9">
        <v>2</v>
      </c>
      <c r="B8" s="159" t="s">
        <v>20</v>
      </c>
      <c r="C8" s="54">
        <f>C7*(1-销量!$L$7)</f>
        <v>489900.00000000041</v>
      </c>
      <c r="D8" s="54">
        <f>D7*(1-销量!$L$7)</f>
        <v>0</v>
      </c>
      <c r="E8" s="54">
        <f>E7*(1-销量!$L$7)</f>
        <v>0</v>
      </c>
      <c r="F8" s="54">
        <f>F7*(1-销量!$L$7)</f>
        <v>0</v>
      </c>
      <c r="G8" s="54">
        <f>G7*(1-销量!$L$7)</f>
        <v>0</v>
      </c>
      <c r="H8" s="54">
        <f>H7*(1-销量!$L$7)</f>
        <v>0</v>
      </c>
      <c r="I8" s="54">
        <f t="shared" ref="I8:I20" si="0">SUM(C8:H8)</f>
        <v>489900.00000000041</v>
      </c>
      <c r="J8" s="69"/>
      <c r="T8" s="159" t="s">
        <v>22</v>
      </c>
      <c r="AJ8" s="52" t="s">
        <v>21</v>
      </c>
      <c r="AK8" s="159" t="s">
        <v>22</v>
      </c>
      <c r="AL8" s="48" t="s">
        <v>17</v>
      </c>
    </row>
    <row r="9" spans="1:38">
      <c r="A9" s="159">
        <v>3</v>
      </c>
      <c r="B9" s="53" t="s">
        <v>23</v>
      </c>
      <c r="C9" s="54">
        <f>+C7-C8</f>
        <v>15840100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15840100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9">
        <v>4</v>
      </c>
      <c r="B10" s="52" t="s">
        <v>26</v>
      </c>
      <c r="C10" s="54">
        <f>C6*C33</f>
        <v>11531968.368738776</v>
      </c>
      <c r="D10" s="54">
        <f t="shared" ref="D10:H10" si="2">D6*D33</f>
        <v>0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11531968.368738776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9">
        <v>5</v>
      </c>
      <c r="B11" s="52" t="s">
        <v>29</v>
      </c>
      <c r="C11" s="54">
        <f>+C6*C36</f>
        <v>256380.99999999997</v>
      </c>
      <c r="D11" s="54">
        <f>+D6*D36</f>
        <v>0</v>
      </c>
      <c r="E11" s="54">
        <f t="shared" ref="E11:H11" si="3">+E6*E36</f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256380.99999999997</v>
      </c>
      <c r="T11" s="52" t="s">
        <v>29</v>
      </c>
      <c r="AJ11" s="52" t="s">
        <v>30</v>
      </c>
      <c r="AK11" s="52" t="s">
        <v>29</v>
      </c>
    </row>
    <row r="12" spans="1:38">
      <c r="A12" s="159">
        <v>6</v>
      </c>
      <c r="B12" s="52" t="s">
        <v>31</v>
      </c>
      <c r="C12" s="54">
        <f>+C6*C37</f>
        <v>62054</v>
      </c>
      <c r="D12" s="54">
        <f t="shared" ref="D12:H12" si="4">+D6*D37</f>
        <v>0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62054</v>
      </c>
      <c r="T12" s="52" t="s">
        <v>31</v>
      </c>
      <c r="AJ12" s="52" t="s">
        <v>32</v>
      </c>
      <c r="AK12" s="52" t="s">
        <v>31</v>
      </c>
    </row>
    <row r="13" spans="1:38">
      <c r="A13" s="159">
        <v>7</v>
      </c>
      <c r="B13" s="52" t="s">
        <v>33</v>
      </c>
      <c r="C13" s="54">
        <f>+C6*C38</f>
        <v>419681</v>
      </c>
      <c r="D13" s="54">
        <f t="shared" ref="D13:H13" si="5">+D6*D38</f>
        <v>0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419681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9">
        <v>8</v>
      </c>
      <c r="B14" s="55" t="s">
        <v>35</v>
      </c>
      <c r="C14" s="54">
        <f>SUM(C11:C13)</f>
        <v>738116</v>
      </c>
      <c r="D14" s="54">
        <f t="shared" ref="D14:H14" si="6">SUM(D11:D13)</f>
        <v>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738116</v>
      </c>
      <c r="T14" s="55" t="s">
        <v>35</v>
      </c>
      <c r="AJ14" s="52" t="s">
        <v>36</v>
      </c>
      <c r="AK14" s="55" t="s">
        <v>35</v>
      </c>
    </row>
    <row r="15" spans="1:38">
      <c r="A15" s="159">
        <v>9</v>
      </c>
      <c r="B15" s="55" t="s">
        <v>37</v>
      </c>
      <c r="C15" s="54">
        <f>+C9-C10-C14</f>
        <v>3570015.6312612239</v>
      </c>
      <c r="D15" s="54">
        <f t="shared" ref="D15:H15" si="7">+D9-D10-D14</f>
        <v>0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3570015.6312612239</v>
      </c>
      <c r="T15" s="55" t="s">
        <v>37</v>
      </c>
      <c r="AJ15" s="52" t="s">
        <v>38</v>
      </c>
      <c r="AK15" s="55" t="s">
        <v>37</v>
      </c>
    </row>
    <row r="16" spans="1:38">
      <c r="A16" s="159">
        <v>10</v>
      </c>
      <c r="B16" s="52" t="s">
        <v>39</v>
      </c>
      <c r="C16" s="56">
        <f>+C15/C9</f>
        <v>0.22537835185770444</v>
      </c>
      <c r="D16" s="56" t="e">
        <f t="shared" ref="D16:H16" si="8">+D15/D9</f>
        <v>#DIV/0!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0.22537835185770444</v>
      </c>
      <c r="T16" s="52" t="s">
        <v>39</v>
      </c>
      <c r="AJ16" s="52" t="s">
        <v>40</v>
      </c>
      <c r="AK16" s="52" t="s">
        <v>39</v>
      </c>
    </row>
    <row r="17" spans="1:38">
      <c r="A17" s="159">
        <v>11</v>
      </c>
      <c r="B17" s="52" t="s">
        <v>41</v>
      </c>
      <c r="C17" s="54">
        <f>C6*C43+C18</f>
        <v>802483</v>
      </c>
      <c r="D17" s="54">
        <f t="shared" ref="D17:H17" si="10">D6*D43+D18</f>
        <v>0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 t="shared" si="0"/>
        <v>802483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9">
        <v>12</v>
      </c>
      <c r="B18" s="57" t="s">
        <v>143</v>
      </c>
      <c r="C18" s="58">
        <f>$I$18/$I$6*C6</f>
        <v>25175</v>
      </c>
      <c r="D18" s="58">
        <f t="shared" ref="D18:H18" si="11">$I$18/$I$6*D6</f>
        <v>0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项目投资!E26</f>
        <v>25175</v>
      </c>
      <c r="J18" s="70" t="s">
        <v>144</v>
      </c>
      <c r="K18" s="70"/>
      <c r="L18" s="70"/>
    </row>
    <row r="19" spans="1:38">
      <c r="A19" s="159">
        <v>13</v>
      </c>
      <c r="B19" s="52" t="s">
        <v>43</v>
      </c>
      <c r="C19" s="54">
        <f>C6*C44</f>
        <v>122474.99999999999</v>
      </c>
      <c r="D19" s="54">
        <f t="shared" ref="D19:H19" si="12">D6*D44</f>
        <v>0</v>
      </c>
      <c r="E19" s="54">
        <f t="shared" si="12"/>
        <v>0</v>
      </c>
      <c r="F19" s="54">
        <f t="shared" si="12"/>
        <v>0</v>
      </c>
      <c r="G19" s="54">
        <f t="shared" si="12"/>
        <v>0</v>
      </c>
      <c r="H19" s="54">
        <f t="shared" si="12"/>
        <v>0</v>
      </c>
      <c r="I19" s="54">
        <f>SUM(C19:H19)</f>
        <v>122474.99999999999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9">
        <v>14</v>
      </c>
      <c r="B20" s="52" t="s">
        <v>45</v>
      </c>
      <c r="C20" s="54">
        <f>C6*C45</f>
        <v>491532.99999999994</v>
      </c>
      <c r="D20" s="54">
        <f t="shared" ref="D20:H20" si="13">D6*D45</f>
        <v>0</v>
      </c>
      <c r="E20" s="54">
        <f t="shared" si="13"/>
        <v>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 t="shared" si="0"/>
        <v>491532.99999999994</v>
      </c>
      <c r="T20" s="52" t="s">
        <v>45</v>
      </c>
      <c r="AJ20" s="52" t="s">
        <v>46</v>
      </c>
      <c r="AK20" s="52" t="s">
        <v>45</v>
      </c>
    </row>
    <row r="21" spans="1:38">
      <c r="A21" s="159">
        <v>15</v>
      </c>
      <c r="B21" s="52" t="s">
        <v>47</v>
      </c>
      <c r="C21" s="59">
        <f>$I$21/$I$6*C6</f>
        <v>40150</v>
      </c>
      <c r="D21" s="59">
        <f t="shared" ref="D21:H21" si="14">$I$21/$I$6*D6</f>
        <v>0</v>
      </c>
      <c r="E21" s="59">
        <f t="shared" si="14"/>
        <v>0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项目投资!E27</f>
        <v>40150</v>
      </c>
      <c r="T21" s="52" t="s">
        <v>47</v>
      </c>
      <c r="AJ21" s="52"/>
      <c r="AK21" s="52"/>
    </row>
    <row r="22" spans="1:38">
      <c r="A22" s="159">
        <v>16</v>
      </c>
      <c r="B22" s="52" t="s">
        <v>48</v>
      </c>
      <c r="C22" s="54">
        <f>C6*C47</f>
        <v>377222.99999999994</v>
      </c>
      <c r="D22" s="54">
        <f t="shared" ref="D22:H22" si="15">D6*D47</f>
        <v>0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>SUM(C22:H22)</f>
        <v>377222.99999999994</v>
      </c>
      <c r="T22" s="52" t="s">
        <v>48</v>
      </c>
      <c r="AJ22" s="52" t="s">
        <v>49</v>
      </c>
      <c r="AK22" s="52" t="s">
        <v>48</v>
      </c>
    </row>
    <row r="23" spans="1:38">
      <c r="A23" s="159">
        <v>17</v>
      </c>
      <c r="B23" s="55" t="s">
        <v>50</v>
      </c>
      <c r="C23" s="59">
        <f>+C22+C21+C20+C19+C17</f>
        <v>1833864</v>
      </c>
      <c r="D23" s="59">
        <f t="shared" ref="D23:H23" si="16">+D22+D21+D20+D19+D17</f>
        <v>0</v>
      </c>
      <c r="E23" s="59">
        <f t="shared" si="16"/>
        <v>0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1833864</v>
      </c>
      <c r="T23" s="55" t="s">
        <v>50</v>
      </c>
      <c r="AJ23" s="52" t="s">
        <v>51</v>
      </c>
      <c r="AK23" s="55" t="s">
        <v>50</v>
      </c>
    </row>
    <row r="24" spans="1:38">
      <c r="A24" s="159">
        <v>18</v>
      </c>
      <c r="B24" s="60" t="s">
        <v>52</v>
      </c>
      <c r="C24" s="59">
        <f>+C15-C23</f>
        <v>1736151.6312612239</v>
      </c>
      <c r="D24" s="59">
        <f t="shared" ref="D24:H24" si="18">+D15-D23</f>
        <v>0</v>
      </c>
      <c r="E24" s="59">
        <f t="shared" si="18"/>
        <v>0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1736151.6312612239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9">
        <v>19</v>
      </c>
      <c r="B25" s="52" t="s">
        <v>145</v>
      </c>
      <c r="C25" s="59">
        <f>IF(C24&lt;0,0,C24*0.25)</f>
        <v>434037.90781530598</v>
      </c>
      <c r="D25" s="59">
        <f>IF(D24&lt;0,0,D24*0.15)</f>
        <v>0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434037.90781530598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9">
        <v>20</v>
      </c>
      <c r="B26" s="52" t="s">
        <v>56</v>
      </c>
      <c r="C26" s="59">
        <f t="shared" ref="C26:H26" si="21">C24-C25</f>
        <v>1302113.7234459179</v>
      </c>
      <c r="D26" s="59">
        <f t="shared" si="21"/>
        <v>0</v>
      </c>
      <c r="E26" s="59">
        <f t="shared" si="21"/>
        <v>0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SUM(C26:H26)</f>
        <v>1302113.7234459179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9">
        <v>21</v>
      </c>
      <c r="B27" s="52" t="s">
        <v>60</v>
      </c>
      <c r="C27" s="61">
        <f t="shared" ref="C27:I27" si="22">C26/C7</f>
        <v>7.97375213377782E-2</v>
      </c>
      <c r="D27" s="61" t="e">
        <f t="shared" ref="D27:H27" si="23">D26/D7</f>
        <v>#DIV/0!</v>
      </c>
      <c r="E27" s="61" t="e">
        <f t="shared" si="23"/>
        <v>#DIV/0!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7.97375213377782E-2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9">
        <v>1</v>
      </c>
      <c r="B31" s="57" t="s">
        <v>65</v>
      </c>
      <c r="C31" s="63">
        <f>销量!C8</f>
        <v>3266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9">
        <v>2</v>
      </c>
      <c r="B32" s="52" t="s">
        <v>147</v>
      </c>
      <c r="C32" s="54">
        <f>C9/C6</f>
        <v>3168.02</v>
      </c>
      <c r="D32" s="54" t="e">
        <f t="shared" ref="D32:H32" si="24">D9/D6</f>
        <v>#DIV/0!</v>
      </c>
      <c r="E32" s="54" t="e">
        <f t="shared" si="24"/>
        <v>#DIV/0!</v>
      </c>
      <c r="F32" s="54" t="e">
        <f t="shared" si="24"/>
        <v>#DIV/0!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66</v>
      </c>
      <c r="C33" s="54">
        <f>材料成本!D13</f>
        <v>2306.3936737477552</v>
      </c>
      <c r="D33" s="54">
        <f>材料成本!E13</f>
        <v>0</v>
      </c>
      <c r="E33" s="54">
        <f>材料成本!F13</f>
        <v>0</v>
      </c>
      <c r="F33" s="54">
        <f>材料成本!G13</f>
        <v>0</v>
      </c>
      <c r="G33" s="54">
        <f>材料成本!H13</f>
        <v>0</v>
      </c>
      <c r="H33" s="54">
        <f>材料成本!I13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9">
        <v>4</v>
      </c>
      <c r="B34" s="52" t="s">
        <v>68</v>
      </c>
      <c r="C34" s="64">
        <f>C32-C33</f>
        <v>861.62632625224478</v>
      </c>
      <c r="D34" s="64" t="e">
        <f t="shared" ref="D34:H34" si="25">D32-D33</f>
        <v>#DIV/0!</v>
      </c>
      <c r="E34" s="64" t="e">
        <f t="shared" si="25"/>
        <v>#DIV/0!</v>
      </c>
      <c r="F34" s="64" t="e">
        <f t="shared" si="25"/>
        <v>#DIV/0!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9">
        <v>1</v>
      </c>
      <c r="B36" s="52" t="s">
        <v>71</v>
      </c>
      <c r="C36" s="58">
        <f>'2023年'!C36</f>
        <v>51.276199999999996</v>
      </c>
      <c r="D36" s="58">
        <f>'2023年'!D36</f>
        <v>0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9">
        <v>2</v>
      </c>
      <c r="B37" s="52" t="s">
        <v>72</v>
      </c>
      <c r="C37" s="58">
        <f>'2023年'!C37</f>
        <v>12.4108</v>
      </c>
      <c r="D37" s="58">
        <f>'2023年'!D37</f>
        <v>0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9">
        <v>3</v>
      </c>
      <c r="B38" s="52" t="s">
        <v>73</v>
      </c>
      <c r="C38" s="58">
        <f>'2023年'!C38</f>
        <v>83.936199999999999</v>
      </c>
      <c r="D38" s="58">
        <f>'2023年'!D38</f>
        <v>0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9">
        <v>1</v>
      </c>
      <c r="B40" s="52" t="s">
        <v>77</v>
      </c>
      <c r="C40" s="59">
        <f>C34-C36-C37-C38</f>
        <v>714.00312625224478</v>
      </c>
      <c r="D40" s="59" t="e">
        <f t="shared" ref="D40:H40" si="26">D34-D36-D37-D38</f>
        <v>#DIV/0!</v>
      </c>
      <c r="E40" s="59" t="e">
        <f t="shared" si="26"/>
        <v>#DIV/0!</v>
      </c>
      <c r="F40" s="59" t="e">
        <f t="shared" si="26"/>
        <v>#DIV/0!</v>
      </c>
      <c r="G40" s="59" t="e">
        <f t="shared" si="26"/>
        <v>#DIV/0!</v>
      </c>
      <c r="H40" s="59" t="e">
        <f t="shared" si="26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9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9">
        <v>1</v>
      </c>
      <c r="B43" s="60" t="s">
        <v>81</v>
      </c>
      <c r="C43" s="58">
        <f>'2023年'!C43</f>
        <v>155.4616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9">
        <v>2</v>
      </c>
      <c r="B44" s="60" t="s">
        <v>82</v>
      </c>
      <c r="C44" s="58">
        <f>'2023年'!C44</f>
        <v>24.494999999999997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9">
        <v>3</v>
      </c>
      <c r="B45" s="60" t="s">
        <v>83</v>
      </c>
      <c r="C45" s="58">
        <f>'2023年'!C45</f>
        <v>98.306599999999989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9">
        <v>4</v>
      </c>
      <c r="B46" s="60" t="s">
        <v>84</v>
      </c>
      <c r="C46" s="65">
        <f>C21/C6</f>
        <v>8.0299999999999994</v>
      </c>
      <c r="D46" s="65" t="e">
        <f t="shared" ref="D46:H46" si="27">D21/D6</f>
        <v>#DIV/0!</v>
      </c>
      <c r="E46" s="65" t="e">
        <f t="shared" si="27"/>
        <v>#DIV/0!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9">
        <v>5</v>
      </c>
      <c r="B47" s="60" t="s">
        <v>86</v>
      </c>
      <c r="C47" s="58">
        <f>'2023年'!C47</f>
        <v>75.444599999999994</v>
      </c>
      <c r="D47" s="58">
        <f>'2023年'!D47</f>
        <v>0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352.26532625224485</v>
      </c>
      <c r="D48" s="59" t="e">
        <f t="shared" ref="D48:H48" si="28">D40-D43-D44-D45-D47-D46</f>
        <v>#DIV/0!</v>
      </c>
      <c r="E48" s="59" t="e">
        <f t="shared" si="28"/>
        <v>#DIV/0!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18" sqref="I18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8" t="s">
        <v>137</v>
      </c>
      <c r="B1" s="218"/>
      <c r="C1" s="222" t="s">
        <v>252</v>
      </c>
      <c r="D1" s="223"/>
      <c r="E1" s="223"/>
      <c r="F1" s="223"/>
      <c r="G1" s="223"/>
      <c r="H1" s="223"/>
      <c r="I1" s="224"/>
    </row>
    <row r="2" spans="1:38">
      <c r="A2" s="218" t="s">
        <v>138</v>
      </c>
      <c r="B2" s="218"/>
      <c r="C2" s="225" t="str">
        <f>'2023年'!C2:I2</f>
        <v>一汽解放</v>
      </c>
      <c r="D2" s="225"/>
      <c r="E2" s="225"/>
      <c r="F2" s="225"/>
      <c r="G2" s="225"/>
      <c r="H2" s="225"/>
      <c r="I2" s="225"/>
    </row>
    <row r="3" spans="1:38">
      <c r="A3" s="218" t="s">
        <v>139</v>
      </c>
      <c r="B3" s="218"/>
      <c r="C3" s="160" t="str">
        <f>销量!C5</f>
        <v>驾驶员座总成</v>
      </c>
      <c r="D3" s="160">
        <f>销量!D5</f>
        <v>0</v>
      </c>
      <c r="E3" s="160">
        <f>销量!E5</f>
        <v>0</v>
      </c>
      <c r="F3" s="160">
        <f>销量!F5</f>
        <v>0</v>
      </c>
      <c r="G3" s="160">
        <f>销量!G5</f>
        <v>0</v>
      </c>
      <c r="H3" s="160">
        <f>销量!H5</f>
        <v>0</v>
      </c>
      <c r="I3" s="219" t="s">
        <v>15</v>
      </c>
    </row>
    <row r="4" spans="1:38" ht="28.5">
      <c r="A4" s="218" t="s">
        <v>140</v>
      </c>
      <c r="B4" s="218"/>
      <c r="C4" s="160" t="str">
        <f>销量!C6</f>
        <v>6800010NH43-C00/A</v>
      </c>
      <c r="D4" s="160">
        <f>销量!D6</f>
        <v>0</v>
      </c>
      <c r="E4" s="160">
        <f>销量!E6</f>
        <v>0</v>
      </c>
      <c r="F4" s="160">
        <f>销量!F6</f>
        <v>0</v>
      </c>
      <c r="G4" s="160">
        <f>销量!G6</f>
        <v>0</v>
      </c>
      <c r="H4" s="160">
        <f>销量!H6</f>
        <v>0</v>
      </c>
      <c r="I4" s="220"/>
    </row>
    <row r="5" spans="1:38">
      <c r="A5" s="218" t="s">
        <v>141</v>
      </c>
      <c r="B5" s="218"/>
      <c r="C5" s="51"/>
      <c r="D5" s="51"/>
      <c r="E5" s="51"/>
      <c r="F5" s="51"/>
      <c r="G5" s="51"/>
      <c r="H5" s="51"/>
      <c r="I5" s="221"/>
      <c r="AL5" s="48" t="s">
        <v>16</v>
      </c>
    </row>
    <row r="6" spans="1:38" ht="17.25">
      <c r="A6" s="52" t="s">
        <v>14</v>
      </c>
      <c r="B6" s="53" t="s">
        <v>142</v>
      </c>
      <c r="C6" s="21">
        <f>销量!C11</f>
        <v>5000</v>
      </c>
      <c r="D6" s="21">
        <f>销量!D11</f>
        <v>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4">
        <f>SUM(C6:H6)</f>
        <v>5000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9">
        <v>1</v>
      </c>
      <c r="B7" s="53" t="s">
        <v>18</v>
      </c>
      <c r="C7" s="54">
        <f>C6*销量!C8</f>
        <v>16330000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>SUM(C7:H7)</f>
        <v>16330000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9">
        <v>2</v>
      </c>
      <c r="B8" s="159" t="s">
        <v>20</v>
      </c>
      <c r="C8" s="54">
        <f>C7*(1-销量!$L$8)</f>
        <v>965102.99999999884</v>
      </c>
      <c r="D8" s="54">
        <f>D7*(1-销量!$L$8)</f>
        <v>0</v>
      </c>
      <c r="E8" s="54">
        <f>E7*(1-销量!$L$8)</f>
        <v>0</v>
      </c>
      <c r="F8" s="54">
        <f>F7*(1-销量!$L$8)</f>
        <v>0</v>
      </c>
      <c r="G8" s="54">
        <f>G7*(1-销量!$L$8)</f>
        <v>0</v>
      </c>
      <c r="H8" s="54">
        <f>H7*(1-销量!$L$8)</f>
        <v>0</v>
      </c>
      <c r="I8" s="54">
        <f t="shared" ref="I8:I15" si="0">SUM(C8:H8)</f>
        <v>965102.99999999884</v>
      </c>
      <c r="J8" s="69"/>
      <c r="T8" s="159" t="s">
        <v>22</v>
      </c>
      <c r="AJ8" s="52" t="s">
        <v>21</v>
      </c>
      <c r="AK8" s="159" t="s">
        <v>22</v>
      </c>
      <c r="AL8" s="48" t="s">
        <v>17</v>
      </c>
    </row>
    <row r="9" spans="1:38">
      <c r="A9" s="159">
        <v>3</v>
      </c>
      <c r="B9" s="53" t="s">
        <v>23</v>
      </c>
      <c r="C9" s="54">
        <f>+C7-C8</f>
        <v>15364897.000000002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15364897.000000002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9">
        <v>4</v>
      </c>
      <c r="B10" s="52" t="s">
        <v>26</v>
      </c>
      <c r="C10" s="54">
        <f>C6*C33</f>
        <v>11186009.317676613</v>
      </c>
      <c r="D10" s="54">
        <f t="shared" ref="D10:H10" si="2">D6*D33</f>
        <v>0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11186009.317676613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9">
        <v>5</v>
      </c>
      <c r="B11" s="52" t="s">
        <v>29</v>
      </c>
      <c r="C11" s="54">
        <f>+C6*C36</f>
        <v>256380.99999999997</v>
      </c>
      <c r="D11" s="54">
        <f t="shared" ref="D11:H11" si="3">+D6*D36</f>
        <v>0</v>
      </c>
      <c r="E11" s="54">
        <f t="shared" si="3"/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256380.99999999997</v>
      </c>
      <c r="T11" s="52" t="s">
        <v>29</v>
      </c>
      <c r="AJ11" s="52" t="s">
        <v>30</v>
      </c>
      <c r="AK11" s="52" t="s">
        <v>29</v>
      </c>
    </row>
    <row r="12" spans="1:38">
      <c r="A12" s="159">
        <v>6</v>
      </c>
      <c r="B12" s="52" t="s">
        <v>31</v>
      </c>
      <c r="C12" s="54">
        <f>+C6*C37</f>
        <v>62054</v>
      </c>
      <c r="D12" s="54">
        <f t="shared" ref="D12:H12" si="4">+D6*D37</f>
        <v>0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62054</v>
      </c>
      <c r="T12" s="52" t="s">
        <v>31</v>
      </c>
      <c r="AJ12" s="52" t="s">
        <v>32</v>
      </c>
      <c r="AK12" s="52" t="s">
        <v>31</v>
      </c>
    </row>
    <row r="13" spans="1:38">
      <c r="A13" s="159">
        <v>7</v>
      </c>
      <c r="B13" s="52" t="s">
        <v>33</v>
      </c>
      <c r="C13" s="54">
        <f>+C6*C38</f>
        <v>419681</v>
      </c>
      <c r="D13" s="54">
        <f t="shared" ref="D13:H13" si="5">+D6*D38</f>
        <v>0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419681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9">
        <v>8</v>
      </c>
      <c r="B14" s="55" t="s">
        <v>35</v>
      </c>
      <c r="C14" s="54">
        <f>SUM(C11:C13)</f>
        <v>738116</v>
      </c>
      <c r="D14" s="54">
        <f t="shared" ref="D14:H14" si="6">SUM(D11:D13)</f>
        <v>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738116</v>
      </c>
      <c r="T14" s="55" t="s">
        <v>35</v>
      </c>
      <c r="AJ14" s="52" t="s">
        <v>36</v>
      </c>
      <c r="AK14" s="55" t="s">
        <v>35</v>
      </c>
    </row>
    <row r="15" spans="1:38">
      <c r="A15" s="159">
        <v>9</v>
      </c>
      <c r="B15" s="55" t="s">
        <v>37</v>
      </c>
      <c r="C15" s="54">
        <f>+C9-C10-C14</f>
        <v>3440771.6823233888</v>
      </c>
      <c r="D15" s="54">
        <f t="shared" ref="D15:H15" si="7">+D9-D10-D14</f>
        <v>0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3440771.6823233888</v>
      </c>
      <c r="T15" s="55" t="s">
        <v>37</v>
      </c>
      <c r="AJ15" s="52" t="s">
        <v>38</v>
      </c>
      <c r="AK15" s="55" t="s">
        <v>37</v>
      </c>
    </row>
    <row r="16" spans="1:38">
      <c r="A16" s="159">
        <v>10</v>
      </c>
      <c r="B16" s="52" t="s">
        <v>39</v>
      </c>
      <c r="C16" s="56">
        <f>+C15/C9</f>
        <v>0.22393717851303452</v>
      </c>
      <c r="D16" s="56" t="e">
        <f t="shared" ref="D16:H16" si="8">+D15/D9</f>
        <v>#DIV/0!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0.22393717851303452</v>
      </c>
      <c r="T16" s="52" t="s">
        <v>39</v>
      </c>
      <c r="AJ16" s="52" t="s">
        <v>40</v>
      </c>
      <c r="AK16" s="52" t="s">
        <v>39</v>
      </c>
    </row>
    <row r="17" spans="1:38">
      <c r="A17" s="159">
        <v>11</v>
      </c>
      <c r="B17" s="52" t="s">
        <v>41</v>
      </c>
      <c r="C17" s="54">
        <f>C6*C43+C18</f>
        <v>802483</v>
      </c>
      <c r="D17" s="54">
        <f t="shared" ref="D17:H17" si="10">D6*D43+D18</f>
        <v>0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>SUM(C17:H17)</f>
        <v>802483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9">
        <v>12</v>
      </c>
      <c r="B18" s="57" t="s">
        <v>143</v>
      </c>
      <c r="C18" s="58">
        <f>$I$18/$I$6*C6</f>
        <v>25175</v>
      </c>
      <c r="D18" s="58">
        <f t="shared" ref="D18:H18" si="11">$I$18/$I$6*D6</f>
        <v>0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项目投资!F26</f>
        <v>25175</v>
      </c>
      <c r="J18" s="70" t="s">
        <v>144</v>
      </c>
      <c r="K18" s="70"/>
      <c r="L18" s="70"/>
    </row>
    <row r="19" spans="1:38">
      <c r="A19" s="159">
        <v>13</v>
      </c>
      <c r="B19" s="52" t="s">
        <v>43</v>
      </c>
      <c r="C19" s="54">
        <f>C6*C44</f>
        <v>122474.99999999999</v>
      </c>
      <c r="D19" s="54">
        <f t="shared" ref="D19:G19" si="12">D6*D44</f>
        <v>0</v>
      </c>
      <c r="E19" s="54">
        <f t="shared" si="12"/>
        <v>0</v>
      </c>
      <c r="F19" s="54">
        <f t="shared" si="12"/>
        <v>0</v>
      </c>
      <c r="G19" s="54">
        <f t="shared" si="12"/>
        <v>0</v>
      </c>
      <c r="H19" s="54">
        <f t="shared" ref="H19" si="13">H6*H44</f>
        <v>0</v>
      </c>
      <c r="I19" s="54">
        <f>SUM(C19:G19)</f>
        <v>122474.99999999999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9">
        <v>14</v>
      </c>
      <c r="B20" s="52" t="s">
        <v>45</v>
      </c>
      <c r="C20" s="54">
        <f>C6*C45</f>
        <v>491532.99999999994</v>
      </c>
      <c r="D20" s="54">
        <f t="shared" ref="D20:H20" si="14">D6*D45</f>
        <v>0</v>
      </c>
      <c r="E20" s="54">
        <f t="shared" si="14"/>
        <v>0</v>
      </c>
      <c r="F20" s="54">
        <f t="shared" si="14"/>
        <v>0</v>
      </c>
      <c r="G20" s="54">
        <f t="shared" si="14"/>
        <v>0</v>
      </c>
      <c r="H20" s="54">
        <f t="shared" si="14"/>
        <v>0</v>
      </c>
      <c r="I20" s="54">
        <f>SUM(C20:H20)</f>
        <v>491532.99999999994</v>
      </c>
      <c r="T20" s="52" t="s">
        <v>45</v>
      </c>
      <c r="AJ20" s="52" t="s">
        <v>46</v>
      </c>
      <c r="AK20" s="52" t="s">
        <v>45</v>
      </c>
    </row>
    <row r="21" spans="1:38">
      <c r="A21" s="159">
        <v>15</v>
      </c>
      <c r="B21" s="52" t="s">
        <v>47</v>
      </c>
      <c r="C21" s="59">
        <f>$I$21/$I$6*C6</f>
        <v>40150</v>
      </c>
      <c r="D21" s="59">
        <f t="shared" ref="D21:H21" si="15">$I$21/$I$6*D6</f>
        <v>0</v>
      </c>
      <c r="E21" s="59">
        <f t="shared" si="15"/>
        <v>0</v>
      </c>
      <c r="F21" s="59">
        <f t="shared" si="15"/>
        <v>0</v>
      </c>
      <c r="G21" s="59">
        <f t="shared" si="15"/>
        <v>0</v>
      </c>
      <c r="H21" s="59">
        <f t="shared" si="15"/>
        <v>0</v>
      </c>
      <c r="I21" s="54">
        <f>项目投资!F27</f>
        <v>40150</v>
      </c>
      <c r="T21" s="52" t="s">
        <v>47</v>
      </c>
      <c r="AJ21" s="52"/>
      <c r="AK21" s="52"/>
    </row>
    <row r="22" spans="1:38">
      <c r="A22" s="159">
        <v>16</v>
      </c>
      <c r="B22" s="52" t="s">
        <v>48</v>
      </c>
      <c r="C22" s="54">
        <f>C6*C47</f>
        <v>377222.99999999994</v>
      </c>
      <c r="D22" s="54">
        <f t="shared" ref="D22:H22" si="16">D6*D47</f>
        <v>0</v>
      </c>
      <c r="E22" s="54">
        <f t="shared" si="16"/>
        <v>0</v>
      </c>
      <c r="F22" s="54">
        <f t="shared" si="16"/>
        <v>0</v>
      </c>
      <c r="G22" s="54">
        <f t="shared" si="16"/>
        <v>0</v>
      </c>
      <c r="H22" s="54">
        <f t="shared" si="16"/>
        <v>0</v>
      </c>
      <c r="I22" s="54">
        <f>SUM(C22:H22)</f>
        <v>377222.99999999994</v>
      </c>
      <c r="T22" s="52" t="s">
        <v>48</v>
      </c>
      <c r="AJ22" s="52" t="s">
        <v>49</v>
      </c>
      <c r="AK22" s="52" t="s">
        <v>48</v>
      </c>
    </row>
    <row r="23" spans="1:38">
      <c r="A23" s="159">
        <v>17</v>
      </c>
      <c r="B23" s="55" t="s">
        <v>50</v>
      </c>
      <c r="C23" s="59">
        <f>+C22+C21+C20+C19+C17</f>
        <v>1833864</v>
      </c>
      <c r="D23" s="59">
        <f t="shared" ref="D23:H23" si="17">+D22+D21+D20+D19+D17</f>
        <v>0</v>
      </c>
      <c r="E23" s="59">
        <f t="shared" si="17"/>
        <v>0</v>
      </c>
      <c r="F23" s="59">
        <f t="shared" si="17"/>
        <v>0</v>
      </c>
      <c r="G23" s="59">
        <f t="shared" si="17"/>
        <v>0</v>
      </c>
      <c r="H23" s="59">
        <f t="shared" si="17"/>
        <v>0</v>
      </c>
      <c r="I23" s="59">
        <f t="shared" ref="I23" si="18">+I22+I21+I20+I19+I17</f>
        <v>1833864</v>
      </c>
      <c r="T23" s="55" t="s">
        <v>50</v>
      </c>
      <c r="AJ23" s="52" t="s">
        <v>51</v>
      </c>
      <c r="AK23" s="55" t="s">
        <v>50</v>
      </c>
    </row>
    <row r="24" spans="1:38">
      <c r="A24" s="159">
        <v>18</v>
      </c>
      <c r="B24" s="60" t="s">
        <v>52</v>
      </c>
      <c r="C24" s="59">
        <f>+C15-C23</f>
        <v>1606907.6823233888</v>
      </c>
      <c r="D24" s="59">
        <f t="shared" ref="D24:H24" si="19">+D15-D23</f>
        <v>0</v>
      </c>
      <c r="E24" s="59">
        <f t="shared" si="19"/>
        <v>0</v>
      </c>
      <c r="F24" s="59">
        <f t="shared" si="19"/>
        <v>0</v>
      </c>
      <c r="G24" s="59">
        <f t="shared" si="19"/>
        <v>0</v>
      </c>
      <c r="H24" s="59">
        <f t="shared" si="19"/>
        <v>0</v>
      </c>
      <c r="I24" s="59">
        <f t="shared" ref="I24" si="20">+I15-I23</f>
        <v>1606907.6823233888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9">
        <v>19</v>
      </c>
      <c r="B25" s="52" t="s">
        <v>145</v>
      </c>
      <c r="C25" s="59">
        <f>IF(C24&lt;0,0,C24*0.25)</f>
        <v>401726.92058084719</v>
      </c>
      <c r="D25" s="59">
        <f>IF(D24&lt;0,0,D24*0.15)</f>
        <v>0</v>
      </c>
      <c r="E25" s="59">
        <f t="shared" ref="E25:I25" si="21">IF(E24&lt;0,0,E24*0.25)</f>
        <v>0</v>
      </c>
      <c r="F25" s="59">
        <f>IF(F24&lt;0,0,F24*0.15)</f>
        <v>0</v>
      </c>
      <c r="G25" s="59">
        <f t="shared" si="21"/>
        <v>0</v>
      </c>
      <c r="H25" s="59">
        <f t="shared" si="21"/>
        <v>0</v>
      </c>
      <c r="I25" s="59">
        <f t="shared" si="21"/>
        <v>401726.92058084719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9">
        <v>20</v>
      </c>
      <c r="B26" s="52" t="s">
        <v>56</v>
      </c>
      <c r="C26" s="59">
        <f t="shared" ref="C26:H26" si="22">C24-C25</f>
        <v>1205180.7617425416</v>
      </c>
      <c r="D26" s="59">
        <f t="shared" si="22"/>
        <v>0</v>
      </c>
      <c r="E26" s="59">
        <f t="shared" si="22"/>
        <v>0</v>
      </c>
      <c r="F26" s="59">
        <f t="shared" si="22"/>
        <v>0</v>
      </c>
      <c r="G26" s="59">
        <f t="shared" si="22"/>
        <v>0</v>
      </c>
      <c r="H26" s="59">
        <f t="shared" si="22"/>
        <v>0</v>
      </c>
      <c r="I26" s="54">
        <f>+SUM(C26:H26)</f>
        <v>1205180.7617425416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9">
        <v>21</v>
      </c>
      <c r="B27" s="52" t="s">
        <v>60</v>
      </c>
      <c r="C27" s="61">
        <f t="shared" ref="C27:I27" si="23">C26/C7</f>
        <v>7.3801638808483866E-2</v>
      </c>
      <c r="D27" s="61" t="e">
        <f t="shared" ref="D27:H27" si="24">D26/D7</f>
        <v>#DIV/0!</v>
      </c>
      <c r="E27" s="61" t="e">
        <f t="shared" si="24"/>
        <v>#DIV/0!</v>
      </c>
      <c r="F27" s="61" t="e">
        <f t="shared" si="24"/>
        <v>#DIV/0!</v>
      </c>
      <c r="G27" s="61" t="e">
        <f t="shared" si="24"/>
        <v>#DIV/0!</v>
      </c>
      <c r="H27" s="61" t="e">
        <f t="shared" si="24"/>
        <v>#DIV/0!</v>
      </c>
      <c r="I27" s="61">
        <f t="shared" si="23"/>
        <v>7.3801638808483866E-2</v>
      </c>
      <c r="J27" s="179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9">
        <v>1</v>
      </c>
      <c r="B31" s="57" t="s">
        <v>65</v>
      </c>
      <c r="C31" s="63">
        <f>销量!C8</f>
        <v>3266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9">
        <v>2</v>
      </c>
      <c r="B32" s="52" t="s">
        <v>147</v>
      </c>
      <c r="C32" s="54">
        <f>C9/C6</f>
        <v>3072.9794000000002</v>
      </c>
      <c r="D32" s="54" t="e">
        <f t="shared" ref="D32:H32" si="25">D9/D6</f>
        <v>#DIV/0!</v>
      </c>
      <c r="E32" s="54" t="e">
        <f t="shared" si="25"/>
        <v>#DIV/0!</v>
      </c>
      <c r="F32" s="54" t="e">
        <f t="shared" si="25"/>
        <v>#DIV/0!</v>
      </c>
      <c r="G32" s="54" t="e">
        <f t="shared" si="25"/>
        <v>#DIV/0!</v>
      </c>
      <c r="H32" s="54" t="e">
        <f t="shared" si="25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66</v>
      </c>
      <c r="C33" s="54">
        <f>材料成本!D14</f>
        <v>2237.2018635353224</v>
      </c>
      <c r="D33" s="54">
        <f>材料成本!E14</f>
        <v>0</v>
      </c>
      <c r="E33" s="54">
        <f>材料成本!F14</f>
        <v>0</v>
      </c>
      <c r="F33" s="54">
        <f>材料成本!G14</f>
        <v>0</v>
      </c>
      <c r="G33" s="54">
        <f>材料成本!H14</f>
        <v>0</v>
      </c>
      <c r="H33" s="54">
        <f>材料成本!I14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9">
        <v>4</v>
      </c>
      <c r="B34" s="52" t="s">
        <v>68</v>
      </c>
      <c r="C34" s="64">
        <f>C32-C33</f>
        <v>835.77753646467772</v>
      </c>
      <c r="D34" s="64" t="e">
        <f t="shared" ref="D34:H34" si="26">D32-D33</f>
        <v>#DIV/0!</v>
      </c>
      <c r="E34" s="64" t="e">
        <f t="shared" si="26"/>
        <v>#DIV/0!</v>
      </c>
      <c r="F34" s="64" t="e">
        <f t="shared" si="26"/>
        <v>#DIV/0!</v>
      </c>
      <c r="G34" s="64" t="e">
        <f t="shared" si="26"/>
        <v>#DIV/0!</v>
      </c>
      <c r="H34" s="64" t="e">
        <f t="shared" si="26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9">
        <v>1</v>
      </c>
      <c r="B36" s="52" t="s">
        <v>71</v>
      </c>
      <c r="C36" s="58">
        <f>'2023年'!C36</f>
        <v>51.276199999999996</v>
      </c>
      <c r="D36" s="58">
        <f>'2023年'!D36</f>
        <v>0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9">
        <v>2</v>
      </c>
      <c r="B37" s="52" t="s">
        <v>72</v>
      </c>
      <c r="C37" s="58">
        <f>'2023年'!C37</f>
        <v>12.4108</v>
      </c>
      <c r="D37" s="58">
        <f>'2023年'!D37</f>
        <v>0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9">
        <v>3</v>
      </c>
      <c r="B38" s="52" t="s">
        <v>73</v>
      </c>
      <c r="C38" s="58">
        <f>'2023年'!C38</f>
        <v>83.936199999999999</v>
      </c>
      <c r="D38" s="58">
        <f>'2023年'!D38</f>
        <v>0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9">
        <v>1</v>
      </c>
      <c r="B40" s="52" t="s">
        <v>77</v>
      </c>
      <c r="C40" s="59">
        <f>C34-C36-C37-C38</f>
        <v>688.15433646467773</v>
      </c>
      <c r="D40" s="59" t="e">
        <f t="shared" ref="D40:H40" si="27">D34-D36-D37-D38</f>
        <v>#DIV/0!</v>
      </c>
      <c r="E40" s="59" t="e">
        <f t="shared" si="27"/>
        <v>#DIV/0!</v>
      </c>
      <c r="F40" s="59" t="e">
        <f t="shared" si="27"/>
        <v>#DIV/0!</v>
      </c>
      <c r="G40" s="59" t="e">
        <f t="shared" si="27"/>
        <v>#DIV/0!</v>
      </c>
      <c r="H40" s="59" t="e">
        <f t="shared" si="27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9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9">
        <v>1</v>
      </c>
      <c r="B43" s="60" t="s">
        <v>81</v>
      </c>
      <c r="C43" s="58">
        <f>'2023年'!C43</f>
        <v>155.4616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9">
        <v>2</v>
      </c>
      <c r="B44" s="60" t="s">
        <v>82</v>
      </c>
      <c r="C44" s="58">
        <f>'2023年'!C44</f>
        <v>24.494999999999997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9">
        <v>3</v>
      </c>
      <c r="B45" s="60" t="s">
        <v>83</v>
      </c>
      <c r="C45" s="58">
        <f>'2023年'!C45</f>
        <v>98.306599999999989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9">
        <v>4</v>
      </c>
      <c r="B46" s="60" t="s">
        <v>84</v>
      </c>
      <c r="C46" s="65">
        <f>C21/C6</f>
        <v>8.0299999999999994</v>
      </c>
      <c r="D46" s="65" t="e">
        <f t="shared" ref="D46:H46" si="28">D21/D6</f>
        <v>#DIV/0!</v>
      </c>
      <c r="E46" s="65" t="e">
        <f t="shared" si="28"/>
        <v>#DIV/0!</v>
      </c>
      <c r="F46" s="65" t="e">
        <f t="shared" si="28"/>
        <v>#DIV/0!</v>
      </c>
      <c r="G46" s="65" t="e">
        <f t="shared" si="28"/>
        <v>#DIV/0!</v>
      </c>
      <c r="H46" s="65" t="e">
        <f t="shared" si="28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9">
        <v>5</v>
      </c>
      <c r="B47" s="60" t="s">
        <v>86</v>
      </c>
      <c r="C47" s="58">
        <f>'2023年'!C47</f>
        <v>75.444599999999994</v>
      </c>
      <c r="D47" s="58">
        <f>'2023年'!D47</f>
        <v>0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326.41653646467779</v>
      </c>
      <c r="D48" s="59" t="e">
        <f t="shared" ref="D48:H48" si="29">D40-D43-D44-D45-D47-D46</f>
        <v>#DIV/0!</v>
      </c>
      <c r="E48" s="59" t="e">
        <f t="shared" si="29"/>
        <v>#DIV/0!</v>
      </c>
      <c r="F48" s="59" t="e">
        <f t="shared" si="29"/>
        <v>#DIV/0!</v>
      </c>
      <c r="G48" s="59" t="e">
        <f t="shared" si="29"/>
        <v>#DIV/0!</v>
      </c>
      <c r="H48" s="59" t="e">
        <f t="shared" si="29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8" t="s">
        <v>137</v>
      </c>
      <c r="B1" s="218"/>
      <c r="C1" s="222" t="s">
        <v>253</v>
      </c>
      <c r="D1" s="223"/>
      <c r="E1" s="223"/>
      <c r="F1" s="223"/>
      <c r="G1" s="223"/>
      <c r="H1" s="223"/>
      <c r="I1" s="224"/>
    </row>
    <row r="2" spans="1:38">
      <c r="A2" s="218" t="s">
        <v>138</v>
      </c>
      <c r="B2" s="218"/>
      <c r="C2" s="226" t="str">
        <f>'2023年'!C2:I2</f>
        <v>一汽解放</v>
      </c>
      <c r="D2" s="227"/>
      <c r="E2" s="227"/>
      <c r="F2" s="227"/>
      <c r="G2" s="227"/>
      <c r="H2" s="227"/>
      <c r="I2" s="228"/>
    </row>
    <row r="3" spans="1:38">
      <c r="A3" s="218" t="s">
        <v>139</v>
      </c>
      <c r="B3" s="218"/>
      <c r="C3" s="160" t="str">
        <f>销量!C5</f>
        <v>驾驶员座总成</v>
      </c>
      <c r="D3" s="160">
        <f>销量!D5</f>
        <v>0</v>
      </c>
      <c r="E3" s="160">
        <f>销量!E5</f>
        <v>0</v>
      </c>
      <c r="F3" s="160">
        <f>销量!F5</f>
        <v>0</v>
      </c>
      <c r="G3" s="160">
        <f>销量!G5</f>
        <v>0</v>
      </c>
      <c r="H3" s="160">
        <f>销量!H5</f>
        <v>0</v>
      </c>
      <c r="I3" s="219" t="s">
        <v>15</v>
      </c>
    </row>
    <row r="4" spans="1:38" ht="16.5" customHeight="1">
      <c r="A4" s="218" t="s">
        <v>140</v>
      </c>
      <c r="B4" s="218"/>
      <c r="C4" s="160" t="str">
        <f>销量!C6</f>
        <v>6800010NH43-C00/A</v>
      </c>
      <c r="D4" s="160">
        <f>销量!D6</f>
        <v>0</v>
      </c>
      <c r="E4" s="160">
        <f>销量!E6</f>
        <v>0</v>
      </c>
      <c r="F4" s="160">
        <f>销量!F6</f>
        <v>0</v>
      </c>
      <c r="G4" s="160">
        <f>销量!G6</f>
        <v>0</v>
      </c>
      <c r="H4" s="160">
        <f>销量!H6</f>
        <v>0</v>
      </c>
      <c r="I4" s="220"/>
    </row>
    <row r="5" spans="1:38">
      <c r="A5" s="218" t="s">
        <v>141</v>
      </c>
      <c r="B5" s="218"/>
      <c r="C5" s="51"/>
      <c r="D5" s="51"/>
      <c r="E5" s="51"/>
      <c r="F5" s="51"/>
      <c r="G5" s="51"/>
      <c r="H5" s="51"/>
      <c r="I5" s="221"/>
      <c r="AL5" s="48" t="s">
        <v>16</v>
      </c>
    </row>
    <row r="6" spans="1:38" ht="17.25">
      <c r="A6" s="52" t="s">
        <v>14</v>
      </c>
      <c r="B6" s="53" t="s">
        <v>142</v>
      </c>
      <c r="C6" s="21">
        <f>销量!C12</f>
        <v>5000</v>
      </c>
      <c r="D6" s="21">
        <f>销量!D12</f>
        <v>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4">
        <f>SUM(C6:H6)</f>
        <v>5000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9">
        <v>1</v>
      </c>
      <c r="B7" s="53" t="s">
        <v>18</v>
      </c>
      <c r="C7" s="54">
        <f>C6*销量!C8</f>
        <v>16330000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17" si="0">SUM(C7:H7)</f>
        <v>16330000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9">
        <v>2</v>
      </c>
      <c r="B8" s="159" t="s">
        <v>20</v>
      </c>
      <c r="C8" s="54">
        <f>C7*(1-销量!$L$9)</f>
        <v>1426049.909999999</v>
      </c>
      <c r="D8" s="54">
        <f>D7*(1-销量!$L$9)</f>
        <v>0</v>
      </c>
      <c r="E8" s="54">
        <f>E7*(1-销量!$L$9)</f>
        <v>0</v>
      </c>
      <c r="F8" s="54">
        <f>F7*(1-销量!$L$9)</f>
        <v>0</v>
      </c>
      <c r="G8" s="54">
        <f>G7*(1-销量!$L$9)</f>
        <v>0</v>
      </c>
      <c r="H8" s="54">
        <f>H7*(1-销量!$L$9)</f>
        <v>0</v>
      </c>
      <c r="I8" s="54">
        <f t="shared" si="0"/>
        <v>1426049.909999999</v>
      </c>
      <c r="J8" s="69"/>
      <c r="T8" s="159" t="s">
        <v>22</v>
      </c>
      <c r="AJ8" s="52" t="s">
        <v>21</v>
      </c>
      <c r="AK8" s="159" t="s">
        <v>22</v>
      </c>
      <c r="AL8" s="48" t="s">
        <v>17</v>
      </c>
    </row>
    <row r="9" spans="1:38">
      <c r="A9" s="159">
        <v>3</v>
      </c>
      <c r="B9" s="53" t="s">
        <v>23</v>
      </c>
      <c r="C9" s="54">
        <f>+C7-C8</f>
        <v>14903950.090000002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14903950.090000002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9">
        <v>4</v>
      </c>
      <c r="B10" s="52" t="s">
        <v>26</v>
      </c>
      <c r="C10" s="54">
        <f>C6*C33</f>
        <v>10850429.038146313</v>
      </c>
      <c r="D10" s="54">
        <f t="shared" ref="D10:H10" si="2">D6*D33</f>
        <v>0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10850429.038146313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9">
        <v>5</v>
      </c>
      <c r="B11" s="52" t="s">
        <v>29</v>
      </c>
      <c r="C11" s="54">
        <f>+C6*C36</f>
        <v>256380.99999999997</v>
      </c>
      <c r="D11" s="54">
        <f t="shared" ref="D11:H11" si="3">+D6*D36</f>
        <v>0</v>
      </c>
      <c r="E11" s="54">
        <f t="shared" si="3"/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256380.99999999997</v>
      </c>
      <c r="T11" s="52" t="s">
        <v>29</v>
      </c>
      <c r="AJ11" s="52" t="s">
        <v>30</v>
      </c>
      <c r="AK11" s="52" t="s">
        <v>29</v>
      </c>
    </row>
    <row r="12" spans="1:38">
      <c r="A12" s="159">
        <v>6</v>
      </c>
      <c r="B12" s="52" t="s">
        <v>31</v>
      </c>
      <c r="C12" s="54">
        <f>+C6*C37</f>
        <v>62054</v>
      </c>
      <c r="D12" s="54">
        <f t="shared" ref="D12:H12" si="4">+D6*D37</f>
        <v>0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62054</v>
      </c>
      <c r="T12" s="52" t="s">
        <v>31</v>
      </c>
      <c r="AJ12" s="52" t="s">
        <v>32</v>
      </c>
      <c r="AK12" s="52" t="s">
        <v>31</v>
      </c>
    </row>
    <row r="13" spans="1:38">
      <c r="A13" s="159">
        <v>7</v>
      </c>
      <c r="B13" s="52" t="s">
        <v>33</v>
      </c>
      <c r="C13" s="54">
        <f>+C6*C38</f>
        <v>419681</v>
      </c>
      <c r="D13" s="54">
        <f t="shared" ref="D13:H13" si="5">+D6*D38</f>
        <v>0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419681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9">
        <v>8</v>
      </c>
      <c r="B14" s="55" t="s">
        <v>35</v>
      </c>
      <c r="C14" s="54">
        <f>SUM(C11:C13)</f>
        <v>738116</v>
      </c>
      <c r="D14" s="54">
        <f t="shared" ref="D14:H14" si="6">SUM(D11:D13)</f>
        <v>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738116</v>
      </c>
      <c r="T14" s="55" t="s">
        <v>35</v>
      </c>
      <c r="AJ14" s="52" t="s">
        <v>36</v>
      </c>
      <c r="AK14" s="55" t="s">
        <v>35</v>
      </c>
    </row>
    <row r="15" spans="1:38">
      <c r="A15" s="159">
        <v>9</v>
      </c>
      <c r="B15" s="55" t="s">
        <v>37</v>
      </c>
      <c r="C15" s="54">
        <f>+C9-C10-C14</f>
        <v>3315405.0518536884</v>
      </c>
      <c r="D15" s="54">
        <f t="shared" ref="D15:H15" si="7">+D9-D10-D14</f>
        <v>0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3315405.0518536884</v>
      </c>
      <c r="T15" s="55" t="s">
        <v>37</v>
      </c>
      <c r="AJ15" s="52" t="s">
        <v>38</v>
      </c>
      <c r="AK15" s="55" t="s">
        <v>37</v>
      </c>
    </row>
    <row r="16" spans="1:38">
      <c r="A16" s="159">
        <v>10</v>
      </c>
      <c r="B16" s="52" t="s">
        <v>39</v>
      </c>
      <c r="C16" s="56">
        <f>+C15/C9</f>
        <v>0.22245143279687996</v>
      </c>
      <c r="D16" s="56" t="e">
        <f t="shared" ref="D16:H16" si="8">+D15/D9</f>
        <v>#DIV/0!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0.22245143279687996</v>
      </c>
      <c r="T16" s="52" t="s">
        <v>39</v>
      </c>
      <c r="AJ16" s="52" t="s">
        <v>40</v>
      </c>
      <c r="AK16" s="52" t="s">
        <v>39</v>
      </c>
    </row>
    <row r="17" spans="1:38">
      <c r="A17" s="159">
        <v>11</v>
      </c>
      <c r="B17" s="52" t="s">
        <v>41</v>
      </c>
      <c r="C17" s="54">
        <f>C6*C43+C18</f>
        <v>802483</v>
      </c>
      <c r="D17" s="54">
        <f t="shared" ref="D17:H17" si="10">D6*D43+D18</f>
        <v>0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 t="shared" si="0"/>
        <v>802483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9">
        <v>12</v>
      </c>
      <c r="B18" s="57" t="s">
        <v>143</v>
      </c>
      <c r="C18" s="58">
        <f>$I$18/$I$6*C6</f>
        <v>25175</v>
      </c>
      <c r="D18" s="58">
        <f t="shared" ref="D18:H18" si="11">$I$18/$I$6*D6</f>
        <v>0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项目投资!G26</f>
        <v>25175</v>
      </c>
      <c r="J18" s="70" t="s">
        <v>144</v>
      </c>
      <c r="K18" s="70"/>
      <c r="L18" s="70"/>
    </row>
    <row r="19" spans="1:38">
      <c r="A19" s="159">
        <v>13</v>
      </c>
      <c r="B19" s="52" t="s">
        <v>43</v>
      </c>
      <c r="C19" s="54">
        <f>C6*C44</f>
        <v>122474.99999999999</v>
      </c>
      <c r="D19" s="54">
        <f t="shared" ref="D19:H19" si="12">D6*D44</f>
        <v>0</v>
      </c>
      <c r="E19" s="54">
        <f t="shared" si="12"/>
        <v>0</v>
      </c>
      <c r="F19" s="54">
        <f t="shared" si="12"/>
        <v>0</v>
      </c>
      <c r="G19" s="54">
        <f t="shared" si="12"/>
        <v>0</v>
      </c>
      <c r="H19" s="54">
        <f t="shared" si="12"/>
        <v>0</v>
      </c>
      <c r="I19" s="54">
        <f t="shared" ref="I19:I20" si="13">SUM(C19:H19)</f>
        <v>122474.99999999999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9">
        <v>14</v>
      </c>
      <c r="B20" s="52" t="s">
        <v>45</v>
      </c>
      <c r="C20" s="54">
        <f>C6*C45</f>
        <v>491532.99999999994</v>
      </c>
      <c r="D20" s="54">
        <f t="shared" ref="D20:H20" si="14">D6*D45</f>
        <v>0</v>
      </c>
      <c r="E20" s="54">
        <f t="shared" si="14"/>
        <v>0</v>
      </c>
      <c r="F20" s="54">
        <f t="shared" si="14"/>
        <v>0</v>
      </c>
      <c r="G20" s="54">
        <f t="shared" si="14"/>
        <v>0</v>
      </c>
      <c r="H20" s="54">
        <f t="shared" si="14"/>
        <v>0</v>
      </c>
      <c r="I20" s="54">
        <f t="shared" si="13"/>
        <v>491532.99999999994</v>
      </c>
      <c r="T20" s="52" t="s">
        <v>45</v>
      </c>
      <c r="AJ20" s="52" t="s">
        <v>46</v>
      </c>
      <c r="AK20" s="52" t="s">
        <v>45</v>
      </c>
    </row>
    <row r="21" spans="1:38">
      <c r="A21" s="159">
        <v>15</v>
      </c>
      <c r="B21" s="52" t="s">
        <v>47</v>
      </c>
      <c r="C21" s="59">
        <f>$I$21/$I$6*C6</f>
        <v>40150</v>
      </c>
      <c r="D21" s="59">
        <f t="shared" ref="D21:H21" si="15">$I$21/$I$6*D6</f>
        <v>0</v>
      </c>
      <c r="E21" s="59">
        <f t="shared" si="15"/>
        <v>0</v>
      </c>
      <c r="F21" s="59">
        <f t="shared" si="15"/>
        <v>0</v>
      </c>
      <c r="G21" s="59">
        <f t="shared" si="15"/>
        <v>0</v>
      </c>
      <c r="H21" s="59">
        <f t="shared" si="15"/>
        <v>0</v>
      </c>
      <c r="I21" s="54">
        <f>项目投资!G27</f>
        <v>40150</v>
      </c>
      <c r="T21" s="52" t="s">
        <v>47</v>
      </c>
      <c r="AJ21" s="52"/>
      <c r="AK21" s="52"/>
    </row>
    <row r="22" spans="1:38">
      <c r="A22" s="159">
        <v>16</v>
      </c>
      <c r="B22" s="52" t="s">
        <v>48</v>
      </c>
      <c r="C22" s="54">
        <f>C6*C47</f>
        <v>377222.99999999994</v>
      </c>
      <c r="D22" s="54">
        <f t="shared" ref="D22:H22" si="16">D6*D47</f>
        <v>0</v>
      </c>
      <c r="E22" s="54">
        <f t="shared" si="16"/>
        <v>0</v>
      </c>
      <c r="F22" s="54">
        <f t="shared" si="16"/>
        <v>0</v>
      </c>
      <c r="G22" s="54">
        <f t="shared" si="16"/>
        <v>0</v>
      </c>
      <c r="H22" s="54">
        <f t="shared" si="16"/>
        <v>0</v>
      </c>
      <c r="I22" s="54">
        <f t="shared" ref="I22" si="17">SUM(C22:H22)</f>
        <v>377222.99999999994</v>
      </c>
      <c r="T22" s="52" t="s">
        <v>48</v>
      </c>
      <c r="AJ22" s="52" t="s">
        <v>49</v>
      </c>
      <c r="AK22" s="52" t="s">
        <v>48</v>
      </c>
    </row>
    <row r="23" spans="1:38">
      <c r="A23" s="159">
        <v>17</v>
      </c>
      <c r="B23" s="55" t="s">
        <v>50</v>
      </c>
      <c r="C23" s="59">
        <f>+C22+C21+C20+C19+C17</f>
        <v>1833864</v>
      </c>
      <c r="D23" s="59">
        <f t="shared" ref="D23:H23" si="18">+D22+D21+D20+D19+D17</f>
        <v>0</v>
      </c>
      <c r="E23" s="59">
        <f t="shared" si="18"/>
        <v>0</v>
      </c>
      <c r="F23" s="59">
        <f t="shared" si="18"/>
        <v>0</v>
      </c>
      <c r="G23" s="59">
        <f t="shared" si="18"/>
        <v>0</v>
      </c>
      <c r="H23" s="59">
        <f t="shared" si="18"/>
        <v>0</v>
      </c>
      <c r="I23" s="59">
        <f t="shared" ref="I23" si="19">+I22+I21+I20+I19+I17</f>
        <v>1833864</v>
      </c>
      <c r="T23" s="55" t="s">
        <v>50</v>
      </c>
      <c r="AJ23" s="52" t="s">
        <v>51</v>
      </c>
      <c r="AK23" s="55" t="s">
        <v>50</v>
      </c>
    </row>
    <row r="24" spans="1:38">
      <c r="A24" s="159">
        <v>18</v>
      </c>
      <c r="B24" s="60" t="s">
        <v>52</v>
      </c>
      <c r="C24" s="59">
        <f>+C15-C23</f>
        <v>1481541.0518536884</v>
      </c>
      <c r="D24" s="59">
        <f t="shared" ref="D24:H24" si="20">+D15-D23</f>
        <v>0</v>
      </c>
      <c r="E24" s="59">
        <f t="shared" si="20"/>
        <v>0</v>
      </c>
      <c r="F24" s="59">
        <f t="shared" si="20"/>
        <v>0</v>
      </c>
      <c r="G24" s="59">
        <f t="shared" si="20"/>
        <v>0</v>
      </c>
      <c r="H24" s="59">
        <f t="shared" si="20"/>
        <v>0</v>
      </c>
      <c r="I24" s="59">
        <f t="shared" ref="I24" si="21">+I15-I23</f>
        <v>1481541.0518536884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9">
        <v>19</v>
      </c>
      <c r="B25" s="52" t="s">
        <v>145</v>
      </c>
      <c r="C25" s="59">
        <f>IF(C24&lt;0,0,C24*0.25)</f>
        <v>370385.26296342211</v>
      </c>
      <c r="D25" s="59">
        <f t="shared" ref="D25:I25" si="22">IF(D24&lt;0,0,D24*0.25)</f>
        <v>0</v>
      </c>
      <c r="E25" s="59">
        <f t="shared" si="22"/>
        <v>0</v>
      </c>
      <c r="F25" s="59">
        <f t="shared" si="22"/>
        <v>0</v>
      </c>
      <c r="G25" s="59">
        <f t="shared" si="22"/>
        <v>0</v>
      </c>
      <c r="H25" s="59">
        <f t="shared" si="22"/>
        <v>0</v>
      </c>
      <c r="I25" s="59">
        <f t="shared" si="22"/>
        <v>370385.26296342211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9">
        <v>20</v>
      </c>
      <c r="B26" s="52" t="s">
        <v>56</v>
      </c>
      <c r="C26" s="59">
        <f t="shared" ref="C26:H26" si="23">C24-C25</f>
        <v>1111155.7888902663</v>
      </c>
      <c r="D26" s="59">
        <f t="shared" si="23"/>
        <v>0</v>
      </c>
      <c r="E26" s="59">
        <f t="shared" si="23"/>
        <v>0</v>
      </c>
      <c r="F26" s="59">
        <f t="shared" si="23"/>
        <v>0</v>
      </c>
      <c r="G26" s="59">
        <f t="shared" si="23"/>
        <v>0</v>
      </c>
      <c r="H26" s="59">
        <f t="shared" si="23"/>
        <v>0</v>
      </c>
      <c r="I26" s="54">
        <f>+SUM(C26:H26)</f>
        <v>1111155.7888902663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9">
        <v>21</v>
      </c>
      <c r="B27" s="52" t="s">
        <v>60</v>
      </c>
      <c r="C27" s="61">
        <f t="shared" ref="C27:I27" si="24">C26/C7</f>
        <v>6.8043832755068354E-2</v>
      </c>
      <c r="D27" s="61" t="e">
        <f t="shared" ref="D27:H27" si="25">D26/D7</f>
        <v>#DIV/0!</v>
      </c>
      <c r="E27" s="61" t="e">
        <f t="shared" si="25"/>
        <v>#DIV/0!</v>
      </c>
      <c r="F27" s="61" t="e">
        <f t="shared" si="25"/>
        <v>#DIV/0!</v>
      </c>
      <c r="G27" s="61" t="e">
        <f t="shared" si="25"/>
        <v>#DIV/0!</v>
      </c>
      <c r="H27" s="61" t="e">
        <f t="shared" si="25"/>
        <v>#DIV/0!</v>
      </c>
      <c r="I27" s="61">
        <f t="shared" si="24"/>
        <v>6.8043832755068354E-2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9">
        <v>1</v>
      </c>
      <c r="B31" s="57" t="s">
        <v>65</v>
      </c>
      <c r="C31" s="63">
        <f>销量!C8</f>
        <v>3266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9">
        <v>2</v>
      </c>
      <c r="B32" s="52" t="s">
        <v>147</v>
      </c>
      <c r="C32" s="54">
        <f>C9/C6</f>
        <v>2980.7900180000001</v>
      </c>
      <c r="D32" s="54" t="e">
        <f t="shared" ref="D32:H32" si="26">D9/D6</f>
        <v>#DIV/0!</v>
      </c>
      <c r="E32" s="54" t="e">
        <f t="shared" si="26"/>
        <v>#DIV/0!</v>
      </c>
      <c r="F32" s="54" t="e">
        <f t="shared" si="26"/>
        <v>#DIV/0!</v>
      </c>
      <c r="G32" s="54" t="e">
        <f t="shared" si="26"/>
        <v>#DIV/0!</v>
      </c>
      <c r="H32" s="54" t="e">
        <f t="shared" si="26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66</v>
      </c>
      <c r="C33" s="54">
        <f>材料成本!D15</f>
        <v>2170.0858076292625</v>
      </c>
      <c r="D33" s="54">
        <f>材料成本!E15</f>
        <v>0</v>
      </c>
      <c r="E33" s="54">
        <f>材料成本!F15</f>
        <v>0</v>
      </c>
      <c r="F33" s="54">
        <f>材料成本!G15</f>
        <v>0</v>
      </c>
      <c r="G33" s="54">
        <f>材料成本!H15</f>
        <v>0</v>
      </c>
      <c r="H33" s="54">
        <f>材料成本!I15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9">
        <v>4</v>
      </c>
      <c r="B34" s="52" t="s">
        <v>68</v>
      </c>
      <c r="C34" s="64">
        <f>C32-C33</f>
        <v>810.70421037073766</v>
      </c>
      <c r="D34" s="64" t="e">
        <f t="shared" ref="D34:H34" si="27">D32-D33</f>
        <v>#DIV/0!</v>
      </c>
      <c r="E34" s="64" t="e">
        <f t="shared" si="27"/>
        <v>#DIV/0!</v>
      </c>
      <c r="F34" s="64" t="e">
        <f t="shared" si="27"/>
        <v>#DIV/0!</v>
      </c>
      <c r="G34" s="64" t="e">
        <f t="shared" si="27"/>
        <v>#DIV/0!</v>
      </c>
      <c r="H34" s="64" t="e">
        <f t="shared" si="27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9">
        <v>1</v>
      </c>
      <c r="B36" s="52" t="s">
        <v>71</v>
      </c>
      <c r="C36" s="58">
        <f>'2023年'!C36</f>
        <v>51.276199999999996</v>
      </c>
      <c r="D36" s="58">
        <f>'2023年'!D36</f>
        <v>0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9">
        <v>2</v>
      </c>
      <c r="B37" s="52" t="s">
        <v>72</v>
      </c>
      <c r="C37" s="58">
        <f>'2023年'!C37</f>
        <v>12.4108</v>
      </c>
      <c r="D37" s="58">
        <f>'2023年'!D37</f>
        <v>0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9">
        <v>3</v>
      </c>
      <c r="B38" s="52" t="s">
        <v>73</v>
      </c>
      <c r="C38" s="58">
        <f>'2023年'!C38</f>
        <v>83.936199999999999</v>
      </c>
      <c r="D38" s="58">
        <f>'2023年'!D38</f>
        <v>0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9">
        <v>1</v>
      </c>
      <c r="B40" s="52" t="s">
        <v>77</v>
      </c>
      <c r="C40" s="59">
        <f>C34-C36-C37-C38</f>
        <v>663.08101037073766</v>
      </c>
      <c r="D40" s="59" t="e">
        <f t="shared" ref="D40:H40" si="28">D34-D36-D37-D38</f>
        <v>#DIV/0!</v>
      </c>
      <c r="E40" s="59" t="e">
        <f t="shared" si="28"/>
        <v>#DIV/0!</v>
      </c>
      <c r="F40" s="59" t="e">
        <f t="shared" si="28"/>
        <v>#DIV/0!</v>
      </c>
      <c r="G40" s="59" t="e">
        <f t="shared" si="28"/>
        <v>#DIV/0!</v>
      </c>
      <c r="H40" s="59" t="e">
        <f t="shared" si="28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9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9">
        <v>1</v>
      </c>
      <c r="B43" s="60" t="s">
        <v>81</v>
      </c>
      <c r="C43" s="58">
        <f>'2023年'!C43</f>
        <v>155.4616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9">
        <v>2</v>
      </c>
      <c r="B44" s="60" t="s">
        <v>82</v>
      </c>
      <c r="C44" s="58">
        <f>'2023年'!C44</f>
        <v>24.494999999999997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9">
        <v>3</v>
      </c>
      <c r="B45" s="60" t="s">
        <v>83</v>
      </c>
      <c r="C45" s="58">
        <f>'2023年'!C45</f>
        <v>98.306599999999989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9">
        <v>4</v>
      </c>
      <c r="B46" s="60" t="s">
        <v>84</v>
      </c>
      <c r="C46" s="65">
        <f>C21/C6</f>
        <v>8.0299999999999994</v>
      </c>
      <c r="D46" s="65" t="e">
        <f t="shared" ref="D46:H46" si="29">D21/D6</f>
        <v>#DIV/0!</v>
      </c>
      <c r="E46" s="65" t="e">
        <f t="shared" si="29"/>
        <v>#DIV/0!</v>
      </c>
      <c r="F46" s="65" t="e">
        <f t="shared" si="29"/>
        <v>#DIV/0!</v>
      </c>
      <c r="G46" s="65" t="e">
        <f t="shared" si="29"/>
        <v>#DIV/0!</v>
      </c>
      <c r="H46" s="65" t="e">
        <f t="shared" si="29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9">
        <v>5</v>
      </c>
      <c r="B47" s="60" t="s">
        <v>86</v>
      </c>
      <c r="C47" s="58">
        <f>'2023年'!C47</f>
        <v>75.444599999999994</v>
      </c>
      <c r="D47" s="58">
        <f>'2023年'!D47</f>
        <v>0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301.34321037073772</v>
      </c>
      <c r="D48" s="59" t="e">
        <f t="shared" ref="D48:H48" si="30">D40-D43-D44-D45-D47-D46</f>
        <v>#DIV/0!</v>
      </c>
      <c r="E48" s="59" t="e">
        <f t="shared" si="30"/>
        <v>#DIV/0!</v>
      </c>
      <c r="F48" s="59" t="e">
        <f t="shared" si="30"/>
        <v>#DIV/0!</v>
      </c>
      <c r="G48" s="59" t="e">
        <f t="shared" si="30"/>
        <v>#DIV/0!</v>
      </c>
      <c r="H48" s="59" t="e">
        <f t="shared" si="30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G22" sqref="G2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8" t="s">
        <v>137</v>
      </c>
      <c r="B1" s="218"/>
      <c r="C1" s="222" t="s">
        <v>254</v>
      </c>
      <c r="D1" s="223"/>
      <c r="E1" s="223"/>
      <c r="F1" s="223"/>
      <c r="G1" s="223"/>
      <c r="H1" s="223"/>
      <c r="I1" s="224"/>
    </row>
    <row r="2" spans="1:38">
      <c r="A2" s="218" t="s">
        <v>138</v>
      </c>
      <c r="B2" s="218"/>
      <c r="C2" s="225" t="str">
        <f>'2023年'!C2:I2</f>
        <v>一汽解放</v>
      </c>
      <c r="D2" s="225"/>
      <c r="E2" s="225"/>
      <c r="F2" s="225"/>
      <c r="G2" s="225"/>
      <c r="H2" s="225"/>
      <c r="I2" s="225"/>
    </row>
    <row r="3" spans="1:38">
      <c r="A3" s="218" t="s">
        <v>139</v>
      </c>
      <c r="B3" s="218"/>
      <c r="C3" s="160" t="str">
        <f>销量!C5</f>
        <v>驾驶员座总成</v>
      </c>
      <c r="D3" s="160">
        <f>销量!D5</f>
        <v>0</v>
      </c>
      <c r="E3" s="160">
        <f>销量!E5</f>
        <v>0</v>
      </c>
      <c r="F3" s="160">
        <f>销量!F5</f>
        <v>0</v>
      </c>
      <c r="G3" s="160">
        <f>销量!G5</f>
        <v>0</v>
      </c>
      <c r="H3" s="160">
        <f>销量!H5</f>
        <v>0</v>
      </c>
      <c r="I3" s="219" t="s">
        <v>15</v>
      </c>
    </row>
    <row r="4" spans="1:38" ht="28.5">
      <c r="A4" s="218" t="s">
        <v>140</v>
      </c>
      <c r="B4" s="218"/>
      <c r="C4" s="160" t="str">
        <f>销量!C6</f>
        <v>6800010NH43-C00/A</v>
      </c>
      <c r="D4" s="160">
        <f>销量!D6</f>
        <v>0</v>
      </c>
      <c r="E4" s="160">
        <f>销量!E6</f>
        <v>0</v>
      </c>
      <c r="F4" s="160">
        <f>销量!F6</f>
        <v>0</v>
      </c>
      <c r="G4" s="160">
        <f>销量!G6</f>
        <v>0</v>
      </c>
      <c r="H4" s="160">
        <f>销量!H6</f>
        <v>0</v>
      </c>
      <c r="I4" s="220"/>
    </row>
    <row r="5" spans="1:38">
      <c r="A5" s="218" t="s">
        <v>141</v>
      </c>
      <c r="B5" s="218"/>
      <c r="C5" s="51"/>
      <c r="D5" s="51"/>
      <c r="E5" s="51"/>
      <c r="F5" s="51"/>
      <c r="G5" s="51"/>
      <c r="H5" s="51"/>
      <c r="I5" s="221"/>
      <c r="AL5" s="48" t="s">
        <v>16</v>
      </c>
    </row>
    <row r="6" spans="1:38" ht="17.25">
      <c r="A6" s="52" t="s">
        <v>14</v>
      </c>
      <c r="B6" s="53" t="s">
        <v>142</v>
      </c>
      <c r="C6" s="21">
        <f>销量!C13</f>
        <v>5000</v>
      </c>
      <c r="D6" s="21">
        <f>销量!D13</f>
        <v>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4">
        <f>SUM(C6:H6)</f>
        <v>5000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59">
        <v>1</v>
      </c>
      <c r="B7" s="53" t="s">
        <v>18</v>
      </c>
      <c r="C7" s="54">
        <f>C6*销量!C8</f>
        <v>16330000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16330000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59">
        <v>2</v>
      </c>
      <c r="B8" s="159" t="s">
        <v>20</v>
      </c>
      <c r="C8" s="54">
        <f>C7*(1-销量!$L$10)</f>
        <v>1873168.4127000012</v>
      </c>
      <c r="D8" s="54">
        <f>D7*(1-销量!$L$10)</f>
        <v>0</v>
      </c>
      <c r="E8" s="54">
        <f>E7*(1-销量!$L$10)</f>
        <v>0</v>
      </c>
      <c r="F8" s="54">
        <f>F7*(1-销量!$L$10)</f>
        <v>0</v>
      </c>
      <c r="G8" s="54">
        <f>G7*(1-销量!$L$10)</f>
        <v>0</v>
      </c>
      <c r="H8" s="54">
        <f>H7*(1-销量!$L$10)</f>
        <v>0</v>
      </c>
      <c r="I8" s="54">
        <f t="shared" si="0"/>
        <v>1873168.4127000012</v>
      </c>
      <c r="J8" s="69"/>
      <c r="T8" s="159" t="s">
        <v>22</v>
      </c>
      <c r="AJ8" s="52" t="s">
        <v>21</v>
      </c>
      <c r="AK8" s="159" t="s">
        <v>22</v>
      </c>
      <c r="AL8" s="48" t="s">
        <v>17</v>
      </c>
    </row>
    <row r="9" spans="1:38">
      <c r="A9" s="159">
        <v>3</v>
      </c>
      <c r="B9" s="53" t="s">
        <v>23</v>
      </c>
      <c r="C9" s="54">
        <f>+C7-C8</f>
        <v>14456831.587299999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14456831.587299999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59">
        <v>4</v>
      </c>
      <c r="B10" s="52" t="s">
        <v>26</v>
      </c>
      <c r="C10" s="54">
        <f>C6*C33</f>
        <v>10524916.167001922</v>
      </c>
      <c r="D10" s="54">
        <f t="shared" ref="D10:H10" si="2">D6*D33</f>
        <v>0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10524916.167001922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59">
        <v>5</v>
      </c>
      <c r="B11" s="52" t="s">
        <v>29</v>
      </c>
      <c r="C11" s="54">
        <f>+C6*C36</f>
        <v>256380.99999999997</v>
      </c>
      <c r="D11" s="54">
        <f t="shared" ref="D11:H11" si="3">+D6*D36</f>
        <v>0</v>
      </c>
      <c r="E11" s="54">
        <f t="shared" si="3"/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256380.99999999997</v>
      </c>
      <c r="T11" s="52" t="s">
        <v>29</v>
      </c>
      <c r="AJ11" s="52" t="s">
        <v>30</v>
      </c>
      <c r="AK11" s="52" t="s">
        <v>29</v>
      </c>
    </row>
    <row r="12" spans="1:38">
      <c r="A12" s="159">
        <v>6</v>
      </c>
      <c r="B12" s="52" t="s">
        <v>31</v>
      </c>
      <c r="C12" s="54">
        <f>+C6*C37</f>
        <v>62054</v>
      </c>
      <c r="D12" s="54">
        <f t="shared" ref="D12:H12" si="4">+D6*D37</f>
        <v>0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62054</v>
      </c>
      <c r="T12" s="52" t="s">
        <v>31</v>
      </c>
      <c r="AJ12" s="52" t="s">
        <v>32</v>
      </c>
      <c r="AK12" s="52" t="s">
        <v>31</v>
      </c>
    </row>
    <row r="13" spans="1:38">
      <c r="A13" s="159">
        <v>7</v>
      </c>
      <c r="B13" s="52" t="s">
        <v>33</v>
      </c>
      <c r="C13" s="54">
        <f>+C6*C38</f>
        <v>419681</v>
      </c>
      <c r="D13" s="54">
        <f t="shared" ref="D13:H13" si="5">+D6*D38</f>
        <v>0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419681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59">
        <v>8</v>
      </c>
      <c r="B14" s="55" t="s">
        <v>35</v>
      </c>
      <c r="C14" s="54">
        <f>SUM(C11:C13)</f>
        <v>738116</v>
      </c>
      <c r="D14" s="54">
        <f t="shared" ref="D14:H14" si="6">SUM(D11:D13)</f>
        <v>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738116</v>
      </c>
      <c r="T14" s="55" t="s">
        <v>35</v>
      </c>
      <c r="AJ14" s="52" t="s">
        <v>36</v>
      </c>
      <c r="AK14" s="55" t="s">
        <v>35</v>
      </c>
    </row>
    <row r="15" spans="1:38">
      <c r="A15" s="159">
        <v>9</v>
      </c>
      <c r="B15" s="55" t="s">
        <v>37</v>
      </c>
      <c r="C15" s="54">
        <f>+C9-C10-C14</f>
        <v>3193799.4202980772</v>
      </c>
      <c r="D15" s="54">
        <f t="shared" ref="D15:H15" si="7">+D9-D10-D14</f>
        <v>0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3193799.4202980772</v>
      </c>
      <c r="T15" s="55" t="s">
        <v>37</v>
      </c>
      <c r="AJ15" s="52" t="s">
        <v>38</v>
      </c>
      <c r="AK15" s="55" t="s">
        <v>37</v>
      </c>
    </row>
    <row r="16" spans="1:38">
      <c r="A16" s="159">
        <v>10</v>
      </c>
      <c r="B16" s="52" t="s">
        <v>39</v>
      </c>
      <c r="C16" s="56">
        <f>+C15/C9</f>
        <v>0.22091973618228755</v>
      </c>
      <c r="D16" s="56" t="e">
        <f t="shared" ref="D16:H16" si="8">+D15/D9</f>
        <v>#DIV/0!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ref="I16" si="9">+I15/I9</f>
        <v>0.22091973618228755</v>
      </c>
      <c r="T16" s="52" t="s">
        <v>39</v>
      </c>
      <c r="AJ16" s="52" t="s">
        <v>40</v>
      </c>
      <c r="AK16" s="52" t="s">
        <v>39</v>
      </c>
    </row>
    <row r="17" spans="1:38">
      <c r="A17" s="159">
        <v>11</v>
      </c>
      <c r="B17" s="52" t="s">
        <v>41</v>
      </c>
      <c r="C17" s="54">
        <f>C6*C43+C18</f>
        <v>802483</v>
      </c>
      <c r="D17" s="54">
        <f t="shared" ref="D17:H17" si="10">D6*D43+D18</f>
        <v>0</v>
      </c>
      <c r="E17" s="54">
        <f t="shared" si="10"/>
        <v>0</v>
      </c>
      <c r="F17" s="54">
        <f t="shared" si="10"/>
        <v>0</v>
      </c>
      <c r="G17" s="54">
        <f t="shared" si="10"/>
        <v>0</v>
      </c>
      <c r="H17" s="54">
        <f t="shared" si="10"/>
        <v>0</v>
      </c>
      <c r="I17" s="54">
        <f t="shared" si="0"/>
        <v>802483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59">
        <v>12</v>
      </c>
      <c r="B18" s="57" t="s">
        <v>143</v>
      </c>
      <c r="C18" s="58">
        <f>$I$18/$I$6*C6</f>
        <v>25175</v>
      </c>
      <c r="D18" s="58">
        <f t="shared" ref="D18:H18" si="11">$I$18/$I$6*D6</f>
        <v>0</v>
      </c>
      <c r="E18" s="58">
        <f t="shared" si="11"/>
        <v>0</v>
      </c>
      <c r="F18" s="58">
        <f t="shared" si="11"/>
        <v>0</v>
      </c>
      <c r="G18" s="58">
        <f t="shared" si="11"/>
        <v>0</v>
      </c>
      <c r="H18" s="58">
        <f t="shared" si="11"/>
        <v>0</v>
      </c>
      <c r="I18" s="58">
        <f>项目投资!H26</f>
        <v>25175</v>
      </c>
      <c r="J18" s="70" t="s">
        <v>144</v>
      </c>
      <c r="K18" s="70"/>
      <c r="L18" s="70"/>
    </row>
    <row r="19" spans="1:38">
      <c r="A19" s="159">
        <v>13</v>
      </c>
      <c r="B19" s="52" t="s">
        <v>43</v>
      </c>
      <c r="C19" s="54">
        <f>C6*C44</f>
        <v>122474.99999999999</v>
      </c>
      <c r="D19" s="54">
        <f t="shared" ref="D19:H19" si="12">D6*D44</f>
        <v>0</v>
      </c>
      <c r="E19" s="54">
        <f t="shared" si="12"/>
        <v>0</v>
      </c>
      <c r="F19" s="54">
        <f t="shared" si="12"/>
        <v>0</v>
      </c>
      <c r="G19" s="54">
        <f t="shared" si="12"/>
        <v>0</v>
      </c>
      <c r="H19" s="54">
        <f t="shared" si="12"/>
        <v>0</v>
      </c>
      <c r="I19" s="54">
        <f t="shared" si="0"/>
        <v>122474.99999999999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59">
        <v>14</v>
      </c>
      <c r="B20" s="52" t="s">
        <v>45</v>
      </c>
      <c r="C20" s="54">
        <f>C6*C45</f>
        <v>491532.99999999994</v>
      </c>
      <c r="D20" s="54">
        <f t="shared" ref="D20:H20" si="13">D6*D45</f>
        <v>0</v>
      </c>
      <c r="E20" s="54">
        <f t="shared" si="13"/>
        <v>0</v>
      </c>
      <c r="F20" s="54">
        <f t="shared" si="13"/>
        <v>0</v>
      </c>
      <c r="G20" s="54">
        <f t="shared" si="13"/>
        <v>0</v>
      </c>
      <c r="H20" s="54">
        <f t="shared" si="13"/>
        <v>0</v>
      </c>
      <c r="I20" s="54">
        <f t="shared" si="0"/>
        <v>491532.99999999994</v>
      </c>
      <c r="T20" s="52" t="s">
        <v>45</v>
      </c>
      <c r="AJ20" s="52" t="s">
        <v>46</v>
      </c>
      <c r="AK20" s="52" t="s">
        <v>45</v>
      </c>
    </row>
    <row r="21" spans="1:38">
      <c r="A21" s="159">
        <v>15</v>
      </c>
      <c r="B21" s="52" t="s">
        <v>47</v>
      </c>
      <c r="C21" s="59">
        <f>$I$21/$I$6*C6</f>
        <v>40150</v>
      </c>
      <c r="D21" s="59">
        <f t="shared" ref="D21:H21" si="14">$I$21/$I$6*D6</f>
        <v>0</v>
      </c>
      <c r="E21" s="59">
        <f t="shared" si="14"/>
        <v>0</v>
      </c>
      <c r="F21" s="59">
        <f t="shared" si="14"/>
        <v>0</v>
      </c>
      <c r="G21" s="59">
        <f t="shared" si="14"/>
        <v>0</v>
      </c>
      <c r="H21" s="59">
        <f t="shared" si="14"/>
        <v>0</v>
      </c>
      <c r="I21" s="54">
        <f>项目投资!H27</f>
        <v>40150</v>
      </c>
      <c r="T21" s="52" t="s">
        <v>47</v>
      </c>
      <c r="AJ21" s="52"/>
      <c r="AK21" s="52"/>
    </row>
    <row r="22" spans="1:38">
      <c r="A22" s="159">
        <v>16</v>
      </c>
      <c r="B22" s="52" t="s">
        <v>48</v>
      </c>
      <c r="C22" s="54">
        <f>C6*C47</f>
        <v>377222.99999999994</v>
      </c>
      <c r="D22" s="54">
        <f t="shared" ref="D22:H22" si="15">D6*D47</f>
        <v>0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si="0"/>
        <v>377222.99999999994</v>
      </c>
      <c r="T22" s="52" t="s">
        <v>48</v>
      </c>
      <c r="AJ22" s="52" t="s">
        <v>49</v>
      </c>
      <c r="AK22" s="52" t="s">
        <v>48</v>
      </c>
    </row>
    <row r="23" spans="1:38">
      <c r="A23" s="159">
        <v>17</v>
      </c>
      <c r="B23" s="55" t="s">
        <v>50</v>
      </c>
      <c r="C23" s="59">
        <f>+C22+C21+C20+C19+C17</f>
        <v>1833864</v>
      </c>
      <c r="D23" s="59">
        <f t="shared" ref="D23:H23" si="16">+D22+D21+D20+D19+D17</f>
        <v>0</v>
      </c>
      <c r="E23" s="59">
        <f t="shared" si="16"/>
        <v>0</v>
      </c>
      <c r="F23" s="59">
        <f t="shared" si="16"/>
        <v>0</v>
      </c>
      <c r="G23" s="59">
        <f t="shared" si="16"/>
        <v>0</v>
      </c>
      <c r="H23" s="59">
        <f t="shared" si="16"/>
        <v>0</v>
      </c>
      <c r="I23" s="59">
        <f t="shared" ref="I23" si="17">+I22+I21+I20+I19+I17</f>
        <v>1833864</v>
      </c>
      <c r="T23" s="55" t="s">
        <v>50</v>
      </c>
      <c r="AJ23" s="52" t="s">
        <v>51</v>
      </c>
      <c r="AK23" s="55" t="s">
        <v>50</v>
      </c>
    </row>
    <row r="24" spans="1:38">
      <c r="A24" s="159">
        <v>18</v>
      </c>
      <c r="B24" s="60" t="s">
        <v>52</v>
      </c>
      <c r="C24" s="59">
        <f>+C15-C23</f>
        <v>1359935.4202980772</v>
      </c>
      <c r="D24" s="59">
        <f t="shared" ref="D24:H24" si="18">+D15-D23</f>
        <v>0</v>
      </c>
      <c r="E24" s="59">
        <f t="shared" si="18"/>
        <v>0</v>
      </c>
      <c r="F24" s="59">
        <f t="shared" si="18"/>
        <v>0</v>
      </c>
      <c r="G24" s="59">
        <f t="shared" si="18"/>
        <v>0</v>
      </c>
      <c r="H24" s="59">
        <f t="shared" si="18"/>
        <v>0</v>
      </c>
      <c r="I24" s="59">
        <f t="shared" ref="I24" si="19">+I15-I23</f>
        <v>1359935.4202980772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59">
        <v>19</v>
      </c>
      <c r="B25" s="52" t="s">
        <v>145</v>
      </c>
      <c r="C25" s="59">
        <f>IF(C24&lt;0,0,C24*0.25)</f>
        <v>339983.85507451929</v>
      </c>
      <c r="D25" s="59">
        <f>IF(D24&lt;0,0,D24*0.15)</f>
        <v>0</v>
      </c>
      <c r="E25" s="59">
        <f t="shared" ref="E25:I25" si="20">IF(E24&lt;0,0,E24*0.25)</f>
        <v>0</v>
      </c>
      <c r="F25" s="59">
        <f>IF(F24&lt;0,0,F24*0.15)</f>
        <v>0</v>
      </c>
      <c r="G25" s="59">
        <f t="shared" si="20"/>
        <v>0</v>
      </c>
      <c r="H25" s="59">
        <f t="shared" si="20"/>
        <v>0</v>
      </c>
      <c r="I25" s="59">
        <f t="shared" si="20"/>
        <v>339983.85507451929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59">
        <v>20</v>
      </c>
      <c r="B26" s="52" t="s">
        <v>56</v>
      </c>
      <c r="C26" s="59">
        <f t="shared" ref="C26:H26" si="21">C24-C25</f>
        <v>1019951.5652235579</v>
      </c>
      <c r="D26" s="59">
        <f t="shared" si="21"/>
        <v>0</v>
      </c>
      <c r="E26" s="59">
        <f t="shared" si="21"/>
        <v>0</v>
      </c>
      <c r="F26" s="59">
        <f t="shared" si="21"/>
        <v>0</v>
      </c>
      <c r="G26" s="59">
        <f t="shared" si="21"/>
        <v>0</v>
      </c>
      <c r="H26" s="59">
        <f t="shared" si="21"/>
        <v>0</v>
      </c>
      <c r="I26" s="54">
        <f>+SUM(C26:H26)</f>
        <v>1019951.5652235579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59">
        <v>21</v>
      </c>
      <c r="B27" s="52" t="s">
        <v>60</v>
      </c>
      <c r="C27" s="61">
        <f t="shared" ref="C27:I27" si="22">C26/C7</f>
        <v>6.2458760883255228E-2</v>
      </c>
      <c r="D27" s="61" t="e">
        <f t="shared" ref="D27:H27" si="23">D26/D7</f>
        <v>#DIV/0!</v>
      </c>
      <c r="E27" s="61" t="e">
        <f t="shared" si="23"/>
        <v>#DIV/0!</v>
      </c>
      <c r="F27" s="61" t="e">
        <f t="shared" si="23"/>
        <v>#DIV/0!</v>
      </c>
      <c r="G27" s="61" t="e">
        <f t="shared" si="23"/>
        <v>#DIV/0!</v>
      </c>
      <c r="H27" s="61" t="e">
        <f t="shared" si="23"/>
        <v>#DIV/0!</v>
      </c>
      <c r="I27" s="61">
        <f t="shared" si="22"/>
        <v>6.2458760883255228E-2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59">
        <v>1</v>
      </c>
      <c r="B31" s="57" t="s">
        <v>65</v>
      </c>
      <c r="C31" s="63">
        <f>销量!C8</f>
        <v>3266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59">
        <v>2</v>
      </c>
      <c r="B32" s="52" t="s">
        <v>147</v>
      </c>
      <c r="C32" s="54">
        <f>C9/C6</f>
        <v>2891.3663174599997</v>
      </c>
      <c r="D32" s="54" t="e">
        <f t="shared" ref="D32:H32" si="24">D9/D6</f>
        <v>#DIV/0!</v>
      </c>
      <c r="E32" s="54" t="e">
        <f t="shared" si="24"/>
        <v>#DIV/0!</v>
      </c>
      <c r="F32" s="54" t="e">
        <f t="shared" si="24"/>
        <v>#DIV/0!</v>
      </c>
      <c r="G32" s="54" t="e">
        <f t="shared" si="24"/>
        <v>#DIV/0!</v>
      </c>
      <c r="H32" s="54" t="e">
        <f t="shared" si="24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66</v>
      </c>
      <c r="C33" s="54">
        <f>材料成本!D16</f>
        <v>2104.9832334003845</v>
      </c>
      <c r="D33" s="54">
        <f>材料成本!E16</f>
        <v>0</v>
      </c>
      <c r="E33" s="54">
        <f>材料成本!F16</f>
        <v>0</v>
      </c>
      <c r="F33" s="54">
        <f>材料成本!G16</f>
        <v>0</v>
      </c>
      <c r="G33" s="54">
        <f>材料成本!H16</f>
        <v>0</v>
      </c>
      <c r="H33" s="54">
        <f>材料成本!I16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59">
        <v>4</v>
      </c>
      <c r="B34" s="52" t="s">
        <v>68</v>
      </c>
      <c r="C34" s="64">
        <f>C32-C33</f>
        <v>786.38308405961516</v>
      </c>
      <c r="D34" s="64" t="e">
        <f t="shared" ref="D34:H34" si="25">D32-D33</f>
        <v>#DIV/0!</v>
      </c>
      <c r="E34" s="64" t="e">
        <f t="shared" si="25"/>
        <v>#DIV/0!</v>
      </c>
      <c r="F34" s="64" t="e">
        <f t="shared" si="25"/>
        <v>#DIV/0!</v>
      </c>
      <c r="G34" s="64" t="e">
        <f t="shared" si="25"/>
        <v>#DIV/0!</v>
      </c>
      <c r="H34" s="64" t="e">
        <f t="shared" si="25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59">
        <v>1</v>
      </c>
      <c r="B36" s="52" t="s">
        <v>71</v>
      </c>
      <c r="C36" s="58">
        <f>'2023年'!C36</f>
        <v>51.276199999999996</v>
      </c>
      <c r="D36" s="58">
        <f>'2023年'!D36</f>
        <v>0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59">
        <v>2</v>
      </c>
      <c r="B37" s="52" t="s">
        <v>72</v>
      </c>
      <c r="C37" s="58">
        <f>'2023年'!C37</f>
        <v>12.4108</v>
      </c>
      <c r="D37" s="58">
        <f>'2023年'!D37</f>
        <v>0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59">
        <v>3</v>
      </c>
      <c r="B38" s="52" t="s">
        <v>73</v>
      </c>
      <c r="C38" s="58">
        <f>'2023年'!C38</f>
        <v>83.936199999999999</v>
      </c>
      <c r="D38" s="58">
        <f>'2023年'!D38</f>
        <v>0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59">
        <v>1</v>
      </c>
      <c r="B40" s="52" t="s">
        <v>77</v>
      </c>
      <c r="C40" s="59">
        <f>C34-C36-C37-C38</f>
        <v>638.75988405961516</v>
      </c>
      <c r="D40" s="59" t="e">
        <f t="shared" ref="D40:H40" si="26">D34-D36-D37-D38</f>
        <v>#DIV/0!</v>
      </c>
      <c r="E40" s="59" t="e">
        <f t="shared" si="26"/>
        <v>#DIV/0!</v>
      </c>
      <c r="F40" s="59" t="e">
        <f t="shared" si="26"/>
        <v>#DIV/0!</v>
      </c>
      <c r="G40" s="59" t="e">
        <f t="shared" si="26"/>
        <v>#DIV/0!</v>
      </c>
      <c r="H40" s="59" t="e">
        <f t="shared" si="26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59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59">
        <v>1</v>
      </c>
      <c r="B43" s="60" t="s">
        <v>81</v>
      </c>
      <c r="C43" s="58">
        <f>'2023年'!C43</f>
        <v>155.4616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59">
        <v>2</v>
      </c>
      <c r="B44" s="60" t="s">
        <v>82</v>
      </c>
      <c r="C44" s="58">
        <f>'2023年'!C44</f>
        <v>24.494999999999997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59">
        <v>3</v>
      </c>
      <c r="B45" s="60" t="s">
        <v>83</v>
      </c>
      <c r="C45" s="58">
        <f>'2023年'!C45</f>
        <v>98.306599999999989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59">
        <v>4</v>
      </c>
      <c r="B46" s="60" t="s">
        <v>84</v>
      </c>
      <c r="C46" s="65">
        <f>C21/C6</f>
        <v>8.0299999999999994</v>
      </c>
      <c r="D46" s="65" t="e">
        <f t="shared" ref="D46:H46" si="27">D21/D6</f>
        <v>#DIV/0!</v>
      </c>
      <c r="E46" s="65" t="e">
        <f t="shared" si="27"/>
        <v>#DIV/0!</v>
      </c>
      <c r="F46" s="65" t="e">
        <f t="shared" si="27"/>
        <v>#DIV/0!</v>
      </c>
      <c r="G46" s="65" t="e">
        <f t="shared" si="27"/>
        <v>#DIV/0!</v>
      </c>
      <c r="H46" s="65" t="e">
        <f t="shared" si="27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59">
        <v>5</v>
      </c>
      <c r="B47" s="60" t="s">
        <v>86</v>
      </c>
      <c r="C47" s="58">
        <f>'2023年'!C47</f>
        <v>75.444599999999994</v>
      </c>
      <c r="D47" s="58">
        <f>'2023年'!D47</f>
        <v>0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277.02208405961522</v>
      </c>
      <c r="D48" s="59" t="e">
        <f t="shared" ref="D48:H48" si="28">D40-D43-D44-D45-D47-D46</f>
        <v>#DIV/0!</v>
      </c>
      <c r="E48" s="59" t="e">
        <f t="shared" si="28"/>
        <v>#DIV/0!</v>
      </c>
      <c r="F48" s="59" t="e">
        <f t="shared" si="28"/>
        <v>#DIV/0!</v>
      </c>
      <c r="G48" s="59" t="e">
        <f t="shared" si="28"/>
        <v>#DIV/0!</v>
      </c>
      <c r="H48" s="59" t="e">
        <f t="shared" si="28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30" sqref="E30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18" t="s">
        <v>137</v>
      </c>
      <c r="B1" s="218"/>
      <c r="C1" s="222" t="s">
        <v>268</v>
      </c>
      <c r="D1" s="223"/>
      <c r="E1" s="223"/>
      <c r="F1" s="223"/>
      <c r="G1" s="223"/>
      <c r="H1" s="223"/>
      <c r="I1" s="224"/>
    </row>
    <row r="2" spans="1:38">
      <c r="A2" s="218" t="s">
        <v>138</v>
      </c>
      <c r="B2" s="218"/>
      <c r="C2" s="225" t="str">
        <f>'2023年'!C2:I2</f>
        <v>一汽解放</v>
      </c>
      <c r="D2" s="225"/>
      <c r="E2" s="225"/>
      <c r="F2" s="225"/>
      <c r="G2" s="225"/>
      <c r="H2" s="225"/>
      <c r="I2" s="225"/>
    </row>
    <row r="3" spans="1:38">
      <c r="A3" s="218" t="s">
        <v>139</v>
      </c>
      <c r="B3" s="218"/>
      <c r="C3" s="160" t="str">
        <f>销量!C5</f>
        <v>驾驶员座总成</v>
      </c>
      <c r="D3" s="160">
        <f>销量!D5</f>
        <v>0</v>
      </c>
      <c r="E3" s="160">
        <f>销量!E5</f>
        <v>0</v>
      </c>
      <c r="F3" s="160">
        <f>销量!F5</f>
        <v>0</v>
      </c>
      <c r="G3" s="160">
        <f>销量!G5</f>
        <v>0</v>
      </c>
      <c r="H3" s="160">
        <f>销量!H5</f>
        <v>0</v>
      </c>
      <c r="I3" s="219" t="s">
        <v>15</v>
      </c>
    </row>
    <row r="4" spans="1:38" ht="32.25" customHeight="1">
      <c r="A4" s="218" t="s">
        <v>140</v>
      </c>
      <c r="B4" s="218"/>
      <c r="C4" s="160" t="str">
        <f>销量!C6</f>
        <v>6800010NH43-C00/A</v>
      </c>
      <c r="D4" s="160">
        <f>销量!D6</f>
        <v>0</v>
      </c>
      <c r="E4" s="160">
        <f>销量!E6</f>
        <v>0</v>
      </c>
      <c r="F4" s="160">
        <f>销量!F6</f>
        <v>0</v>
      </c>
      <c r="G4" s="160">
        <f>销量!G6</f>
        <v>0</v>
      </c>
      <c r="H4" s="160">
        <f>销量!H6</f>
        <v>0</v>
      </c>
      <c r="I4" s="220"/>
    </row>
    <row r="5" spans="1:38">
      <c r="A5" s="218" t="s">
        <v>141</v>
      </c>
      <c r="B5" s="218"/>
      <c r="C5" s="51"/>
      <c r="D5" s="51"/>
      <c r="E5" s="51"/>
      <c r="F5" s="51"/>
      <c r="G5" s="51"/>
      <c r="H5" s="51"/>
      <c r="I5" s="221"/>
      <c r="AL5" s="48" t="s">
        <v>16</v>
      </c>
    </row>
    <row r="6" spans="1:38" ht="17.25">
      <c r="A6" s="52" t="s">
        <v>14</v>
      </c>
      <c r="B6" s="53" t="s">
        <v>142</v>
      </c>
      <c r="C6" s="21">
        <f>销量!C14</f>
        <v>10000</v>
      </c>
      <c r="D6" s="21">
        <f>销量!D14</f>
        <v>0</v>
      </c>
      <c r="E6" s="21">
        <f>销量!E14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4">
        <f>SUM(C6:H6)</f>
        <v>10000</v>
      </c>
      <c r="T6" s="53" t="s">
        <v>3</v>
      </c>
      <c r="AJ6" s="52" t="s">
        <v>14</v>
      </c>
      <c r="AK6" s="53" t="s">
        <v>3</v>
      </c>
      <c r="AL6" s="48" t="s">
        <v>17</v>
      </c>
    </row>
    <row r="7" spans="1:38">
      <c r="A7" s="183">
        <v>1</v>
      </c>
      <c r="B7" s="53" t="s">
        <v>18</v>
      </c>
      <c r="C7" s="54">
        <f>C6*销量!C8</f>
        <v>32660000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32660000</v>
      </c>
      <c r="J7" s="49"/>
      <c r="T7" s="53" t="s">
        <v>18</v>
      </c>
      <c r="AJ7" s="52" t="s">
        <v>19</v>
      </c>
      <c r="AK7" s="53" t="s">
        <v>18</v>
      </c>
      <c r="AL7" s="48" t="s">
        <v>17</v>
      </c>
    </row>
    <row r="8" spans="1:38">
      <c r="A8" s="183">
        <v>2</v>
      </c>
      <c r="B8" s="183" t="s">
        <v>20</v>
      </c>
      <c r="C8" s="54">
        <f>C7*(1-销量!$L$11)</f>
        <v>4613746.7206379995</v>
      </c>
      <c r="D8" s="54">
        <f>D7*(1-销量!$L$11)</f>
        <v>0</v>
      </c>
      <c r="E8" s="54">
        <f>E7*(1-销量!$L$11)</f>
        <v>0</v>
      </c>
      <c r="F8" s="54">
        <f>F7*(1-销量!$L$10)</f>
        <v>0</v>
      </c>
      <c r="G8" s="54">
        <f>G7*(1-销量!$L$10)</f>
        <v>0</v>
      </c>
      <c r="H8" s="54">
        <f>H7*(1-销量!$L$10)</f>
        <v>0</v>
      </c>
      <c r="I8" s="54">
        <f t="shared" si="0"/>
        <v>4613746.7206379995</v>
      </c>
      <c r="J8" s="69"/>
      <c r="T8" s="183" t="s">
        <v>22</v>
      </c>
      <c r="AJ8" s="52" t="s">
        <v>21</v>
      </c>
      <c r="AK8" s="183" t="s">
        <v>22</v>
      </c>
      <c r="AL8" s="48" t="s">
        <v>17</v>
      </c>
    </row>
    <row r="9" spans="1:38">
      <c r="A9" s="183">
        <v>3</v>
      </c>
      <c r="B9" s="53" t="s">
        <v>23</v>
      </c>
      <c r="C9" s="54">
        <f>+C7-C8</f>
        <v>28046253.279362001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28046253.279362001</v>
      </c>
      <c r="T9" s="53" t="s">
        <v>23</v>
      </c>
      <c r="AJ9" s="52" t="s">
        <v>24</v>
      </c>
      <c r="AK9" s="53" t="s">
        <v>23</v>
      </c>
      <c r="AL9" s="48" t="s">
        <v>25</v>
      </c>
    </row>
    <row r="10" spans="1:38">
      <c r="A10" s="183">
        <v>4</v>
      </c>
      <c r="B10" s="52" t="s">
        <v>26</v>
      </c>
      <c r="C10" s="54">
        <f>C6*C33</f>
        <v>20418337.363983728</v>
      </c>
      <c r="D10" s="54">
        <f t="shared" ref="D10:H10" si="2">D6*D33</f>
        <v>0</v>
      </c>
      <c r="E10" s="54">
        <f t="shared" si="2"/>
        <v>0</v>
      </c>
      <c r="F10" s="54">
        <f t="shared" si="2"/>
        <v>0</v>
      </c>
      <c r="G10" s="54">
        <f t="shared" si="2"/>
        <v>0</v>
      </c>
      <c r="H10" s="54">
        <f t="shared" si="2"/>
        <v>0</v>
      </c>
      <c r="I10" s="54">
        <f t="shared" si="0"/>
        <v>20418337.363983728</v>
      </c>
      <c r="T10" s="52" t="s">
        <v>26</v>
      </c>
      <c r="AJ10" s="52" t="s">
        <v>27</v>
      </c>
      <c r="AK10" s="52" t="s">
        <v>26</v>
      </c>
      <c r="AL10" s="48" t="s">
        <v>28</v>
      </c>
    </row>
    <row r="11" spans="1:38">
      <c r="A11" s="183">
        <v>5</v>
      </c>
      <c r="B11" s="52" t="s">
        <v>29</v>
      </c>
      <c r="C11" s="54">
        <f>+C6*C36</f>
        <v>512761.99999999994</v>
      </c>
      <c r="D11" s="54">
        <f t="shared" ref="D11:H11" si="3">+D6*D36</f>
        <v>0</v>
      </c>
      <c r="E11" s="54">
        <f t="shared" si="3"/>
        <v>0</v>
      </c>
      <c r="F11" s="54">
        <f t="shared" si="3"/>
        <v>0</v>
      </c>
      <c r="G11" s="54">
        <f t="shared" si="3"/>
        <v>0</v>
      </c>
      <c r="H11" s="54">
        <f t="shared" si="3"/>
        <v>0</v>
      </c>
      <c r="I11" s="54">
        <f t="shared" si="0"/>
        <v>512761.99999999994</v>
      </c>
      <c r="T11" s="52" t="s">
        <v>29</v>
      </c>
      <c r="AJ11" s="52" t="s">
        <v>30</v>
      </c>
      <c r="AK11" s="52" t="s">
        <v>29</v>
      </c>
    </row>
    <row r="12" spans="1:38">
      <c r="A12" s="183">
        <v>6</v>
      </c>
      <c r="B12" s="52" t="s">
        <v>31</v>
      </c>
      <c r="C12" s="54">
        <f>+C6*C37</f>
        <v>124108</v>
      </c>
      <c r="D12" s="54">
        <f t="shared" ref="D12:H12" si="4">+D6*D37</f>
        <v>0</v>
      </c>
      <c r="E12" s="54">
        <f t="shared" si="4"/>
        <v>0</v>
      </c>
      <c r="F12" s="54">
        <f t="shared" si="4"/>
        <v>0</v>
      </c>
      <c r="G12" s="54">
        <f t="shared" si="4"/>
        <v>0</v>
      </c>
      <c r="H12" s="54">
        <f t="shared" si="4"/>
        <v>0</v>
      </c>
      <c r="I12" s="54">
        <f t="shared" si="0"/>
        <v>124108</v>
      </c>
      <c r="T12" s="52" t="s">
        <v>31</v>
      </c>
      <c r="AJ12" s="52" t="s">
        <v>32</v>
      </c>
      <c r="AK12" s="52" t="s">
        <v>31</v>
      </c>
    </row>
    <row r="13" spans="1:38">
      <c r="A13" s="183">
        <v>7</v>
      </c>
      <c r="B13" s="52" t="s">
        <v>33</v>
      </c>
      <c r="C13" s="54">
        <f>+C6*C38</f>
        <v>839362</v>
      </c>
      <c r="D13" s="54">
        <f t="shared" ref="D13:H13" si="5">+D6*D38</f>
        <v>0</v>
      </c>
      <c r="E13" s="54">
        <f t="shared" si="5"/>
        <v>0</v>
      </c>
      <c r="F13" s="54">
        <f t="shared" si="5"/>
        <v>0</v>
      </c>
      <c r="G13" s="54">
        <f t="shared" si="5"/>
        <v>0</v>
      </c>
      <c r="H13" s="54">
        <f t="shared" si="5"/>
        <v>0</v>
      </c>
      <c r="I13" s="54">
        <f t="shared" si="0"/>
        <v>839362</v>
      </c>
      <c r="T13" s="52" t="s">
        <v>33</v>
      </c>
      <c r="AJ13" s="52" t="s">
        <v>34</v>
      </c>
      <c r="AK13" s="52" t="s">
        <v>33</v>
      </c>
      <c r="AL13" s="48" t="s">
        <v>17</v>
      </c>
    </row>
    <row r="14" spans="1:38">
      <c r="A14" s="183">
        <v>8</v>
      </c>
      <c r="B14" s="55" t="s">
        <v>35</v>
      </c>
      <c r="C14" s="54">
        <f>SUM(C11:C13)</f>
        <v>1476232</v>
      </c>
      <c r="D14" s="54">
        <f t="shared" ref="D14:H14" si="6">SUM(D11:D13)</f>
        <v>0</v>
      </c>
      <c r="E14" s="54">
        <f t="shared" si="6"/>
        <v>0</v>
      </c>
      <c r="F14" s="54">
        <f t="shared" si="6"/>
        <v>0</v>
      </c>
      <c r="G14" s="54">
        <f t="shared" si="6"/>
        <v>0</v>
      </c>
      <c r="H14" s="54">
        <f t="shared" si="6"/>
        <v>0</v>
      </c>
      <c r="I14" s="54">
        <f t="shared" si="0"/>
        <v>1476232</v>
      </c>
      <c r="T14" s="55" t="s">
        <v>35</v>
      </c>
      <c r="AJ14" s="52" t="s">
        <v>36</v>
      </c>
      <c r="AK14" s="55" t="s">
        <v>35</v>
      </c>
    </row>
    <row r="15" spans="1:38">
      <c r="A15" s="183">
        <v>9</v>
      </c>
      <c r="B15" s="55" t="s">
        <v>37</v>
      </c>
      <c r="C15" s="54">
        <f>+C9-C10-C14</f>
        <v>6151683.9153782725</v>
      </c>
      <c r="D15" s="54">
        <f t="shared" ref="D15:H15" si="7">+D9-D10-D14</f>
        <v>0</v>
      </c>
      <c r="E15" s="54">
        <f t="shared" si="7"/>
        <v>0</v>
      </c>
      <c r="F15" s="54">
        <f t="shared" si="7"/>
        <v>0</v>
      </c>
      <c r="G15" s="54">
        <f t="shared" si="7"/>
        <v>0</v>
      </c>
      <c r="H15" s="54">
        <f t="shared" si="7"/>
        <v>0</v>
      </c>
      <c r="I15" s="54">
        <f t="shared" si="0"/>
        <v>6151683.9153782725</v>
      </c>
      <c r="T15" s="55" t="s">
        <v>37</v>
      </c>
      <c r="AJ15" s="52" t="s">
        <v>38</v>
      </c>
      <c r="AK15" s="55" t="s">
        <v>37</v>
      </c>
    </row>
    <row r="16" spans="1:38">
      <c r="A16" s="183">
        <v>10</v>
      </c>
      <c r="B16" s="52" t="s">
        <v>39</v>
      </c>
      <c r="C16" s="56">
        <f>+C15/C9</f>
        <v>0.2193406675074501</v>
      </c>
      <c r="D16" s="56" t="e">
        <f t="shared" ref="D16:I16" si="8">+D15/D9</f>
        <v>#DIV/0!</v>
      </c>
      <c r="E16" s="56" t="e">
        <f t="shared" si="8"/>
        <v>#DIV/0!</v>
      </c>
      <c r="F16" s="56" t="e">
        <f t="shared" si="8"/>
        <v>#DIV/0!</v>
      </c>
      <c r="G16" s="56" t="e">
        <f t="shared" si="8"/>
        <v>#DIV/0!</v>
      </c>
      <c r="H16" s="56" t="e">
        <f t="shared" si="8"/>
        <v>#DIV/0!</v>
      </c>
      <c r="I16" s="56">
        <f t="shared" si="8"/>
        <v>0.2193406675074501</v>
      </c>
      <c r="T16" s="52" t="s">
        <v>39</v>
      </c>
      <c r="AJ16" s="52" t="s">
        <v>40</v>
      </c>
      <c r="AK16" s="52" t="s">
        <v>39</v>
      </c>
    </row>
    <row r="17" spans="1:38">
      <c r="A17" s="183">
        <v>11</v>
      </c>
      <c r="B17" s="52" t="s">
        <v>41</v>
      </c>
      <c r="C17" s="54">
        <f>C6*C43+C18</f>
        <v>1579791</v>
      </c>
      <c r="D17" s="54">
        <f t="shared" ref="D17:H17" si="9">D6*D43+D18</f>
        <v>0</v>
      </c>
      <c r="E17" s="54">
        <f t="shared" si="9"/>
        <v>0</v>
      </c>
      <c r="F17" s="54">
        <f t="shared" si="9"/>
        <v>0</v>
      </c>
      <c r="G17" s="54">
        <f t="shared" si="9"/>
        <v>0</v>
      </c>
      <c r="H17" s="54">
        <f t="shared" si="9"/>
        <v>0</v>
      </c>
      <c r="I17" s="54">
        <f t="shared" si="0"/>
        <v>1579791</v>
      </c>
      <c r="J17" s="69"/>
      <c r="T17" s="52" t="s">
        <v>41</v>
      </c>
      <c r="AJ17" s="52" t="s">
        <v>42</v>
      </c>
      <c r="AK17" s="52" t="s">
        <v>41</v>
      </c>
    </row>
    <row r="18" spans="1:38" s="46" customFormat="1">
      <c r="A18" s="183">
        <v>12</v>
      </c>
      <c r="B18" s="57" t="s">
        <v>143</v>
      </c>
      <c r="C18" s="58">
        <f>$I$18/$I$6*C6</f>
        <v>25175</v>
      </c>
      <c r="D18" s="58">
        <f t="shared" ref="D18:H18" si="10">$I$18/$I$6*D6</f>
        <v>0</v>
      </c>
      <c r="E18" s="58">
        <f t="shared" si="10"/>
        <v>0</v>
      </c>
      <c r="F18" s="58">
        <f t="shared" si="10"/>
        <v>0</v>
      </c>
      <c r="G18" s="58">
        <f t="shared" si="10"/>
        <v>0</v>
      </c>
      <c r="H18" s="58">
        <f t="shared" si="10"/>
        <v>0</v>
      </c>
      <c r="I18" s="58">
        <f>项目投资!I26</f>
        <v>25175</v>
      </c>
      <c r="J18" s="70" t="s">
        <v>144</v>
      </c>
      <c r="K18" s="70"/>
      <c r="L18" s="70"/>
    </row>
    <row r="19" spans="1:38">
      <c r="A19" s="183">
        <v>13</v>
      </c>
      <c r="B19" s="52" t="s">
        <v>43</v>
      </c>
      <c r="C19" s="54">
        <f>C6*C44</f>
        <v>244949.99999999997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244949.99999999997</v>
      </c>
      <c r="J19" s="46"/>
      <c r="T19" s="52" t="s">
        <v>43</v>
      </c>
      <c r="AJ19" s="52" t="s">
        <v>44</v>
      </c>
      <c r="AK19" s="52" t="s">
        <v>43</v>
      </c>
      <c r="AL19" s="48" t="s">
        <v>17</v>
      </c>
    </row>
    <row r="20" spans="1:38">
      <c r="A20" s="183">
        <v>14</v>
      </c>
      <c r="B20" s="52" t="s">
        <v>45</v>
      </c>
      <c r="C20" s="54">
        <f>C6*C45</f>
        <v>983065.99999999988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983065.99999999988</v>
      </c>
      <c r="T20" s="52" t="s">
        <v>45</v>
      </c>
      <c r="AJ20" s="52" t="s">
        <v>46</v>
      </c>
      <c r="AK20" s="52" t="s">
        <v>45</v>
      </c>
    </row>
    <row r="21" spans="1:38">
      <c r="A21" s="183">
        <v>15</v>
      </c>
      <c r="B21" s="52" t="s">
        <v>47</v>
      </c>
      <c r="C21" s="59">
        <f>$I$21/$I$6*C6</f>
        <v>40150</v>
      </c>
      <c r="D21" s="59">
        <f t="shared" ref="D21:H21" si="13">$I$21/$I$6*D6</f>
        <v>0</v>
      </c>
      <c r="E21" s="59">
        <f t="shared" si="13"/>
        <v>0</v>
      </c>
      <c r="F21" s="59">
        <f t="shared" si="13"/>
        <v>0</v>
      </c>
      <c r="G21" s="59">
        <f t="shared" si="13"/>
        <v>0</v>
      </c>
      <c r="H21" s="59">
        <f t="shared" si="13"/>
        <v>0</v>
      </c>
      <c r="I21" s="54">
        <f>项目投资!I27</f>
        <v>40150</v>
      </c>
      <c r="T21" s="52" t="s">
        <v>47</v>
      </c>
      <c r="AJ21" s="52"/>
      <c r="AK21" s="52"/>
    </row>
    <row r="22" spans="1:38">
      <c r="A22" s="183">
        <v>16</v>
      </c>
      <c r="B22" s="52" t="s">
        <v>48</v>
      </c>
      <c r="C22" s="54">
        <f>C6*C47</f>
        <v>754445.99999999988</v>
      </c>
      <c r="D22" s="54">
        <f t="shared" ref="D22:H22" si="14">D6*D47</f>
        <v>0</v>
      </c>
      <c r="E22" s="54">
        <f t="shared" si="14"/>
        <v>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754445.99999999988</v>
      </c>
      <c r="T22" s="52" t="s">
        <v>48</v>
      </c>
      <c r="AJ22" s="52" t="s">
        <v>49</v>
      </c>
      <c r="AK22" s="52" t="s">
        <v>48</v>
      </c>
    </row>
    <row r="23" spans="1:38">
      <c r="A23" s="183">
        <v>17</v>
      </c>
      <c r="B23" s="55" t="s">
        <v>50</v>
      </c>
      <c r="C23" s="59">
        <f>+C22+C21+C20+C19+C17</f>
        <v>3602403</v>
      </c>
      <c r="D23" s="59">
        <f t="shared" ref="D23:I23" si="15">+D22+D21+D20+D19+D17</f>
        <v>0</v>
      </c>
      <c r="E23" s="59">
        <f t="shared" si="15"/>
        <v>0</v>
      </c>
      <c r="F23" s="59">
        <f t="shared" si="15"/>
        <v>0</v>
      </c>
      <c r="G23" s="59">
        <f t="shared" si="15"/>
        <v>0</v>
      </c>
      <c r="H23" s="59">
        <f t="shared" si="15"/>
        <v>0</v>
      </c>
      <c r="I23" s="59">
        <f t="shared" si="15"/>
        <v>3602403</v>
      </c>
      <c r="T23" s="55" t="s">
        <v>50</v>
      </c>
      <c r="AJ23" s="52" t="s">
        <v>51</v>
      </c>
      <c r="AK23" s="55" t="s">
        <v>50</v>
      </c>
    </row>
    <row r="24" spans="1:38">
      <c r="A24" s="183">
        <v>18</v>
      </c>
      <c r="B24" s="60" t="s">
        <v>52</v>
      </c>
      <c r="C24" s="59">
        <f>+C15-C23</f>
        <v>2549280.9153782725</v>
      </c>
      <c r="D24" s="59">
        <f t="shared" ref="D24:I24" si="16">+D15-D23</f>
        <v>0</v>
      </c>
      <c r="E24" s="59">
        <f t="shared" si="16"/>
        <v>0</v>
      </c>
      <c r="F24" s="59">
        <f t="shared" si="16"/>
        <v>0</v>
      </c>
      <c r="G24" s="59">
        <f t="shared" si="16"/>
        <v>0</v>
      </c>
      <c r="H24" s="59">
        <f t="shared" si="16"/>
        <v>0</v>
      </c>
      <c r="I24" s="59">
        <f t="shared" si="16"/>
        <v>2549280.9153782725</v>
      </c>
      <c r="K24" s="71"/>
      <c r="T24" s="52" t="s">
        <v>52</v>
      </c>
      <c r="AJ24" s="52" t="s">
        <v>53</v>
      </c>
      <c r="AK24" s="52" t="s">
        <v>52</v>
      </c>
    </row>
    <row r="25" spans="1:38">
      <c r="A25" s="183">
        <v>19</v>
      </c>
      <c r="B25" s="52" t="s">
        <v>145</v>
      </c>
      <c r="C25" s="59">
        <f>IF(C24&lt;0,0,C24*0.25)</f>
        <v>637320.22884456813</v>
      </c>
      <c r="D25" s="59">
        <f>IF(D24&lt;0,0,D24*0.15)</f>
        <v>0</v>
      </c>
      <c r="E25" s="59">
        <f t="shared" ref="E25:I25" si="17">IF(E24&lt;0,0,E24*0.25)</f>
        <v>0</v>
      </c>
      <c r="F25" s="59">
        <f>IF(F24&lt;0,0,F24*0.15)</f>
        <v>0</v>
      </c>
      <c r="G25" s="59">
        <f t="shared" si="17"/>
        <v>0</v>
      </c>
      <c r="H25" s="59">
        <f t="shared" si="17"/>
        <v>0</v>
      </c>
      <c r="I25" s="59">
        <f t="shared" si="17"/>
        <v>637320.22884456813</v>
      </c>
      <c r="J25" s="67"/>
      <c r="K25" s="67"/>
      <c r="L25" s="67"/>
      <c r="T25" s="52" t="s">
        <v>54</v>
      </c>
      <c r="AJ25" s="52" t="s">
        <v>55</v>
      </c>
      <c r="AK25" s="52" t="s">
        <v>54</v>
      </c>
    </row>
    <row r="26" spans="1:38">
      <c r="A26" s="183">
        <v>20</v>
      </c>
      <c r="B26" s="52" t="s">
        <v>56</v>
      </c>
      <c r="C26" s="59">
        <f t="shared" ref="C26:H26" si="18">C24-C25</f>
        <v>1911960.6865337044</v>
      </c>
      <c r="D26" s="59">
        <f t="shared" si="18"/>
        <v>0</v>
      </c>
      <c r="E26" s="59">
        <f t="shared" si="18"/>
        <v>0</v>
      </c>
      <c r="F26" s="59">
        <f t="shared" si="18"/>
        <v>0</v>
      </c>
      <c r="G26" s="59">
        <f t="shared" si="18"/>
        <v>0</v>
      </c>
      <c r="H26" s="59">
        <f t="shared" si="18"/>
        <v>0</v>
      </c>
      <c r="I26" s="54">
        <f>+SUM(C26:H26)</f>
        <v>1911960.6865337044</v>
      </c>
      <c r="J26" s="67"/>
      <c r="K26" s="67"/>
      <c r="L26" s="67"/>
      <c r="T26" s="52" t="s">
        <v>56</v>
      </c>
      <c r="AJ26" s="52" t="s">
        <v>57</v>
      </c>
      <c r="AK26" s="52" t="s">
        <v>56</v>
      </c>
    </row>
    <row r="27" spans="1:38">
      <c r="A27" s="183">
        <v>21</v>
      </c>
      <c r="B27" s="52" t="s">
        <v>60</v>
      </c>
      <c r="C27" s="61">
        <f t="shared" ref="C27:I27" si="19">C26/C7</f>
        <v>5.8541355986947471E-2</v>
      </c>
      <c r="D27" s="61" t="e">
        <f t="shared" si="19"/>
        <v>#DIV/0!</v>
      </c>
      <c r="E27" s="61" t="e">
        <f t="shared" si="19"/>
        <v>#DIV/0!</v>
      </c>
      <c r="F27" s="61" t="e">
        <f t="shared" si="19"/>
        <v>#DIV/0!</v>
      </c>
      <c r="G27" s="61" t="e">
        <f t="shared" si="19"/>
        <v>#DIV/0!</v>
      </c>
      <c r="H27" s="61" t="e">
        <f t="shared" si="19"/>
        <v>#DIV/0!</v>
      </c>
      <c r="I27" s="61">
        <f t="shared" si="19"/>
        <v>5.8541355986947471E-2</v>
      </c>
      <c r="J27" s="67"/>
      <c r="K27" s="67"/>
      <c r="L27" s="67"/>
      <c r="T27" s="52" t="s">
        <v>60</v>
      </c>
      <c r="AJ27" s="52" t="s">
        <v>59</v>
      </c>
      <c r="AK27" s="52" t="s">
        <v>60</v>
      </c>
    </row>
    <row r="28" spans="1:38">
      <c r="J28" s="67"/>
      <c r="K28" s="67"/>
      <c r="L28" s="67"/>
      <c r="T28" s="52"/>
    </row>
    <row r="29" spans="1:38">
      <c r="A29" s="48" t="s">
        <v>61</v>
      </c>
      <c r="I29" s="49" t="s">
        <v>146</v>
      </c>
      <c r="J29" s="67"/>
      <c r="K29" s="67"/>
      <c r="L29" s="67"/>
      <c r="T29" s="52"/>
      <c r="AJ29" s="48" t="s">
        <v>61</v>
      </c>
    </row>
    <row r="30" spans="1:38">
      <c r="A30" s="52" t="s">
        <v>62</v>
      </c>
      <c r="B30" s="55" t="s">
        <v>63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63</v>
      </c>
      <c r="AJ30" s="52" t="s">
        <v>64</v>
      </c>
      <c r="AK30" s="55" t="s">
        <v>63</v>
      </c>
    </row>
    <row r="31" spans="1:38">
      <c r="A31" s="183">
        <v>1</v>
      </c>
      <c r="B31" s="57" t="s">
        <v>65</v>
      </c>
      <c r="C31" s="63">
        <f>销量!C8</f>
        <v>3266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65</v>
      </c>
      <c r="AJ31" s="52" t="s">
        <v>19</v>
      </c>
      <c r="AK31" s="52" t="s">
        <v>65</v>
      </c>
    </row>
    <row r="32" spans="1:38">
      <c r="A32" s="183">
        <v>2</v>
      </c>
      <c r="B32" s="52" t="s">
        <v>147</v>
      </c>
      <c r="C32" s="54">
        <f>C9/C6</f>
        <v>2804.6253279361999</v>
      </c>
      <c r="D32" s="54" t="e">
        <f t="shared" ref="D32:H32" si="20">D9/D6</f>
        <v>#DIV/0!</v>
      </c>
      <c r="E32" s="54" t="e">
        <f t="shared" si="20"/>
        <v>#DIV/0!</v>
      </c>
      <c r="F32" s="54" t="e">
        <f t="shared" si="20"/>
        <v>#DIV/0!</v>
      </c>
      <c r="G32" s="54" t="e">
        <f t="shared" si="20"/>
        <v>#DIV/0!</v>
      </c>
      <c r="H32" s="54" t="e">
        <f t="shared" si="20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83">
        <v>3</v>
      </c>
      <c r="B33" s="57" t="s">
        <v>66</v>
      </c>
      <c r="C33" s="54">
        <f>材料成本!D17</f>
        <v>2041.8337363983728</v>
      </c>
      <c r="D33" s="54">
        <f>材料成本!E17</f>
        <v>0</v>
      </c>
      <c r="E33" s="54">
        <f>材料成本!F17</f>
        <v>0</v>
      </c>
      <c r="F33" s="54">
        <f>材料成本!G17</f>
        <v>0</v>
      </c>
      <c r="G33" s="54">
        <f>材料成本!H17</f>
        <v>0</v>
      </c>
      <c r="H33" s="54">
        <f>材料成本!I17</f>
        <v>0</v>
      </c>
      <c r="I33" s="59"/>
      <c r="K33" s="67"/>
      <c r="L33" s="67"/>
      <c r="M33" s="67"/>
      <c r="N33" s="67"/>
      <c r="O33" s="67"/>
      <c r="P33" s="67"/>
      <c r="T33" s="52" t="s">
        <v>66</v>
      </c>
      <c r="AJ33" s="52" t="s">
        <v>21</v>
      </c>
      <c r="AK33" s="52" t="s">
        <v>66</v>
      </c>
    </row>
    <row r="34" spans="1:37" ht="17.25" customHeight="1">
      <c r="A34" s="183">
        <v>4</v>
      </c>
      <c r="B34" s="52" t="s">
        <v>68</v>
      </c>
      <c r="C34" s="64">
        <f>C32-C33</f>
        <v>762.79159153782712</v>
      </c>
      <c r="D34" s="64" t="e">
        <f t="shared" ref="D34:H34" si="21">D32-D33</f>
        <v>#DIV/0!</v>
      </c>
      <c r="E34" s="64" t="e">
        <f t="shared" si="21"/>
        <v>#DIV/0!</v>
      </c>
      <c r="F34" s="64" t="e">
        <f t="shared" si="21"/>
        <v>#DIV/0!</v>
      </c>
      <c r="G34" s="64" t="e">
        <f t="shared" si="21"/>
        <v>#DIV/0!</v>
      </c>
      <c r="H34" s="64" t="e">
        <f t="shared" si="21"/>
        <v>#DIV/0!</v>
      </c>
      <c r="I34" s="59"/>
      <c r="K34" s="67"/>
      <c r="L34" s="67"/>
      <c r="M34" s="67"/>
      <c r="N34" s="67"/>
      <c r="O34" s="67"/>
      <c r="P34" s="67"/>
      <c r="T34" s="52" t="s">
        <v>68</v>
      </c>
      <c r="AJ34" s="52" t="s">
        <v>67</v>
      </c>
      <c r="AK34" s="52" t="s">
        <v>68</v>
      </c>
    </row>
    <row r="35" spans="1:37">
      <c r="A35" s="52" t="s">
        <v>64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70</v>
      </c>
      <c r="AK35" s="55" t="s">
        <v>8</v>
      </c>
    </row>
    <row r="36" spans="1:37">
      <c r="A36" s="183">
        <v>1</v>
      </c>
      <c r="B36" s="52" t="s">
        <v>71</v>
      </c>
      <c r="C36" s="58">
        <f>'2023年'!C36</f>
        <v>51.276199999999996</v>
      </c>
      <c r="D36" s="58">
        <f>'2023年'!D36</f>
        <v>0</v>
      </c>
      <c r="E36" s="58">
        <f>'2023年'!E36</f>
        <v>0</v>
      </c>
      <c r="F36" s="58">
        <f>'2023年'!F36</f>
        <v>0</v>
      </c>
      <c r="G36" s="58">
        <f>'2023年'!G36</f>
        <v>0</v>
      </c>
      <c r="H36" s="58"/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71</v>
      </c>
      <c r="AJ36" s="52" t="s">
        <v>67</v>
      </c>
      <c r="AK36" s="52" t="s">
        <v>71</v>
      </c>
    </row>
    <row r="37" spans="1:37">
      <c r="A37" s="183">
        <v>2</v>
      </c>
      <c r="B37" s="52" t="s">
        <v>72</v>
      </c>
      <c r="C37" s="58">
        <f>'2023年'!C37</f>
        <v>12.4108</v>
      </c>
      <c r="D37" s="58">
        <f>'2023年'!D37</f>
        <v>0</v>
      </c>
      <c r="E37" s="58">
        <f>'2023年'!E37</f>
        <v>0</v>
      </c>
      <c r="F37" s="58">
        <f>'2023年'!F37</f>
        <v>0</v>
      </c>
      <c r="G37" s="58">
        <f>'2023年'!G37</f>
        <v>0</v>
      </c>
      <c r="H37" s="58"/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72</v>
      </c>
      <c r="AJ37" s="52" t="s">
        <v>24</v>
      </c>
      <c r="AK37" s="52" t="s">
        <v>72</v>
      </c>
    </row>
    <row r="38" spans="1:37">
      <c r="A38" s="183">
        <v>3</v>
      </c>
      <c r="B38" s="52" t="s">
        <v>73</v>
      </c>
      <c r="C38" s="58">
        <f>'2023年'!C38</f>
        <v>83.936199999999999</v>
      </c>
      <c r="D38" s="58">
        <f>'2023年'!D38</f>
        <v>0</v>
      </c>
      <c r="E38" s="58">
        <f>'2023年'!E38</f>
        <v>0</v>
      </c>
      <c r="F38" s="58">
        <f>'2023年'!F38</f>
        <v>0</v>
      </c>
      <c r="G38" s="58">
        <f>'2023年'!G38</f>
        <v>0</v>
      </c>
      <c r="H38" s="58"/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73</v>
      </c>
      <c r="AJ38" s="52" t="s">
        <v>30</v>
      </c>
      <c r="AK38" s="52" t="s">
        <v>73</v>
      </c>
    </row>
    <row r="39" spans="1:37">
      <c r="A39" s="52" t="s">
        <v>70</v>
      </c>
      <c r="B39" s="55" t="s">
        <v>75</v>
      </c>
      <c r="C39" s="59"/>
      <c r="D39" s="59"/>
      <c r="E39" s="59"/>
      <c r="F39" s="59"/>
      <c r="G39" s="59"/>
      <c r="H39" s="59"/>
      <c r="I39" s="59"/>
      <c r="T39" s="55" t="s">
        <v>75</v>
      </c>
      <c r="AJ39" s="52" t="s">
        <v>74</v>
      </c>
      <c r="AK39" s="55" t="s">
        <v>75</v>
      </c>
    </row>
    <row r="40" spans="1:37">
      <c r="A40" s="183">
        <v>1</v>
      </c>
      <c r="B40" s="52" t="s">
        <v>77</v>
      </c>
      <c r="C40" s="59">
        <f>C34-C36-C37-C38</f>
        <v>615.16839153782712</v>
      </c>
      <c r="D40" s="59" t="e">
        <f t="shared" ref="D40:H40" si="22">D34-D36-D37-D38</f>
        <v>#DIV/0!</v>
      </c>
      <c r="E40" s="59" t="e">
        <f t="shared" si="22"/>
        <v>#DIV/0!</v>
      </c>
      <c r="F40" s="59" t="e">
        <f t="shared" si="22"/>
        <v>#DIV/0!</v>
      </c>
      <c r="G40" s="59" t="e">
        <f t="shared" si="22"/>
        <v>#DIV/0!</v>
      </c>
      <c r="H40" s="59" t="e">
        <f t="shared" si="22"/>
        <v>#DIV/0!</v>
      </c>
      <c r="I40" s="59"/>
      <c r="T40" s="52" t="s">
        <v>77</v>
      </c>
      <c r="AJ40" s="52" t="s">
        <v>19</v>
      </c>
      <c r="AK40" s="52" t="s">
        <v>77</v>
      </c>
    </row>
    <row r="41" spans="1:37">
      <c r="A41" s="183">
        <v>2</v>
      </c>
      <c r="B41" s="52" t="s">
        <v>78</v>
      </c>
      <c r="C41" s="59"/>
      <c r="D41" s="59"/>
      <c r="E41" s="59"/>
      <c r="F41" s="59"/>
      <c r="G41" s="59"/>
      <c r="H41" s="59"/>
      <c r="I41" s="59"/>
      <c r="T41" s="52" t="s">
        <v>78</v>
      </c>
      <c r="AJ41" s="52" t="s">
        <v>21</v>
      </c>
      <c r="AK41" s="52" t="s">
        <v>78</v>
      </c>
    </row>
    <row r="42" spans="1:37">
      <c r="A42" s="52" t="s">
        <v>74</v>
      </c>
      <c r="B42" s="55" t="s">
        <v>80</v>
      </c>
      <c r="C42" s="59"/>
      <c r="D42" s="59"/>
      <c r="E42" s="59"/>
      <c r="F42" s="59"/>
      <c r="G42" s="59"/>
      <c r="H42" s="59"/>
      <c r="I42" s="59"/>
      <c r="T42" s="55" t="s">
        <v>80</v>
      </c>
      <c r="AJ42" s="52" t="s">
        <v>79</v>
      </c>
      <c r="AK42" s="55" t="s">
        <v>80</v>
      </c>
    </row>
    <row r="43" spans="1:37">
      <c r="A43" s="183">
        <v>1</v>
      </c>
      <c r="B43" s="60" t="s">
        <v>81</v>
      </c>
      <c r="C43" s="58">
        <f>'2023年'!C43</f>
        <v>155.4616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/>
      <c r="I43" s="59"/>
      <c r="T43" s="52" t="s">
        <v>81</v>
      </c>
      <c r="AJ43" s="52" t="s">
        <v>19</v>
      </c>
      <c r="AK43" s="52" t="s">
        <v>81</v>
      </c>
    </row>
    <row r="44" spans="1:37">
      <c r="A44" s="183">
        <v>2</v>
      </c>
      <c r="B44" s="60" t="s">
        <v>82</v>
      </c>
      <c r="C44" s="58">
        <f>'2023年'!C44</f>
        <v>24.494999999999997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/>
      <c r="I44" s="59"/>
      <c r="T44" s="52" t="s">
        <v>82</v>
      </c>
      <c r="AJ44" s="52" t="s">
        <v>21</v>
      </c>
      <c r="AK44" s="52" t="s">
        <v>82</v>
      </c>
    </row>
    <row r="45" spans="1:37">
      <c r="A45" s="183">
        <v>3</v>
      </c>
      <c r="B45" s="60" t="s">
        <v>83</v>
      </c>
      <c r="C45" s="58">
        <f>'2023年'!C45</f>
        <v>98.306599999999989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/>
      <c r="I45" s="59"/>
      <c r="T45" s="52" t="s">
        <v>83</v>
      </c>
      <c r="AJ45" s="52" t="s">
        <v>67</v>
      </c>
      <c r="AK45" s="52" t="s">
        <v>83</v>
      </c>
    </row>
    <row r="46" spans="1:37" s="47" customFormat="1">
      <c r="A46" s="183">
        <v>4</v>
      </c>
      <c r="B46" s="60" t="s">
        <v>84</v>
      </c>
      <c r="C46" s="65">
        <f>C21/C6</f>
        <v>4.0149999999999997</v>
      </c>
      <c r="D46" s="65" t="e">
        <f t="shared" ref="D46:H46" si="23">D21/D6</f>
        <v>#DIV/0!</v>
      </c>
      <c r="E46" s="65" t="e">
        <f t="shared" si="23"/>
        <v>#DIV/0!</v>
      </c>
      <c r="F46" s="65" t="e">
        <f t="shared" si="23"/>
        <v>#DIV/0!</v>
      </c>
      <c r="G46" s="65" t="e">
        <f t="shared" si="23"/>
        <v>#DIV/0!</v>
      </c>
      <c r="H46" s="65" t="e">
        <f t="shared" si="23"/>
        <v>#DIV/0!</v>
      </c>
      <c r="I46" s="65"/>
      <c r="T46" s="60" t="s">
        <v>86</v>
      </c>
      <c r="AJ46" s="60" t="s">
        <v>27</v>
      </c>
      <c r="AK46" s="60" t="s">
        <v>86</v>
      </c>
    </row>
    <row r="47" spans="1:37" s="47" customFormat="1">
      <c r="A47" s="183">
        <v>5</v>
      </c>
      <c r="B47" s="60" t="s">
        <v>86</v>
      </c>
      <c r="C47" s="58">
        <f>'2023年'!C47</f>
        <v>75.444599999999994</v>
      </c>
      <c r="D47" s="58">
        <f>'2023年'!D47</f>
        <v>0</v>
      </c>
      <c r="E47" s="58">
        <f>'2023年'!E47</f>
        <v>0</v>
      </c>
      <c r="F47" s="58">
        <f>'2023年'!F47</f>
        <v>0</v>
      </c>
      <c r="G47" s="58">
        <f>'2023年'!G47</f>
        <v>0</v>
      </c>
      <c r="H47" s="65"/>
      <c r="I47" s="65"/>
      <c r="T47" s="60" t="s">
        <v>86</v>
      </c>
      <c r="AJ47" s="60" t="s">
        <v>27</v>
      </c>
      <c r="AK47" s="60" t="s">
        <v>86</v>
      </c>
    </row>
    <row r="48" spans="1:37">
      <c r="A48" s="52" t="s">
        <v>79</v>
      </c>
      <c r="B48" s="55" t="s">
        <v>97</v>
      </c>
      <c r="C48" s="59">
        <f>C40-C43-C44-C45-C47-C46</f>
        <v>257.44559153782717</v>
      </c>
      <c r="D48" s="59" t="e">
        <f t="shared" ref="D48:H48" si="24">D40-D43-D44-D45-D47-D46</f>
        <v>#DIV/0!</v>
      </c>
      <c r="E48" s="59" t="e">
        <f t="shared" si="24"/>
        <v>#DIV/0!</v>
      </c>
      <c r="F48" s="59" t="e">
        <f t="shared" si="24"/>
        <v>#DIV/0!</v>
      </c>
      <c r="G48" s="59" t="e">
        <f t="shared" si="24"/>
        <v>#DIV/0!</v>
      </c>
      <c r="H48" s="59" t="e">
        <f t="shared" si="24"/>
        <v>#DIV/0!</v>
      </c>
      <c r="I48" s="59"/>
      <c r="T48" s="55" t="s">
        <v>97</v>
      </c>
      <c r="AJ48" s="52" t="s">
        <v>96</v>
      </c>
      <c r="AK48" s="55" t="s">
        <v>97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2023-08-18T03:47:30Z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