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A6座椅立项\2次投资收益分析\"/>
    </mc:Choice>
  </mc:AlternateContent>
  <bookViews>
    <workbookView xWindow="0" yWindow="0" windowWidth="20925" windowHeight="93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'2025年'!$A$1:$N$48</definedName>
    <definedName name="_xlnm.Print_Area" localSheetId="4">'2026年'!$A$1:$N$48</definedName>
    <definedName name="_xlnm.Print_Area" localSheetId="5">'2027年'!$A$1:$N$48</definedName>
    <definedName name="_xlnm.Print_Area" localSheetId="6">项目投资!$A$1:$C$35</definedName>
  </definedNames>
  <calcPr calcId="162913"/>
</workbook>
</file>

<file path=xl/calcChain.xml><?xml version="1.0" encoding="utf-8"?>
<calcChain xmlns="http://schemas.openxmlformats.org/spreadsheetml/2006/main">
  <c r="D6" i="58" l="1"/>
  <c r="E6" i="58"/>
  <c r="F6" i="58"/>
  <c r="G6" i="58"/>
  <c r="H6" i="58"/>
  <c r="I6" i="58"/>
  <c r="J6" i="58"/>
  <c r="K6" i="58"/>
  <c r="L6" i="58"/>
  <c r="M6" i="58"/>
  <c r="E6" i="57"/>
  <c r="F6" i="57"/>
  <c r="G6" i="57"/>
  <c r="H6" i="57"/>
  <c r="I6" i="57"/>
  <c r="J6" i="57"/>
  <c r="K6" i="57"/>
  <c r="L6" i="57"/>
  <c r="M6" i="57"/>
  <c r="D6" i="43"/>
  <c r="E6" i="43"/>
  <c r="F6" i="43"/>
  <c r="G6" i="43"/>
  <c r="H6" i="43"/>
  <c r="I6" i="43"/>
  <c r="J6" i="43"/>
  <c r="K6" i="43"/>
  <c r="L6" i="43"/>
  <c r="M6" i="43"/>
  <c r="H33" i="58"/>
  <c r="H33" i="57"/>
  <c r="I27" i="53"/>
  <c r="I28" i="53"/>
  <c r="E11" i="50" l="1"/>
  <c r="N8" i="55"/>
  <c r="N9" i="55"/>
  <c r="H17" i="55" l="1"/>
  <c r="H18" i="55" l="1"/>
  <c r="I139" i="50"/>
  <c r="E139" i="50"/>
  <c r="H137" i="50"/>
  <c r="I136" i="50"/>
  <c r="H136" i="50"/>
  <c r="I126" i="50"/>
  <c r="H124" i="50"/>
  <c r="I123" i="50"/>
  <c r="H123" i="50"/>
  <c r="I113" i="50"/>
  <c r="H111" i="50"/>
  <c r="E111" i="50"/>
  <c r="K45" i="57" s="1"/>
  <c r="I110" i="50"/>
  <c r="H110" i="50"/>
  <c r="E110" i="50"/>
  <c r="E109" i="50"/>
  <c r="I100" i="50"/>
  <c r="E99" i="50"/>
  <c r="J44" i="58" s="1"/>
  <c r="H98" i="50"/>
  <c r="I97" i="50"/>
  <c r="H97" i="50"/>
  <c r="E97" i="50"/>
  <c r="I93" i="50"/>
  <c r="I87" i="50"/>
  <c r="H85" i="50"/>
  <c r="I84" i="50"/>
  <c r="H84" i="50"/>
  <c r="I74" i="50"/>
  <c r="H72" i="50"/>
  <c r="I71" i="50"/>
  <c r="H71" i="50"/>
  <c r="I61" i="50"/>
  <c r="H59" i="50"/>
  <c r="I58" i="50"/>
  <c r="H58" i="50"/>
  <c r="E49" i="50"/>
  <c r="I48" i="50"/>
  <c r="E47" i="50"/>
  <c r="H46" i="50"/>
  <c r="I45" i="50"/>
  <c r="H45" i="50"/>
  <c r="E45" i="50"/>
  <c r="I41" i="50"/>
  <c r="E42" i="50" s="1"/>
  <c r="I35" i="50"/>
  <c r="H33" i="50"/>
  <c r="I32" i="50"/>
  <c r="H32" i="50"/>
  <c r="I22" i="50"/>
  <c r="H20" i="50"/>
  <c r="I19" i="50"/>
  <c r="H19" i="50"/>
  <c r="I10" i="50"/>
  <c r="H8" i="50"/>
  <c r="I7" i="50"/>
  <c r="H7" i="50"/>
  <c r="E7" i="50"/>
  <c r="N24" i="53"/>
  <c r="M24" i="53"/>
  <c r="L24" i="53"/>
  <c r="K24" i="53"/>
  <c r="K27" i="53" s="1"/>
  <c r="J24" i="53"/>
  <c r="I24" i="53"/>
  <c r="H10" i="57" s="1"/>
  <c r="H24" i="53"/>
  <c r="G24" i="53"/>
  <c r="G27" i="53" s="1"/>
  <c r="F24" i="53"/>
  <c r="F27" i="53" s="1"/>
  <c r="E24" i="53"/>
  <c r="D24" i="53"/>
  <c r="M14" i="55"/>
  <c r="L14" i="55"/>
  <c r="K14" i="55"/>
  <c r="J14" i="55"/>
  <c r="I14" i="55"/>
  <c r="H14" i="55"/>
  <c r="G14" i="55"/>
  <c r="F14" i="55"/>
  <c r="E14" i="55"/>
  <c r="D14" i="55"/>
  <c r="C14" i="55"/>
  <c r="N13" i="55"/>
  <c r="N12" i="55"/>
  <c r="N11" i="55"/>
  <c r="N10" i="55"/>
  <c r="N14" i="55" s="1"/>
  <c r="M8" i="55"/>
  <c r="I132" i="50" s="1"/>
  <c r="E138" i="50" s="1"/>
  <c r="L8" i="55"/>
  <c r="K8" i="55"/>
  <c r="I106" i="50" s="1"/>
  <c r="J8" i="55"/>
  <c r="I8" i="55"/>
  <c r="I80" i="50" s="1"/>
  <c r="G8" i="55"/>
  <c r="G31" i="58" s="1"/>
  <c r="F8" i="55"/>
  <c r="E8" i="55"/>
  <c r="I28" i="50" s="1"/>
  <c r="E35" i="50" s="1"/>
  <c r="E38" i="57" s="1"/>
  <c r="D8" i="55"/>
  <c r="C8" i="55"/>
  <c r="I3" i="50" s="1"/>
  <c r="P7" i="55"/>
  <c r="P8" i="55" s="1"/>
  <c r="P9" i="55" s="1"/>
  <c r="H28" i="51"/>
  <c r="G28" i="51"/>
  <c r="G22" i="51"/>
  <c r="B9" i="51"/>
  <c r="B27" i="51" s="1"/>
  <c r="B8" i="51"/>
  <c r="B5" i="51"/>
  <c r="B7" i="51" s="1"/>
  <c r="E38" i="58"/>
  <c r="F36" i="58"/>
  <c r="K32" i="58"/>
  <c r="G32" i="58"/>
  <c r="M31" i="58"/>
  <c r="M32" i="58" s="1"/>
  <c r="K31" i="58"/>
  <c r="J31" i="58"/>
  <c r="J32" i="58" s="1"/>
  <c r="I31" i="58"/>
  <c r="I32" i="58" s="1"/>
  <c r="F31" i="58"/>
  <c r="F32" i="58" s="1"/>
  <c r="E31" i="58"/>
  <c r="E32" i="58" s="1"/>
  <c r="C31" i="58"/>
  <c r="C32" i="58" s="1"/>
  <c r="J19" i="58"/>
  <c r="E13" i="58"/>
  <c r="F11" i="58"/>
  <c r="M7" i="58"/>
  <c r="L7" i="58"/>
  <c r="J7" i="58"/>
  <c r="H7" i="58"/>
  <c r="F7" i="58"/>
  <c r="E7" i="58"/>
  <c r="C6" i="58"/>
  <c r="J44" i="57"/>
  <c r="F36" i="57"/>
  <c r="K32" i="57"/>
  <c r="J32" i="57"/>
  <c r="G32" i="57"/>
  <c r="F32" i="57"/>
  <c r="E32" i="57"/>
  <c r="C32" i="57"/>
  <c r="M31" i="57"/>
  <c r="M32" i="57" s="1"/>
  <c r="L31" i="57"/>
  <c r="L32" i="57" s="1"/>
  <c r="K31" i="57"/>
  <c r="J31" i="57"/>
  <c r="I31" i="57"/>
  <c r="I32" i="57" s="1"/>
  <c r="H31" i="57"/>
  <c r="H32" i="57" s="1"/>
  <c r="G31" i="57"/>
  <c r="F31" i="57"/>
  <c r="E31" i="57"/>
  <c r="D31" i="57"/>
  <c r="D32" i="57" s="1"/>
  <c r="C31" i="57"/>
  <c r="E13" i="57"/>
  <c r="M7" i="57"/>
  <c r="L7" i="57"/>
  <c r="E7" i="57"/>
  <c r="D7" i="57"/>
  <c r="D6" i="57"/>
  <c r="C6" i="57"/>
  <c r="F47" i="43"/>
  <c r="J44" i="43"/>
  <c r="M38" i="43"/>
  <c r="M13" i="43" s="1"/>
  <c r="E38" i="43"/>
  <c r="F36" i="43"/>
  <c r="L33" i="43"/>
  <c r="L10" i="43" s="1"/>
  <c r="K33" i="43"/>
  <c r="K10" i="43" s="1"/>
  <c r="J33" i="43"/>
  <c r="J10" i="43" s="1"/>
  <c r="I33" i="43"/>
  <c r="I10" i="43" s="1"/>
  <c r="H33" i="43"/>
  <c r="D33" i="43"/>
  <c r="D10" i="43" s="1"/>
  <c r="L32" i="43"/>
  <c r="H32" i="43"/>
  <c r="H34" i="43" s="1"/>
  <c r="D32" i="43"/>
  <c r="M31" i="43"/>
  <c r="M32" i="43" s="1"/>
  <c r="L31" i="43"/>
  <c r="K31" i="43"/>
  <c r="K32" i="43" s="1"/>
  <c r="J31" i="43"/>
  <c r="J32" i="43" s="1"/>
  <c r="I31" i="43"/>
  <c r="I32" i="43" s="1"/>
  <c r="H31" i="43"/>
  <c r="G31" i="43"/>
  <c r="G32" i="43" s="1"/>
  <c r="F31" i="43"/>
  <c r="F32" i="43" s="1"/>
  <c r="E31" i="43"/>
  <c r="E32" i="43" s="1"/>
  <c r="D31" i="43"/>
  <c r="C31" i="43"/>
  <c r="C32" i="43" s="1"/>
  <c r="J19" i="43"/>
  <c r="H10" i="43"/>
  <c r="N8" i="43"/>
  <c r="M7" i="43"/>
  <c r="M9" i="43" s="1"/>
  <c r="L7" i="43"/>
  <c r="L9" i="43" s="1"/>
  <c r="K7" i="43"/>
  <c r="K9" i="43" s="1"/>
  <c r="J7" i="43"/>
  <c r="J9" i="43" s="1"/>
  <c r="I7" i="43"/>
  <c r="I9" i="43" s="1"/>
  <c r="H7" i="43"/>
  <c r="H9" i="43" s="1"/>
  <c r="E7" i="43"/>
  <c r="E9" i="43" s="1"/>
  <c r="D7" i="43"/>
  <c r="D9" i="43" s="1"/>
  <c r="C6" i="43"/>
  <c r="F60" i="56"/>
  <c r="C60" i="56"/>
  <c r="C56" i="56"/>
  <c r="F15" i="56"/>
  <c r="C5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C13" i="36"/>
  <c r="L12" i="36"/>
  <c r="K12" i="36"/>
  <c r="K10" i="36" s="1"/>
  <c r="J12" i="36"/>
  <c r="I12" i="36"/>
  <c r="H12" i="36"/>
  <c r="G12" i="36"/>
  <c r="F12" i="36"/>
  <c r="E12" i="36"/>
  <c r="D12" i="36"/>
  <c r="C12" i="36"/>
  <c r="C10" i="36" s="1"/>
  <c r="L11" i="36"/>
  <c r="K11" i="36"/>
  <c r="J11" i="36"/>
  <c r="J10" i="36" s="1"/>
  <c r="I11" i="36"/>
  <c r="H11" i="36"/>
  <c r="G11" i="36"/>
  <c r="F11" i="36"/>
  <c r="F10" i="36" s="1"/>
  <c r="E11" i="36"/>
  <c r="D11" i="36"/>
  <c r="C11" i="36"/>
  <c r="G10" i="36"/>
  <c r="M9" i="36"/>
  <c r="M8" i="36"/>
  <c r="L7" i="36"/>
  <c r="K7" i="36"/>
  <c r="J7" i="36"/>
  <c r="I7" i="36"/>
  <c r="H7" i="36"/>
  <c r="G7" i="36"/>
  <c r="F7" i="36"/>
  <c r="E7" i="36"/>
  <c r="L6" i="36"/>
  <c r="K6" i="36"/>
  <c r="K5" i="36" s="1"/>
  <c r="J6" i="36"/>
  <c r="I6" i="36"/>
  <c r="I5" i="36" s="1"/>
  <c r="H6" i="36"/>
  <c r="G6" i="36"/>
  <c r="G5" i="36" s="1"/>
  <c r="F6" i="36"/>
  <c r="E6" i="36"/>
  <c r="E5" i="36" s="1"/>
  <c r="L5" i="36"/>
  <c r="J5" i="36"/>
  <c r="H5" i="36"/>
  <c r="F5" i="36"/>
  <c r="F17" i="36" s="1"/>
  <c r="F19" i="36" s="1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M16" i="55" l="1"/>
  <c r="M17" i="55" s="1"/>
  <c r="M18" i="55" s="1"/>
  <c r="N27" i="53"/>
  <c r="K34" i="43"/>
  <c r="M33" i="43"/>
  <c r="M10" i="43" s="1"/>
  <c r="K16" i="55"/>
  <c r="K17" i="55" s="1"/>
  <c r="K18" i="55" s="1"/>
  <c r="L27" i="53"/>
  <c r="L16" i="55"/>
  <c r="L17" i="55" s="1"/>
  <c r="L18" i="55" s="1"/>
  <c r="M27" i="53"/>
  <c r="G16" i="55"/>
  <c r="G17" i="55" s="1"/>
  <c r="G18" i="55" s="1"/>
  <c r="H27" i="53"/>
  <c r="K28" i="53"/>
  <c r="J33" i="58" s="1"/>
  <c r="J33" i="57"/>
  <c r="I16" i="55"/>
  <c r="I17" i="55" s="1"/>
  <c r="I18" i="55" s="1"/>
  <c r="J27" i="53"/>
  <c r="F33" i="43"/>
  <c r="F34" i="43" s="1"/>
  <c r="E33" i="43"/>
  <c r="E34" i="43" s="1"/>
  <c r="B26" i="51"/>
  <c r="C57" i="56" s="1"/>
  <c r="C55" i="56" s="1"/>
  <c r="D16" i="55"/>
  <c r="D17" i="55" s="1"/>
  <c r="D18" i="55" s="1"/>
  <c r="E27" i="53"/>
  <c r="G28" i="53"/>
  <c r="F33" i="58" s="1"/>
  <c r="F33" i="57"/>
  <c r="F34" i="57" s="1"/>
  <c r="C16" i="55"/>
  <c r="D27" i="53"/>
  <c r="C33" i="43"/>
  <c r="C10" i="43" s="1"/>
  <c r="E33" i="57"/>
  <c r="E34" i="57" s="1"/>
  <c r="F28" i="53"/>
  <c r="E33" i="58" s="1"/>
  <c r="E34" i="58" s="1"/>
  <c r="B10" i="51"/>
  <c r="G33" i="43"/>
  <c r="G10" i="43" s="1"/>
  <c r="J34" i="57"/>
  <c r="D34" i="43"/>
  <c r="F16" i="55"/>
  <c r="F17" i="55" s="1"/>
  <c r="F18" i="55" s="1"/>
  <c r="M34" i="43"/>
  <c r="J34" i="58"/>
  <c r="J16" i="55"/>
  <c r="J17" i="55" s="1"/>
  <c r="J18" i="55" s="1"/>
  <c r="C17" i="55"/>
  <c r="I34" i="43"/>
  <c r="J34" i="43"/>
  <c r="L34" i="43"/>
  <c r="H34" i="57"/>
  <c r="E16" i="55"/>
  <c r="E17" i="55" s="1"/>
  <c r="E18" i="55" s="1"/>
  <c r="H10" i="58"/>
  <c r="E17" i="36"/>
  <c r="E19" i="36" s="1"/>
  <c r="M7" i="36"/>
  <c r="M11" i="36"/>
  <c r="E10" i="36"/>
  <c r="I10" i="36"/>
  <c r="I17" i="36" s="1"/>
  <c r="I19" i="36" s="1"/>
  <c r="M13" i="36"/>
  <c r="M15" i="36"/>
  <c r="C17" i="36"/>
  <c r="E23" i="36" s="1"/>
  <c r="G17" i="36"/>
  <c r="G19" i="36" s="1"/>
  <c r="K17" i="36"/>
  <c r="K19" i="36" s="1"/>
  <c r="D10" i="36"/>
  <c r="D17" i="36" s="1"/>
  <c r="D19" i="36" s="1"/>
  <c r="H10" i="36"/>
  <c r="H17" i="36" s="1"/>
  <c r="H19" i="36" s="1"/>
  <c r="L10" i="36"/>
  <c r="L17" i="36" s="1"/>
  <c r="L19" i="36" s="1"/>
  <c r="E22" i="36"/>
  <c r="M17" i="36"/>
  <c r="J17" i="36"/>
  <c r="J19" i="36" s="1"/>
  <c r="F19" i="43"/>
  <c r="F11" i="43"/>
  <c r="F10" i="43"/>
  <c r="F7" i="43"/>
  <c r="F9" i="43" s="1"/>
  <c r="C7" i="43"/>
  <c r="N6" i="43"/>
  <c r="C3" i="56" s="1"/>
  <c r="G7" i="43"/>
  <c r="G9" i="43" s="1"/>
  <c r="F44" i="58"/>
  <c r="F44" i="57"/>
  <c r="F44" i="43"/>
  <c r="M6" i="36"/>
  <c r="M12" i="36"/>
  <c r="K45" i="58"/>
  <c r="K45" i="43"/>
  <c r="K20" i="43" s="1"/>
  <c r="F22" i="57"/>
  <c r="L8" i="57"/>
  <c r="L9" i="57" s="1"/>
  <c r="K37" i="58"/>
  <c r="K37" i="57"/>
  <c r="K37" i="43"/>
  <c r="K12" i="43" s="1"/>
  <c r="M5" i="36"/>
  <c r="F22" i="43"/>
  <c r="E8" i="57"/>
  <c r="E9" i="57" s="1"/>
  <c r="E10" i="43"/>
  <c r="E13" i="43"/>
  <c r="N6" i="57"/>
  <c r="D3" i="56" s="1"/>
  <c r="H7" i="57"/>
  <c r="N6" i="58"/>
  <c r="E3" i="56" s="1"/>
  <c r="C7" i="58"/>
  <c r="G7" i="58"/>
  <c r="K20" i="58"/>
  <c r="K12" i="58"/>
  <c r="K7" i="58"/>
  <c r="I7" i="57"/>
  <c r="E10" i="57"/>
  <c r="D27" i="51"/>
  <c r="M44" i="58"/>
  <c r="M44" i="57"/>
  <c r="M19" i="57" s="1"/>
  <c r="M44" i="43"/>
  <c r="M19" i="43" s="1"/>
  <c r="F7" i="57"/>
  <c r="J7" i="57"/>
  <c r="J10" i="57"/>
  <c r="F11" i="57"/>
  <c r="F19" i="57"/>
  <c r="J19" i="57"/>
  <c r="I7" i="58"/>
  <c r="M19" i="58"/>
  <c r="D26" i="51"/>
  <c r="Q9" i="55"/>
  <c r="P10" i="55"/>
  <c r="Q10" i="55" s="1"/>
  <c r="Q8" i="55"/>
  <c r="L8" i="58" s="1"/>
  <c r="L9" i="58" s="1"/>
  <c r="M38" i="58"/>
  <c r="M38" i="57"/>
  <c r="M13" i="57" s="1"/>
  <c r="C7" i="57"/>
  <c r="G7" i="57"/>
  <c r="K7" i="57"/>
  <c r="K12" i="57"/>
  <c r="K20" i="57"/>
  <c r="M13" i="58"/>
  <c r="F47" i="57"/>
  <c r="F47" i="58"/>
  <c r="F19" i="58"/>
  <c r="F22" i="58"/>
  <c r="E29" i="50"/>
  <c r="E98" i="50"/>
  <c r="E96" i="50"/>
  <c r="E100" i="50"/>
  <c r="E95" i="50"/>
  <c r="E94" i="50"/>
  <c r="E101" i="50"/>
  <c r="E134" i="50"/>
  <c r="E46" i="50"/>
  <c r="E44" i="50"/>
  <c r="E36" i="50"/>
  <c r="E32" i="50"/>
  <c r="E48" i="50"/>
  <c r="E43" i="50"/>
  <c r="E33" i="50"/>
  <c r="E31" i="50"/>
  <c r="E34" i="50"/>
  <c r="E30" i="50"/>
  <c r="E88" i="50"/>
  <c r="E84" i="50"/>
  <c r="E85" i="50"/>
  <c r="E83" i="50"/>
  <c r="E86" i="50"/>
  <c r="E82" i="50"/>
  <c r="E140" i="50"/>
  <c r="E136" i="50"/>
  <c r="E137" i="50"/>
  <c r="E135" i="50"/>
  <c r="E133" i="50"/>
  <c r="E81" i="50"/>
  <c r="E87" i="50"/>
  <c r="D7" i="58"/>
  <c r="E10" i="50"/>
  <c r="E5" i="50"/>
  <c r="E9" i="50"/>
  <c r="E4" i="50"/>
  <c r="E113" i="50"/>
  <c r="E108" i="50"/>
  <c r="E112" i="50"/>
  <c r="E107" i="50"/>
  <c r="E114" i="50"/>
  <c r="E6" i="50"/>
  <c r="E8" i="50"/>
  <c r="I54" i="50"/>
  <c r="I15" i="50"/>
  <c r="D31" i="58"/>
  <c r="D32" i="58" s="1"/>
  <c r="I67" i="50"/>
  <c r="H31" i="58"/>
  <c r="H32" i="58" s="1"/>
  <c r="H34" i="58" s="1"/>
  <c r="I119" i="50"/>
  <c r="L31" i="58"/>
  <c r="L32" i="58" s="1"/>
  <c r="Q7" i="55"/>
  <c r="D8" i="57" s="1"/>
  <c r="D9" i="57" s="1"/>
  <c r="L28" i="53" l="1"/>
  <c r="K33" i="58" s="1"/>
  <c r="K33" i="57"/>
  <c r="M28" i="53"/>
  <c r="L33" i="58" s="1"/>
  <c r="L10" i="58" s="1"/>
  <c r="L33" i="57"/>
  <c r="M33" i="57"/>
  <c r="N28" i="53"/>
  <c r="M33" i="58" s="1"/>
  <c r="M10" i="58" s="1"/>
  <c r="G33" i="57"/>
  <c r="H28" i="53"/>
  <c r="G33" i="58" s="1"/>
  <c r="G34" i="58" s="1"/>
  <c r="J28" i="53"/>
  <c r="I33" i="58" s="1"/>
  <c r="I34" i="58" s="1"/>
  <c r="I33" i="57"/>
  <c r="I10" i="57" s="1"/>
  <c r="E10" i="58"/>
  <c r="C34" i="43"/>
  <c r="J26" i="51"/>
  <c r="D33" i="57"/>
  <c r="E28" i="53"/>
  <c r="D33" i="58" s="1"/>
  <c r="D10" i="58" s="1"/>
  <c r="C33" i="57"/>
  <c r="C10" i="57" s="1"/>
  <c r="D28" i="53"/>
  <c r="C33" i="58" s="1"/>
  <c r="C10" i="58" s="1"/>
  <c r="G34" i="43"/>
  <c r="G10" i="58"/>
  <c r="J10" i="58"/>
  <c r="I10" i="58"/>
  <c r="C34" i="57"/>
  <c r="L34" i="58"/>
  <c r="F10" i="57"/>
  <c r="C18" i="55"/>
  <c r="N17" i="55"/>
  <c r="N18" i="55" s="1"/>
  <c r="M34" i="58"/>
  <c r="N16" i="55"/>
  <c r="F34" i="58"/>
  <c r="F10" i="58"/>
  <c r="M10" i="36"/>
  <c r="C18" i="36"/>
  <c r="D18" i="36" s="1"/>
  <c r="E18" i="36" s="1"/>
  <c r="F18" i="36" s="1"/>
  <c r="G18" i="36" s="1"/>
  <c r="H18" i="36" s="1"/>
  <c r="E24" i="36" s="1"/>
  <c r="C19" i="36"/>
  <c r="N10" i="43"/>
  <c r="C7" i="56" s="1"/>
  <c r="E21" i="50"/>
  <c r="E16" i="50"/>
  <c r="E23" i="50"/>
  <c r="E19" i="50"/>
  <c r="E18" i="50"/>
  <c r="E22" i="50"/>
  <c r="E20" i="50"/>
  <c r="E17" i="50"/>
  <c r="K38" i="58"/>
  <c r="K13" i="58" s="1"/>
  <c r="K38" i="43"/>
  <c r="K13" i="43" s="1"/>
  <c r="K38" i="57"/>
  <c r="K13" i="57" s="1"/>
  <c r="M47" i="58"/>
  <c r="M22" i="58" s="1"/>
  <c r="M47" i="57"/>
  <c r="M22" i="57" s="1"/>
  <c r="M47" i="43"/>
  <c r="M22" i="43" s="1"/>
  <c r="E44" i="58"/>
  <c r="E19" i="58" s="1"/>
  <c r="E44" i="57"/>
  <c r="E19" i="57" s="1"/>
  <c r="E44" i="43"/>
  <c r="E19" i="43" s="1"/>
  <c r="F45" i="58"/>
  <c r="F20" i="58" s="1"/>
  <c r="F45" i="43"/>
  <c r="F20" i="43" s="1"/>
  <c r="F45" i="57"/>
  <c r="F20" i="57" s="1"/>
  <c r="E36" i="58"/>
  <c r="E11" i="58" s="1"/>
  <c r="E36" i="43"/>
  <c r="E36" i="57"/>
  <c r="J8" i="58"/>
  <c r="J9" i="58" s="1"/>
  <c r="E61" i="50"/>
  <c r="E56" i="50"/>
  <c r="E60" i="50"/>
  <c r="E55" i="50"/>
  <c r="E58" i="50"/>
  <c r="E59" i="50"/>
  <c r="E57" i="50"/>
  <c r="E62" i="50"/>
  <c r="K36" i="57"/>
  <c r="K36" i="58"/>
  <c r="K36" i="43"/>
  <c r="C47" i="57"/>
  <c r="C22" i="57" s="1"/>
  <c r="C47" i="58"/>
  <c r="C22" i="58" s="1"/>
  <c r="C47" i="43"/>
  <c r="C22" i="43" s="1"/>
  <c r="C38" i="58"/>
  <c r="C13" i="58" s="1"/>
  <c r="C38" i="43"/>
  <c r="C13" i="43" s="1"/>
  <c r="C38" i="57"/>
  <c r="C13" i="57" s="1"/>
  <c r="D8" i="58"/>
  <c r="D9" i="58" s="1"/>
  <c r="M37" i="58"/>
  <c r="M12" i="58" s="1"/>
  <c r="M37" i="57"/>
  <c r="M12" i="57" s="1"/>
  <c r="M37" i="43"/>
  <c r="M12" i="43" s="1"/>
  <c r="I43" i="58"/>
  <c r="I43" i="43"/>
  <c r="I43" i="57"/>
  <c r="E37" i="58"/>
  <c r="E12" i="58" s="1"/>
  <c r="E37" i="43"/>
  <c r="E12" i="43" s="1"/>
  <c r="E37" i="57"/>
  <c r="E12" i="57" s="1"/>
  <c r="M43" i="58"/>
  <c r="M43" i="43"/>
  <c r="M43" i="57"/>
  <c r="J38" i="58"/>
  <c r="J13" i="58" s="1"/>
  <c r="J38" i="43"/>
  <c r="J13" i="43" s="1"/>
  <c r="J38" i="57"/>
  <c r="J13" i="57" s="1"/>
  <c r="I8" i="58"/>
  <c r="I9" i="58" s="1"/>
  <c r="J8" i="57"/>
  <c r="J9" i="57" s="1"/>
  <c r="I8" i="57"/>
  <c r="I9" i="57" s="1"/>
  <c r="M8" i="58"/>
  <c r="M9" i="58" s="1"/>
  <c r="G8" i="58"/>
  <c r="G9" i="58" s="1"/>
  <c r="I34" i="57"/>
  <c r="M8" i="57"/>
  <c r="M9" i="57" s="1"/>
  <c r="C37" i="58"/>
  <c r="C12" i="58" s="1"/>
  <c r="C37" i="57"/>
  <c r="C12" i="57" s="1"/>
  <c r="C37" i="43"/>
  <c r="C12" i="43" s="1"/>
  <c r="K43" i="58"/>
  <c r="K43" i="57"/>
  <c r="K43" i="43"/>
  <c r="C44" i="58"/>
  <c r="C19" i="58" s="1"/>
  <c r="C44" i="57"/>
  <c r="C19" i="57" s="1"/>
  <c r="C44" i="43"/>
  <c r="C19" i="43" s="1"/>
  <c r="I36" i="58"/>
  <c r="I11" i="58" s="1"/>
  <c r="I36" i="43"/>
  <c r="I36" i="57"/>
  <c r="I11" i="57" s="1"/>
  <c r="I37" i="58"/>
  <c r="I12" i="58" s="1"/>
  <c r="I37" i="43"/>
  <c r="I12" i="43" s="1"/>
  <c r="I37" i="57"/>
  <c r="I12" i="57" s="1"/>
  <c r="E43" i="58"/>
  <c r="E43" i="43"/>
  <c r="E43" i="57"/>
  <c r="F43" i="58"/>
  <c r="F43" i="57"/>
  <c r="F43" i="43"/>
  <c r="F37" i="58"/>
  <c r="F37" i="43"/>
  <c r="F37" i="57"/>
  <c r="J36" i="58"/>
  <c r="J36" i="43"/>
  <c r="J36" i="57"/>
  <c r="J45" i="58"/>
  <c r="J20" i="58" s="1"/>
  <c r="J45" i="57"/>
  <c r="J20" i="57" s="1"/>
  <c r="J45" i="43"/>
  <c r="J20" i="43" s="1"/>
  <c r="G8" i="57"/>
  <c r="G9" i="57" s="1"/>
  <c r="E27" i="51"/>
  <c r="N21" i="43"/>
  <c r="E8" i="58"/>
  <c r="E9" i="58" s="1"/>
  <c r="N7" i="43"/>
  <c r="C4" i="56" s="1"/>
  <c r="C9" i="43"/>
  <c r="E125" i="50"/>
  <c r="E120" i="50"/>
  <c r="E127" i="50"/>
  <c r="E123" i="50"/>
  <c r="E124" i="50"/>
  <c r="E121" i="50"/>
  <c r="E126" i="50"/>
  <c r="E122" i="50"/>
  <c r="K47" i="58"/>
  <c r="K22" i="58" s="1"/>
  <c r="K47" i="57"/>
  <c r="K22" i="57" s="1"/>
  <c r="K47" i="43"/>
  <c r="K22" i="43" s="1"/>
  <c r="C43" i="57"/>
  <c r="C43" i="43"/>
  <c r="C43" i="58"/>
  <c r="M36" i="58"/>
  <c r="M11" i="58" s="1"/>
  <c r="M14" i="58" s="1"/>
  <c r="M36" i="57"/>
  <c r="M11" i="57" s="1"/>
  <c r="M36" i="43"/>
  <c r="I45" i="57"/>
  <c r="I20" i="57" s="1"/>
  <c r="I45" i="58"/>
  <c r="I20" i="58" s="1"/>
  <c r="I45" i="43"/>
  <c r="I20" i="43" s="1"/>
  <c r="F38" i="58"/>
  <c r="F13" i="58" s="1"/>
  <c r="F38" i="57"/>
  <c r="F13" i="57" s="1"/>
  <c r="F38" i="43"/>
  <c r="F13" i="43" s="1"/>
  <c r="J43" i="58"/>
  <c r="J43" i="57"/>
  <c r="J43" i="43"/>
  <c r="H8" i="58"/>
  <c r="H9" i="58" s="1"/>
  <c r="C8" i="57"/>
  <c r="N7" i="57"/>
  <c r="D4" i="56" s="1"/>
  <c r="E40" i="58"/>
  <c r="K8" i="58"/>
  <c r="K9" i="58" s="1"/>
  <c r="H8" i="57"/>
  <c r="H9" i="57" s="1"/>
  <c r="E73" i="50"/>
  <c r="E68" i="50"/>
  <c r="E75" i="50"/>
  <c r="E71" i="50"/>
  <c r="E70" i="50"/>
  <c r="E69" i="50"/>
  <c r="E72" i="50"/>
  <c r="E74" i="50"/>
  <c r="C45" i="58"/>
  <c r="C20" i="58" s="1"/>
  <c r="C45" i="57"/>
  <c r="C20" i="57" s="1"/>
  <c r="C45" i="43"/>
  <c r="C20" i="43" s="1"/>
  <c r="K44" i="58"/>
  <c r="K19" i="58" s="1"/>
  <c r="K44" i="57"/>
  <c r="K19" i="57" s="1"/>
  <c r="K44" i="43"/>
  <c r="K19" i="43" s="1"/>
  <c r="C36" i="58"/>
  <c r="C36" i="57"/>
  <c r="C36" i="43"/>
  <c r="I38" i="57"/>
  <c r="I13" i="57" s="1"/>
  <c r="I38" i="43"/>
  <c r="I13" i="43" s="1"/>
  <c r="I38" i="58"/>
  <c r="I13" i="58" s="1"/>
  <c r="M45" i="58"/>
  <c r="M20" i="58" s="1"/>
  <c r="M45" i="57"/>
  <c r="M20" i="57" s="1"/>
  <c r="M45" i="43"/>
  <c r="M20" i="43" s="1"/>
  <c r="I44" i="58"/>
  <c r="I19" i="58" s="1"/>
  <c r="I44" i="57"/>
  <c r="I19" i="57" s="1"/>
  <c r="I44" i="43"/>
  <c r="I19" i="43" s="1"/>
  <c r="I47" i="58"/>
  <c r="I22" i="58" s="1"/>
  <c r="I47" i="57"/>
  <c r="I22" i="57" s="1"/>
  <c r="I47" i="43"/>
  <c r="I22" i="43" s="1"/>
  <c r="E45" i="58"/>
  <c r="E20" i="58" s="1"/>
  <c r="E45" i="57"/>
  <c r="E20" i="57" s="1"/>
  <c r="E45" i="43"/>
  <c r="E20" i="43" s="1"/>
  <c r="E47" i="58"/>
  <c r="E22" i="58" s="1"/>
  <c r="E47" i="43"/>
  <c r="E22" i="43" s="1"/>
  <c r="E47" i="57"/>
  <c r="E22" i="57" s="1"/>
  <c r="J47" i="58"/>
  <c r="J22" i="58" s="1"/>
  <c r="J47" i="57"/>
  <c r="J22" i="57" s="1"/>
  <c r="J47" i="43"/>
  <c r="J22" i="43" s="1"/>
  <c r="J37" i="58"/>
  <c r="J12" i="58" s="1"/>
  <c r="J37" i="43"/>
  <c r="J12" i="43" s="1"/>
  <c r="J37" i="57"/>
  <c r="J12" i="57" s="1"/>
  <c r="K8" i="57"/>
  <c r="K9" i="57" s="1"/>
  <c r="E26" i="51"/>
  <c r="D28" i="51"/>
  <c r="N18" i="43"/>
  <c r="F8" i="57"/>
  <c r="F9" i="57" s="1"/>
  <c r="I40" i="58"/>
  <c r="F8" i="58"/>
  <c r="F9" i="58" s="1"/>
  <c r="C8" i="58"/>
  <c r="N7" i="58"/>
  <c r="E4" i="56" s="1"/>
  <c r="F3" i="56"/>
  <c r="I22" i="36"/>
  <c r="C20" i="36"/>
  <c r="D20" i="36" s="1"/>
  <c r="E20" i="36" s="1"/>
  <c r="F20" i="36" s="1"/>
  <c r="G20" i="36" s="1"/>
  <c r="H20" i="36" s="1"/>
  <c r="I23" i="36"/>
  <c r="M19" i="36"/>
  <c r="L34" i="57" l="1"/>
  <c r="L10" i="57"/>
  <c r="K10" i="58"/>
  <c r="K34" i="58"/>
  <c r="M34" i="57"/>
  <c r="M10" i="57"/>
  <c r="K10" i="57"/>
  <c r="K34" i="57"/>
  <c r="G10" i="57"/>
  <c r="G34" i="57"/>
  <c r="D34" i="58"/>
  <c r="D10" i="57"/>
  <c r="D34" i="57"/>
  <c r="C34" i="58"/>
  <c r="C40" i="58" s="1"/>
  <c r="N10" i="58"/>
  <c r="E7" i="56" s="1"/>
  <c r="E30" i="56" s="1"/>
  <c r="I18" i="36"/>
  <c r="J18" i="36" s="1"/>
  <c r="K18" i="36" s="1"/>
  <c r="L18" i="36" s="1"/>
  <c r="J18" i="43"/>
  <c r="J17" i="43" s="1"/>
  <c r="F18" i="43"/>
  <c r="F17" i="43" s="1"/>
  <c r="M18" i="43"/>
  <c r="M17" i="43" s="1"/>
  <c r="I18" i="43"/>
  <c r="I17" i="43" s="1"/>
  <c r="E18" i="43"/>
  <c r="E17" i="43" s="1"/>
  <c r="G18" i="43"/>
  <c r="L18" i="43"/>
  <c r="D18" i="43"/>
  <c r="K18" i="43"/>
  <c r="K17" i="43" s="1"/>
  <c r="C18" i="43"/>
  <c r="C17" i="43" s="1"/>
  <c r="H18" i="43"/>
  <c r="C11" i="58"/>
  <c r="H45" i="58"/>
  <c r="H20" i="58" s="1"/>
  <c r="H45" i="57"/>
  <c r="H20" i="57" s="1"/>
  <c r="H45" i="43"/>
  <c r="H20" i="43" s="1"/>
  <c r="H47" i="58"/>
  <c r="H22" i="58" s="1"/>
  <c r="H47" i="57"/>
  <c r="H22" i="57" s="1"/>
  <c r="H47" i="43"/>
  <c r="H22" i="43" s="1"/>
  <c r="L45" i="58"/>
  <c r="L20" i="58" s="1"/>
  <c r="L45" i="57"/>
  <c r="L20" i="57" s="1"/>
  <c r="L45" i="43"/>
  <c r="L20" i="43" s="1"/>
  <c r="L44" i="58"/>
  <c r="L19" i="58" s="1"/>
  <c r="L44" i="57"/>
  <c r="L19" i="57" s="1"/>
  <c r="L44" i="43"/>
  <c r="L19" i="43" s="1"/>
  <c r="M21" i="43"/>
  <c r="M46" i="43" s="1"/>
  <c r="I21" i="43"/>
  <c r="I46" i="43" s="1"/>
  <c r="E21" i="43"/>
  <c r="E46" i="43" s="1"/>
  <c r="L21" i="43"/>
  <c r="L46" i="43" s="1"/>
  <c r="H21" i="43"/>
  <c r="H46" i="43" s="1"/>
  <c r="D21" i="43"/>
  <c r="D46" i="43" s="1"/>
  <c r="F21" i="43"/>
  <c r="K21" i="43"/>
  <c r="K46" i="43" s="1"/>
  <c r="C21" i="43"/>
  <c r="C46" i="43" s="1"/>
  <c r="G21" i="43"/>
  <c r="G46" i="43" s="1"/>
  <c r="J21" i="43"/>
  <c r="J46" i="43" s="1"/>
  <c r="C18" i="56"/>
  <c r="F12" i="57"/>
  <c r="F14" i="57" s="1"/>
  <c r="F15" i="57" s="1"/>
  <c r="F40" i="57"/>
  <c r="I14" i="57"/>
  <c r="I15" i="57" s="1"/>
  <c r="G47" i="58"/>
  <c r="G22" i="58" s="1"/>
  <c r="G47" i="57"/>
  <c r="G22" i="57" s="1"/>
  <c r="G47" i="43"/>
  <c r="G22" i="43" s="1"/>
  <c r="G36" i="57"/>
  <c r="G36" i="43"/>
  <c r="G36" i="58"/>
  <c r="E11" i="57"/>
  <c r="E14" i="57" s="1"/>
  <c r="E15" i="57" s="1"/>
  <c r="E40" i="57"/>
  <c r="D45" i="57"/>
  <c r="D20" i="57" s="1"/>
  <c r="D45" i="43"/>
  <c r="D20" i="43" s="1"/>
  <c r="D45" i="58"/>
  <c r="D20" i="58" s="1"/>
  <c r="D47" i="58"/>
  <c r="D22" i="58" s="1"/>
  <c r="D47" i="43"/>
  <c r="D22" i="43" s="1"/>
  <c r="D47" i="57"/>
  <c r="D22" i="57" s="1"/>
  <c r="C30" i="56"/>
  <c r="M40" i="57"/>
  <c r="I24" i="36"/>
  <c r="I20" i="36"/>
  <c r="J20" i="36" s="1"/>
  <c r="K20" i="36" s="1"/>
  <c r="L20" i="36" s="1"/>
  <c r="L43" i="58"/>
  <c r="L43" i="57"/>
  <c r="L43" i="43"/>
  <c r="L36" i="58"/>
  <c r="L36" i="57"/>
  <c r="L36" i="43"/>
  <c r="J40" i="58"/>
  <c r="J11" i="58"/>
  <c r="J14" i="58" s="1"/>
  <c r="J15" i="58" s="1"/>
  <c r="K40" i="57"/>
  <c r="K11" i="57"/>
  <c r="K14" i="57" s="1"/>
  <c r="G38" i="58"/>
  <c r="G13" i="58" s="1"/>
  <c r="G38" i="57"/>
  <c r="G13" i="57" s="1"/>
  <c r="G38" i="43"/>
  <c r="G13" i="43" s="1"/>
  <c r="D43" i="58"/>
  <c r="D43" i="43"/>
  <c r="D43" i="57"/>
  <c r="N8" i="58"/>
  <c r="E5" i="56" s="1"/>
  <c r="H43" i="58"/>
  <c r="H43" i="43"/>
  <c r="H43" i="57"/>
  <c r="H36" i="58"/>
  <c r="H36" i="57"/>
  <c r="H36" i="43"/>
  <c r="N8" i="57"/>
  <c r="D5" i="56" s="1"/>
  <c r="F5" i="56" s="1"/>
  <c r="M11" i="43"/>
  <c r="M14" i="43" s="1"/>
  <c r="M15" i="43" s="1"/>
  <c r="M40" i="43"/>
  <c r="C9" i="58"/>
  <c r="C11" i="43"/>
  <c r="C40" i="43"/>
  <c r="N20" i="58"/>
  <c r="E17" i="56" s="1"/>
  <c r="H37" i="57"/>
  <c r="H12" i="57" s="1"/>
  <c r="H37" i="58"/>
  <c r="H12" i="58" s="1"/>
  <c r="H37" i="43"/>
  <c r="H12" i="43" s="1"/>
  <c r="H44" i="58"/>
  <c r="H19" i="58" s="1"/>
  <c r="H44" i="43"/>
  <c r="H19" i="43" s="1"/>
  <c r="H44" i="57"/>
  <c r="H19" i="57" s="1"/>
  <c r="C9" i="57"/>
  <c r="M14" i="57"/>
  <c r="L37" i="58"/>
  <c r="L12" i="58" s="1"/>
  <c r="L37" i="57"/>
  <c r="L12" i="57" s="1"/>
  <c r="L37" i="43"/>
  <c r="L12" i="43" s="1"/>
  <c r="N9" i="43"/>
  <c r="F27" i="51"/>
  <c r="N21" i="57"/>
  <c r="M40" i="58"/>
  <c r="J40" i="57"/>
  <c r="J11" i="57"/>
  <c r="J14" i="57" s="1"/>
  <c r="J15" i="57" s="1"/>
  <c r="F40" i="43"/>
  <c r="F12" i="43"/>
  <c r="F14" i="43" s="1"/>
  <c r="F15" i="43" s="1"/>
  <c r="I11" i="43"/>
  <c r="I14" i="43" s="1"/>
  <c r="I15" i="43" s="1"/>
  <c r="I40" i="43"/>
  <c r="M15" i="57"/>
  <c r="M15" i="58"/>
  <c r="K11" i="43"/>
  <c r="K14" i="43" s="1"/>
  <c r="K15" i="43" s="1"/>
  <c r="K40" i="43"/>
  <c r="K48" i="43" s="1"/>
  <c r="G37" i="58"/>
  <c r="G12" i="58" s="1"/>
  <c r="G37" i="57"/>
  <c r="G12" i="57" s="1"/>
  <c r="G37" i="43"/>
  <c r="G12" i="43" s="1"/>
  <c r="G44" i="57"/>
  <c r="G19" i="57" s="1"/>
  <c r="G44" i="58"/>
  <c r="G19" i="58" s="1"/>
  <c r="G44" i="43"/>
  <c r="G19" i="43" s="1"/>
  <c r="E11" i="43"/>
  <c r="E14" i="43" s="1"/>
  <c r="E15" i="43" s="1"/>
  <c r="E40" i="43"/>
  <c r="D38" i="58"/>
  <c r="D13" i="58" s="1"/>
  <c r="D38" i="57"/>
  <c r="D13" i="57" s="1"/>
  <c r="D38" i="43"/>
  <c r="D13" i="43" s="1"/>
  <c r="D36" i="58"/>
  <c r="D36" i="43"/>
  <c r="D36" i="57"/>
  <c r="E28" i="51"/>
  <c r="F26" i="51"/>
  <c r="N18" i="57"/>
  <c r="C40" i="57"/>
  <c r="C11" i="57"/>
  <c r="H38" i="58"/>
  <c r="H13" i="58" s="1"/>
  <c r="H38" i="43"/>
  <c r="H13" i="43" s="1"/>
  <c r="H38" i="57"/>
  <c r="H13" i="57" s="1"/>
  <c r="L38" i="58"/>
  <c r="L13" i="58" s="1"/>
  <c r="L38" i="57"/>
  <c r="L13" i="57" s="1"/>
  <c r="L38" i="43"/>
  <c r="L13" i="43" s="1"/>
  <c r="L47" i="58"/>
  <c r="L22" i="58" s="1"/>
  <c r="L47" i="43"/>
  <c r="L22" i="43" s="1"/>
  <c r="L47" i="57"/>
  <c r="L22" i="57" s="1"/>
  <c r="F4" i="56"/>
  <c r="C6" i="56"/>
  <c r="J11" i="43"/>
  <c r="J14" i="43" s="1"/>
  <c r="J15" i="43" s="1"/>
  <c r="J40" i="43"/>
  <c r="F12" i="58"/>
  <c r="F14" i="58" s="1"/>
  <c r="F15" i="58" s="1"/>
  <c r="F40" i="58"/>
  <c r="I14" i="58"/>
  <c r="I15" i="58" s="1"/>
  <c r="I40" i="57"/>
  <c r="K11" i="58"/>
  <c r="K14" i="58" s="1"/>
  <c r="K15" i="58" s="1"/>
  <c r="K40" i="58"/>
  <c r="G45" i="58"/>
  <c r="G20" i="58" s="1"/>
  <c r="G45" i="43"/>
  <c r="G20" i="43" s="1"/>
  <c r="G45" i="57"/>
  <c r="G20" i="57" s="1"/>
  <c r="N20" i="57" s="1"/>
  <c r="D17" i="56" s="1"/>
  <c r="G43" i="57"/>
  <c r="G43" i="58"/>
  <c r="G43" i="43"/>
  <c r="E14" i="58"/>
  <c r="E15" i="58" s="1"/>
  <c r="D37" i="58"/>
  <c r="D12" i="58" s="1"/>
  <c r="D37" i="57"/>
  <c r="D12" i="57" s="1"/>
  <c r="D37" i="43"/>
  <c r="D12" i="43" s="1"/>
  <c r="D44" i="58"/>
  <c r="D19" i="58" s="1"/>
  <c r="D44" i="57"/>
  <c r="D19" i="57" s="1"/>
  <c r="N19" i="57" s="1"/>
  <c r="D16" i="56" s="1"/>
  <c r="D42" i="56" s="1"/>
  <c r="D44" i="43"/>
  <c r="D19" i="43" s="1"/>
  <c r="N10" i="57" l="1"/>
  <c r="D7" i="56" s="1"/>
  <c r="D30" i="56" s="1"/>
  <c r="K15" i="57"/>
  <c r="D17" i="43"/>
  <c r="F7" i="56"/>
  <c r="F30" i="56" s="1"/>
  <c r="N13" i="58"/>
  <c r="E10" i="56" s="1"/>
  <c r="N12" i="58"/>
  <c r="E9" i="56" s="1"/>
  <c r="E35" i="56" s="1"/>
  <c r="N12" i="43"/>
  <c r="C9" i="56" s="1"/>
  <c r="H17" i="43"/>
  <c r="N22" i="43"/>
  <c r="N20" i="43"/>
  <c r="C17" i="56" s="1"/>
  <c r="I23" i="43"/>
  <c r="J23" i="43"/>
  <c r="N19" i="43"/>
  <c r="C16" i="56" s="1"/>
  <c r="K23" i="43"/>
  <c r="G17" i="43"/>
  <c r="G23" i="43" s="1"/>
  <c r="J48" i="43"/>
  <c r="E48" i="43"/>
  <c r="I48" i="43"/>
  <c r="E23" i="43"/>
  <c r="E24" i="43" s="1"/>
  <c r="L17" i="43"/>
  <c r="L23" i="43" s="1"/>
  <c r="N13" i="43"/>
  <c r="C10" i="56" s="1"/>
  <c r="C36" i="56" s="1"/>
  <c r="N12" i="57"/>
  <c r="D9" i="56" s="1"/>
  <c r="D35" i="56" s="1"/>
  <c r="N19" i="58"/>
  <c r="E16" i="56" s="1"/>
  <c r="E42" i="56" s="1"/>
  <c r="N13" i="57"/>
  <c r="D10" i="56" s="1"/>
  <c r="C35" i="56"/>
  <c r="F10" i="56"/>
  <c r="I16" i="57"/>
  <c r="C42" i="56"/>
  <c r="F16" i="58"/>
  <c r="D36" i="56"/>
  <c r="C19" i="56"/>
  <c r="E36" i="56"/>
  <c r="F16" i="57"/>
  <c r="E16" i="58"/>
  <c r="D43" i="56"/>
  <c r="K16" i="58"/>
  <c r="J16" i="57"/>
  <c r="K16" i="57"/>
  <c r="J16" i="58"/>
  <c r="F28" i="51"/>
  <c r="N18" i="58"/>
  <c r="I26" i="51"/>
  <c r="I24" i="43"/>
  <c r="I16" i="43"/>
  <c r="N21" i="58"/>
  <c r="I27" i="51"/>
  <c r="E43" i="56"/>
  <c r="G11" i="58"/>
  <c r="G14" i="58" s="1"/>
  <c r="G15" i="58" s="1"/>
  <c r="G40" i="58"/>
  <c r="C29" i="56"/>
  <c r="C31" i="56" s="1"/>
  <c r="C32" i="56" s="1"/>
  <c r="D11" i="58"/>
  <c r="D14" i="58" s="1"/>
  <c r="D15" i="58" s="1"/>
  <c r="D40" i="58"/>
  <c r="M23" i="43"/>
  <c r="M24" i="43" s="1"/>
  <c r="N9" i="57"/>
  <c r="D6" i="56" s="1"/>
  <c r="D29" i="56" s="1"/>
  <c r="C48" i="43"/>
  <c r="M48" i="43"/>
  <c r="H11" i="43"/>
  <c r="H14" i="43" s="1"/>
  <c r="H15" i="43" s="1"/>
  <c r="H40" i="43"/>
  <c r="H48" i="43" s="1"/>
  <c r="L11" i="58"/>
  <c r="L14" i="58" s="1"/>
  <c r="L15" i="58" s="1"/>
  <c r="L40" i="58"/>
  <c r="D23" i="43"/>
  <c r="G40" i="43"/>
  <c r="G48" i="43" s="1"/>
  <c r="G11" i="43"/>
  <c r="G14" i="43" s="1"/>
  <c r="G15" i="43" s="1"/>
  <c r="C44" i="56"/>
  <c r="C50" i="56"/>
  <c r="L11" i="57"/>
  <c r="L14" i="57" s="1"/>
  <c r="L15" i="57" s="1"/>
  <c r="L40" i="57"/>
  <c r="C23" i="43"/>
  <c r="F16" i="43"/>
  <c r="C14" i="43"/>
  <c r="N9" i="58"/>
  <c r="E6" i="56" s="1"/>
  <c r="E29" i="56" s="1"/>
  <c r="E31" i="56" s="1"/>
  <c r="E32" i="56" s="1"/>
  <c r="M16" i="43"/>
  <c r="H40" i="57"/>
  <c r="H11" i="57"/>
  <c r="H14" i="57" s="1"/>
  <c r="H15" i="57" s="1"/>
  <c r="N22" i="58"/>
  <c r="G40" i="57"/>
  <c r="G11" i="57"/>
  <c r="G14" i="57" s="1"/>
  <c r="G15" i="57" s="1"/>
  <c r="N22" i="57"/>
  <c r="F46" i="43"/>
  <c r="F48" i="43" s="1"/>
  <c r="F23" i="43"/>
  <c r="F24" i="43" s="1"/>
  <c r="C14" i="58"/>
  <c r="J24" i="43"/>
  <c r="J16" i="43"/>
  <c r="D11" i="43"/>
  <c r="D14" i="43" s="1"/>
  <c r="D15" i="43" s="1"/>
  <c r="D40" i="43"/>
  <c r="D48" i="43" s="1"/>
  <c r="M16" i="57"/>
  <c r="C43" i="56"/>
  <c r="C49" i="56"/>
  <c r="F17" i="56"/>
  <c r="H23" i="43"/>
  <c r="I16" i="58"/>
  <c r="C14" i="57"/>
  <c r="N14" i="57" s="1"/>
  <c r="K18" i="57"/>
  <c r="K17" i="57" s="1"/>
  <c r="G18" i="57"/>
  <c r="G17" i="57" s="1"/>
  <c r="C18" i="57"/>
  <c r="C17" i="57" s="1"/>
  <c r="J18" i="57"/>
  <c r="J17" i="57" s="1"/>
  <c r="F18" i="57"/>
  <c r="F17" i="57" s="1"/>
  <c r="M18" i="57"/>
  <c r="M17" i="57" s="1"/>
  <c r="E18" i="57"/>
  <c r="E17" i="57" s="1"/>
  <c r="L18" i="57"/>
  <c r="L17" i="57" s="1"/>
  <c r="D18" i="57"/>
  <c r="H18" i="57"/>
  <c r="H17" i="57" s="1"/>
  <c r="I18" i="57"/>
  <c r="I17" i="57" s="1"/>
  <c r="D11" i="57"/>
  <c r="D14" i="57" s="1"/>
  <c r="D15" i="57" s="1"/>
  <c r="D40" i="57"/>
  <c r="E16" i="43"/>
  <c r="K24" i="43"/>
  <c r="K16" i="43"/>
  <c r="M16" i="58"/>
  <c r="K21" i="57"/>
  <c r="G21" i="57"/>
  <c r="G46" i="57" s="1"/>
  <c r="C21" i="57"/>
  <c r="J21" i="57"/>
  <c r="F21" i="57"/>
  <c r="I21" i="57"/>
  <c r="H21" i="57"/>
  <c r="H46" i="57" s="1"/>
  <c r="D18" i="56"/>
  <c r="M21" i="57"/>
  <c r="L21" i="57"/>
  <c r="L46" i="57" s="1"/>
  <c r="E21" i="57"/>
  <c r="D21" i="57"/>
  <c r="D46" i="57" s="1"/>
  <c r="H11" i="58"/>
  <c r="H14" i="58" s="1"/>
  <c r="H15" i="58" s="1"/>
  <c r="H40" i="58"/>
  <c r="D17" i="57"/>
  <c r="L11" i="43"/>
  <c r="L14" i="43" s="1"/>
  <c r="L15" i="43" s="1"/>
  <c r="L40" i="43"/>
  <c r="L48" i="43" s="1"/>
  <c r="E16" i="57"/>
  <c r="D31" i="56" l="1"/>
  <c r="D32" i="56" s="1"/>
  <c r="F9" i="56"/>
  <c r="F35" i="56" s="1"/>
  <c r="F16" i="56"/>
  <c r="F42" i="56" s="1"/>
  <c r="C47" i="56"/>
  <c r="N11" i="43"/>
  <c r="C8" i="56" s="1"/>
  <c r="C34" i="56" s="1"/>
  <c r="N17" i="43"/>
  <c r="C14" i="56" s="1"/>
  <c r="C20" i="56" s="1"/>
  <c r="G48" i="57"/>
  <c r="E47" i="56"/>
  <c r="D47" i="56"/>
  <c r="F25" i="43"/>
  <c r="F26" i="43" s="1"/>
  <c r="F27" i="43" s="1"/>
  <c r="E46" i="57"/>
  <c r="E48" i="57" s="1"/>
  <c r="E23" i="57"/>
  <c r="E24" i="57" s="1"/>
  <c r="C46" i="57"/>
  <c r="C48" i="57" s="1"/>
  <c r="C23" i="57"/>
  <c r="N17" i="57"/>
  <c r="D14" i="56" s="1"/>
  <c r="D41" i="56" s="1"/>
  <c r="H23" i="57"/>
  <c r="H24" i="57" s="1"/>
  <c r="E25" i="43"/>
  <c r="E26" i="43" s="1"/>
  <c r="E27" i="43" s="1"/>
  <c r="J25" i="43"/>
  <c r="J26" i="43" s="1"/>
  <c r="J27" i="43" s="1"/>
  <c r="M25" i="43"/>
  <c r="M26" i="43" s="1"/>
  <c r="M27" i="43" s="1"/>
  <c r="L16" i="57"/>
  <c r="G16" i="58"/>
  <c r="I46" i="57"/>
  <c r="I48" i="57" s="1"/>
  <c r="I23" i="57"/>
  <c r="I24" i="57" s="1"/>
  <c r="C41" i="56"/>
  <c r="G24" i="43"/>
  <c r="G16" i="43"/>
  <c r="F6" i="56"/>
  <c r="F29" i="56" s="1"/>
  <c r="F31" i="56" s="1"/>
  <c r="F32" i="56" s="1"/>
  <c r="D23" i="57"/>
  <c r="D24" i="57" s="1"/>
  <c r="E49" i="56"/>
  <c r="I25" i="43"/>
  <c r="I26" i="43" s="1"/>
  <c r="I27" i="43" s="1"/>
  <c r="C51" i="56"/>
  <c r="C45" i="56"/>
  <c r="F36" i="56"/>
  <c r="H16" i="58"/>
  <c r="M46" i="57"/>
  <c r="M48" i="57" s="1"/>
  <c r="M23" i="57"/>
  <c r="M24" i="57" s="1"/>
  <c r="F46" i="57"/>
  <c r="F48" i="57" s="1"/>
  <c r="F23" i="57"/>
  <c r="F24" i="57" s="1"/>
  <c r="K46" i="57"/>
  <c r="K48" i="57" s="1"/>
  <c r="K23" i="57"/>
  <c r="K24" i="57" s="1"/>
  <c r="D48" i="57"/>
  <c r="D24" i="43"/>
  <c r="D16" i="43"/>
  <c r="N14" i="58"/>
  <c r="D19" i="56"/>
  <c r="H48" i="57"/>
  <c r="C15" i="58"/>
  <c r="G23" i="57"/>
  <c r="G24" i="57" s="1"/>
  <c r="L16" i="58"/>
  <c r="H24" i="43"/>
  <c r="H16" i="43"/>
  <c r="C15" i="57"/>
  <c r="D16" i="58"/>
  <c r="D49" i="56"/>
  <c r="L23" i="57"/>
  <c r="L24" i="57" s="1"/>
  <c r="N11" i="58"/>
  <c r="E8" i="56" s="1"/>
  <c r="H16" i="57"/>
  <c r="L24" i="43"/>
  <c r="L16" i="43"/>
  <c r="D44" i="56"/>
  <c r="D50" i="56"/>
  <c r="J46" i="57"/>
  <c r="J48" i="57" s="1"/>
  <c r="J23" i="57"/>
  <c r="J24" i="57" s="1"/>
  <c r="K25" i="43"/>
  <c r="K26" i="43" s="1"/>
  <c r="K27" i="43" s="1"/>
  <c r="D16" i="57"/>
  <c r="N11" i="57"/>
  <c r="D8" i="56" s="1"/>
  <c r="F43" i="56"/>
  <c r="G16" i="57"/>
  <c r="E19" i="56"/>
  <c r="N14" i="43"/>
  <c r="C15" i="43"/>
  <c r="L48" i="57"/>
  <c r="K21" i="58"/>
  <c r="G21" i="58"/>
  <c r="C21" i="58"/>
  <c r="L21" i="58"/>
  <c r="F21" i="58"/>
  <c r="J21" i="58"/>
  <c r="D21" i="58"/>
  <c r="M21" i="58"/>
  <c r="I21" i="58"/>
  <c r="E18" i="56"/>
  <c r="H21" i="58"/>
  <c r="E21" i="58"/>
  <c r="K18" i="58"/>
  <c r="K17" i="58" s="1"/>
  <c r="G18" i="58"/>
  <c r="G17" i="58" s="1"/>
  <c r="C18" i="58"/>
  <c r="C17" i="58" s="1"/>
  <c r="J18" i="58"/>
  <c r="J17" i="58" s="1"/>
  <c r="E18" i="58"/>
  <c r="E17" i="58" s="1"/>
  <c r="L18" i="58"/>
  <c r="L17" i="58" s="1"/>
  <c r="D18" i="58"/>
  <c r="D17" i="58" s="1"/>
  <c r="I18" i="58"/>
  <c r="I17" i="58" s="1"/>
  <c r="H18" i="58"/>
  <c r="H17" i="58" s="1"/>
  <c r="M18" i="58"/>
  <c r="M17" i="58" s="1"/>
  <c r="F18" i="58"/>
  <c r="F17" i="58" s="1"/>
  <c r="C11" i="56" l="1"/>
  <c r="C48" i="56"/>
  <c r="N23" i="43"/>
  <c r="L25" i="57"/>
  <c r="L26" i="57" s="1"/>
  <c r="L27" i="57" s="1"/>
  <c r="E50" i="56"/>
  <c r="E44" i="56"/>
  <c r="G46" i="58"/>
  <c r="G48" i="58" s="1"/>
  <c r="G23" i="58"/>
  <c r="G24" i="58" s="1"/>
  <c r="D34" i="56"/>
  <c r="D48" i="56"/>
  <c r="D11" i="56"/>
  <c r="F26" i="57"/>
  <c r="F27" i="57" s="1"/>
  <c r="I46" i="58"/>
  <c r="I48" i="58" s="1"/>
  <c r="I23" i="58"/>
  <c r="I24" i="58" s="1"/>
  <c r="F46" i="58"/>
  <c r="F48" i="58" s="1"/>
  <c r="F23" i="58"/>
  <c r="F24" i="58" s="1"/>
  <c r="K46" i="58"/>
  <c r="K48" i="58" s="1"/>
  <c r="K23" i="58"/>
  <c r="K24" i="58" s="1"/>
  <c r="G25" i="57"/>
  <c r="G26" i="57" s="1"/>
  <c r="G27" i="57" s="1"/>
  <c r="J25" i="57"/>
  <c r="J26" i="57" s="1"/>
  <c r="J27" i="57" s="1"/>
  <c r="E34" i="56"/>
  <c r="E11" i="56"/>
  <c r="N23" i="57"/>
  <c r="J46" i="58"/>
  <c r="J48" i="58" s="1"/>
  <c r="J23" i="58"/>
  <c r="J24" i="58" s="1"/>
  <c r="N15" i="43"/>
  <c r="C24" i="43"/>
  <c r="C16" i="43"/>
  <c r="H25" i="57"/>
  <c r="H26" i="57" s="1"/>
  <c r="H27" i="57" s="1"/>
  <c r="C24" i="57"/>
  <c r="C16" i="57"/>
  <c r="N15" i="57"/>
  <c r="D20" i="56"/>
  <c r="D51" i="56"/>
  <c r="D45" i="56"/>
  <c r="D25" i="43"/>
  <c r="D26" i="43" s="1"/>
  <c r="D27" i="43" s="1"/>
  <c r="E46" i="58"/>
  <c r="E48" i="58" s="1"/>
  <c r="E23" i="58"/>
  <c r="E24" i="58" s="1"/>
  <c r="M46" i="58"/>
  <c r="M48" i="58" s="1"/>
  <c r="M23" i="58"/>
  <c r="M24" i="58" s="1"/>
  <c r="L46" i="58"/>
  <c r="L48" i="58" s="1"/>
  <c r="L23" i="58"/>
  <c r="L24" i="58" s="1"/>
  <c r="E51" i="56"/>
  <c r="E45" i="56"/>
  <c r="D26" i="57"/>
  <c r="D27" i="57" s="1"/>
  <c r="L25" i="43"/>
  <c r="L26" i="43" s="1"/>
  <c r="L27" i="43" s="1"/>
  <c r="H25" i="43"/>
  <c r="H26" i="43" s="1"/>
  <c r="H27" i="43" s="1"/>
  <c r="C16" i="58"/>
  <c r="N15" i="58"/>
  <c r="K25" i="57"/>
  <c r="K26" i="57" s="1"/>
  <c r="K27" i="57" s="1"/>
  <c r="M25" i="57"/>
  <c r="M26" i="57" s="1"/>
  <c r="M27" i="57" s="1"/>
  <c r="I25" i="57"/>
  <c r="I26" i="57" s="1"/>
  <c r="I27" i="57" s="1"/>
  <c r="N17" i="58"/>
  <c r="H46" i="58"/>
  <c r="H48" i="58" s="1"/>
  <c r="H23" i="58"/>
  <c r="H24" i="58" s="1"/>
  <c r="D46" i="58"/>
  <c r="D48" i="58" s="1"/>
  <c r="D23" i="58"/>
  <c r="D24" i="58" s="1"/>
  <c r="C46" i="58"/>
  <c r="C48" i="58" s="1"/>
  <c r="C23" i="58"/>
  <c r="C24" i="58" s="1"/>
  <c r="F49" i="56"/>
  <c r="F47" i="56"/>
  <c r="F19" i="56"/>
  <c r="G25" i="43"/>
  <c r="G26" i="43" s="1"/>
  <c r="G27" i="43" s="1"/>
  <c r="F8" i="56"/>
  <c r="E26" i="57"/>
  <c r="E27" i="57" s="1"/>
  <c r="F18" i="56"/>
  <c r="F51" i="56" l="1"/>
  <c r="F45" i="56"/>
  <c r="C26" i="58"/>
  <c r="E26" i="58"/>
  <c r="E27" i="58" s="1"/>
  <c r="F34" i="56"/>
  <c r="F11" i="56"/>
  <c r="E14" i="56"/>
  <c r="N23" i="58"/>
  <c r="N24" i="58" s="1"/>
  <c r="N16" i="58"/>
  <c r="E12" i="56"/>
  <c r="F26" i="58"/>
  <c r="F27" i="58" s="1"/>
  <c r="M25" i="58"/>
  <c r="M26" i="58" s="1"/>
  <c r="M27" i="58" s="1"/>
  <c r="N16" i="43"/>
  <c r="N24" i="43"/>
  <c r="C12" i="56"/>
  <c r="G25" i="58"/>
  <c r="G26" i="58" s="1"/>
  <c r="G27" i="58" s="1"/>
  <c r="L25" i="58"/>
  <c r="L26" i="58" s="1"/>
  <c r="L27" i="58" s="1"/>
  <c r="D26" i="58"/>
  <c r="D27" i="58" s="1"/>
  <c r="C26" i="57"/>
  <c r="C25" i="43"/>
  <c r="C26" i="43" s="1"/>
  <c r="F50" i="56"/>
  <c r="F44" i="56"/>
  <c r="H25" i="58"/>
  <c r="H26" i="58" s="1"/>
  <c r="H27" i="58" s="1"/>
  <c r="N24" i="57"/>
  <c r="N16" i="57"/>
  <c r="D12" i="56"/>
  <c r="J25" i="58"/>
  <c r="J26" i="58" s="1"/>
  <c r="J27" i="58" s="1"/>
  <c r="K25" i="58"/>
  <c r="K26" i="58" s="1"/>
  <c r="K27" i="58" s="1"/>
  <c r="I25" i="58"/>
  <c r="I26" i="58" s="1"/>
  <c r="I27" i="58" s="1"/>
  <c r="C27" i="43" l="1"/>
  <c r="N26" i="43"/>
  <c r="C27" i="57"/>
  <c r="N26" i="57"/>
  <c r="N25" i="58"/>
  <c r="E22" i="56" s="1"/>
  <c r="E21" i="56"/>
  <c r="E53" i="56" s="1"/>
  <c r="D38" i="56"/>
  <c r="D39" i="56" s="1"/>
  <c r="D13" i="56"/>
  <c r="N26" i="58"/>
  <c r="C27" i="58"/>
  <c r="E41" i="56"/>
  <c r="E20" i="56"/>
  <c r="E48" i="56"/>
  <c r="F14" i="56"/>
  <c r="N25" i="57"/>
  <c r="D22" i="56" s="1"/>
  <c r="D21" i="56"/>
  <c r="D53" i="56" s="1"/>
  <c r="N25" i="43"/>
  <c r="C22" i="56" s="1"/>
  <c r="C21" i="56"/>
  <c r="F12" i="56"/>
  <c r="C38" i="56"/>
  <c r="C39" i="56" s="1"/>
  <c r="C13" i="56"/>
  <c r="E38" i="56"/>
  <c r="E13" i="56"/>
  <c r="E39" i="56" l="1"/>
  <c r="N27" i="57"/>
  <c r="D23" i="56"/>
  <c r="C53" i="56"/>
  <c r="F21" i="56"/>
  <c r="F53" i="56" s="1"/>
  <c r="F41" i="56"/>
  <c r="F20" i="56"/>
  <c r="F48" i="56"/>
  <c r="N27" i="43"/>
  <c r="C23" i="56"/>
  <c r="F38" i="56"/>
  <c r="F13" i="56"/>
  <c r="N27" i="58"/>
  <c r="E23" i="56"/>
  <c r="F39" i="56" l="1"/>
  <c r="D59" i="56"/>
  <c r="D58" i="56" s="1"/>
  <c r="D52" i="56"/>
  <c r="D24" i="56"/>
  <c r="E52" i="56"/>
  <c r="E24" i="56"/>
  <c r="E59" i="56"/>
  <c r="E58" i="56" s="1"/>
  <c r="C59" i="56"/>
  <c r="C58" i="56" s="1"/>
  <c r="F23" i="56"/>
  <c r="C24" i="56"/>
  <c r="C52" i="56"/>
  <c r="F52" i="56" l="1"/>
  <c r="F24" i="56"/>
  <c r="F59" i="56"/>
  <c r="F58" i="56" s="1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<sst xmlns="http://schemas.openxmlformats.org/spreadsheetml/2006/main" count="1347" uniqueCount="305">
  <si>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</si>
  <si>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</si>
  <si>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</si>
  <si>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</si>
  <si>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</si>
  <si>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</si>
  <si>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</si>
  <si>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</si>
  <si>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</si>
  <si>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</si>
  <si>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</si>
  <si>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</si>
  <si>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</si>
  <si>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</si>
  <si>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</si>
  <si>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</si>
  <si>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</si>
  <si>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</si>
  <si>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</si>
  <si>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</si>
  <si>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</si>
  <si>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</si>
  <si>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</si>
  <si>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</si>
  <si>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</si>
  <si>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</si>
  <si>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</si>
  <si>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</si>
  <si>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</si>
  <si>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</si>
  <si>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</si>
  <si>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</si>
  <si>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</si>
  <si>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</si>
  <si>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</si>
  <si>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</si>
  <si>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</si>
  <si>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</si>
  <si>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</si>
  <si>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</si>
  <si>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</si>
  <si>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</si>
  <si>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</si>
  <si>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</si>
  <si>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</si>
  <si>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</si>
  <si>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</si>
  <si>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北京福田戴姆勒A6座椅项目可行性分析            单位：元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</si>
  <si>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</si>
  <si>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</si>
  <si>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</si>
  <si>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</si>
  <si>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</si>
  <si>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</si>
  <si>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</si>
  <si>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</si>
  <si>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</si>
  <si>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</si>
  <si>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</si>
  <si>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</si>
  <si>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</si>
  <si>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</si>
  <si>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</si>
  <si>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</si>
  <si>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</si>
  <si>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</si>
  <si>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</si>
  <si>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</si>
  <si>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</si>
  <si>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</si>
  <si>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</si>
  <si>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</si>
  <si>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</si>
  <si>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</si>
  <si>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</si>
  <si>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</si>
  <si>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</si>
  <si>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</si>
  <si>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</si>
  <si>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</si>
  <si>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</si>
  <si>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</si>
  <si>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</si>
  <si>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</si>
  <si>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</si>
  <si>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</si>
  <si>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</si>
  <si>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</si>
  <si>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</si>
  <si>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</si>
  <si>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</si>
  <si>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</si>
  <si>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</si>
  <si>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</si>
  <si>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</si>
  <si>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</si>
  <si>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</si>
  <si>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</si>
  <si>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</si>
  <si>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</si>
  <si>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</si>
  <si>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</si>
  <si>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</si>
  <si>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</si>
  <si>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</si>
  <si>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</si>
  <si>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</si>
  <si>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</si>
  <si>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</si>
  <si>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</si>
  <si>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</si>
  <si>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</si>
  <si>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</si>
  <si>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</si>
  <si>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</si>
  <si>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</si>
  <si>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</si>
  <si>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</si>
  <si>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</si>
  <si>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</si>
  <si>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</si>
  <si>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</si>
  <si>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</si>
  <si>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</si>
  <si>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</si>
  <si>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</si>
  <si>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</si>
  <si>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</si>
  <si>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</si>
  <si>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</si>
  <si>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</si>
  <si>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</si>
  <si>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</si>
  <si>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</si>
  <si>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</si>
  <si>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</si>
  <si>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</si>
  <si>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</si>
  <si>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</si>
  <si>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</si>
  <si>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</si>
  <si>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</si>
  <si>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</si>
  <si>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</si>
  <si>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</si>
  <si>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北京福田戴姆勒</t>
  </si>
  <si>
    <t>产品名称</t>
  </si>
  <si>
    <t>驾驶员座椅</t>
  </si>
  <si>
    <t>副驾驶员座椅</t>
  </si>
  <si>
    <t>副驾驶员座椅安装支架</t>
  </si>
  <si>
    <t>产品图号</t>
  </si>
  <si>
    <t>A668100000010</t>
  </si>
  <si>
    <t>A668100000023</t>
  </si>
  <si>
    <t>A668100000004</t>
  </si>
  <si>
    <t>A668100000026</t>
  </si>
  <si>
    <t>A668100000011</t>
  </si>
  <si>
    <t>A668100000024</t>
  </si>
  <si>
    <t>A668100000006</t>
  </si>
  <si>
    <t>A668100000025</t>
  </si>
  <si>
    <t>A668100000012</t>
  </si>
  <si>
    <t>A668100000007</t>
  </si>
  <si>
    <t>A668100000022</t>
  </si>
  <si>
    <t>车型</t>
  </si>
  <si>
    <t>舒适</t>
  </si>
  <si>
    <t>标准</t>
  </si>
  <si>
    <t>精英</t>
  </si>
  <si>
    <t>通用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</si>
  <si>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</si>
  <si>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</si>
  <si>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</si>
  <si>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</si>
  <si>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</si>
  <si>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</si>
  <si>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</si>
  <si>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</si>
  <si>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</si>
  <si>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北京福田戴姆勒驾驶员座椅项目研发费用预算表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</si>
  <si>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</si>
  <si>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</si>
  <si>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</si>
  <si>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</si>
  <si>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</si>
  <si>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</si>
  <si>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</si>
  <si>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</si>
  <si>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</si>
  <si>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</si>
  <si>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</si>
  <si>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</si>
  <si>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</si>
  <si>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</si>
  <si>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</si>
  <si>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</si>
  <si>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</si>
  <si>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</si>
  <si>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</si>
  <si>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</si>
  <si>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</si>
  <si>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</si>
  <si>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</si>
  <si>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</si>
  <si>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</si>
  <si>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</si>
  <si>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</si>
  <si>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</si>
  <si>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</si>
  <si>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</si>
  <si>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</si>
  <si>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</si>
  <si>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</si>
  <si>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</si>
  <si>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</si>
  <si>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</si>
  <si>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</si>
  <si>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</si>
  <si>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</si>
  <si>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</si>
  <si>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</si>
  <si>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</si>
  <si>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</si>
  <si>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</si>
  <si>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</si>
  <si>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</si>
  <si>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供应商年降：       年5 %</t>
  </si>
  <si>
    <t>模块</t>
  </si>
  <si>
    <t>项目名称</t>
  </si>
  <si>
    <t>A6</t>
  </si>
  <si>
    <t>项目编号</t>
  </si>
  <si>
    <t>ZY2248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</si>
  <si>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</si>
  <si>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</si>
  <si>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</si>
  <si>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</si>
  <si>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</si>
  <si>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</si>
  <si>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</si>
  <si>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</si>
  <si>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</si>
  <si>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</si>
  <si>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</si>
  <si>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</si>
  <si>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</si>
  <si>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</si>
  <si>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</si>
  <si>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</si>
  <si>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</si>
  <si>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</si>
  <si>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</si>
  <si>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</si>
  <si>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</si>
  <si>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</si>
  <si>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</si>
  <si>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</si>
  <si>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</si>
  <si>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</si>
  <si>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</si>
  <si>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</si>
  <si>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</si>
  <si>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</si>
  <si>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</si>
  <si>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</si>
  <si>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</si>
  <si>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</si>
  <si>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</si>
  <si>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</si>
  <si>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</si>
  <si>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</si>
  <si>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</si>
  <si>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</si>
  <si>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</si>
  <si>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</si>
  <si>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</si>
  <si>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</si>
  <si>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</si>
  <si>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</si>
  <si>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</si>
  <si>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</si>
  <si>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</si>
  <si>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</si>
  <si>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</si>
  <si>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</si>
  <si>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</si>
  <si>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</si>
  <si>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</si>
  <si>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</si>
  <si>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</si>
  <si>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</si>
  <si>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</si>
  <si>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</si>
  <si>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</si>
  <si>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</si>
  <si>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原材料成本</t>
    <phoneticPr fontId="40" type="noConversion"/>
  </si>
  <si>
    <t>附加值</t>
    <phoneticPr fontId="40" type="noConversion"/>
  </si>
  <si>
    <t>附加值率</t>
    <phoneticPr fontId="40" type="noConversion"/>
  </si>
  <si>
    <t>成本预估由项目经理提供。供应商年度降价与销价降价同步。</t>
    <phoneticPr fontId="40" type="noConversion"/>
  </si>
  <si>
    <t>单台材料成本为未税价格，面套、骨架、底支架自制。</t>
    <phoneticPr fontId="40" type="noConversion"/>
  </si>
  <si>
    <t>变动费用参考河北工厂2022年实际及2023预算暂估。</t>
    <phoneticPr fontId="40" type="noConversion"/>
  </si>
  <si>
    <t>财务费用按集团综合。</t>
    <phoneticPr fontId="40" type="noConversion"/>
  </si>
  <si>
    <t>第一次</t>
    <phoneticPr fontId="40" type="noConversion"/>
  </si>
  <si>
    <t>面套、骨架、底支架自制</t>
  </si>
  <si>
    <t>面套、骨架、底支架自制</t>
    <phoneticPr fontId="40" type="noConversion"/>
  </si>
  <si>
    <r>
      <t xml:space="preserve">直接材料  </t>
    </r>
    <r>
      <rPr>
        <b/>
        <sz val="10"/>
        <color rgb="FFFF0000"/>
        <rFont val="微软雅黑"/>
        <family val="2"/>
        <charset val="134"/>
      </rPr>
      <t>面套、骨架、底支架自制</t>
    </r>
    <phoneticPr fontId="40" type="noConversion"/>
  </si>
  <si>
    <t>2026年</t>
    <phoneticPr fontId="40" type="noConversion"/>
  </si>
  <si>
    <t>2027年</t>
    <phoneticPr fontId="40" type="noConversion"/>
  </si>
  <si>
    <t>取消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</si>
</sst>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  <numFmt numFmtId="181" formatCode="0.0%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1" fillId="0" borderId="0"/>
    <xf numFmtId="9" fontId="39" fillId="0" borderId="0" applyFont="0" applyFill="0" applyBorder="0" applyAlignment="0" applyProtection="0">
      <alignment vertical="center"/>
    </xf>
    <xf numFmtId="0" fontId="32" fillId="0" borderId="0"/>
    <xf numFmtId="0" fontId="39" fillId="0" borderId="0">
      <alignment vertical="center"/>
    </xf>
    <xf numFmtId="0" fontId="33" fillId="0" borderId="0"/>
    <xf numFmtId="1" fontId="34" fillId="0" borderId="2" applyBorder="0"/>
    <xf numFmtId="43" fontId="35" fillId="0" borderId="0" applyFont="0" applyFill="0" applyBorder="0" applyAlignment="0" applyProtection="0">
      <alignment vertical="center"/>
    </xf>
    <xf numFmtId="0" fontId="33" fillId="0" borderId="0"/>
    <xf numFmtId="0" fontId="43" fillId="0" borderId="2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0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0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176" fontId="11" fillId="0" borderId="2" xfId="0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177" fontId="11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8" fontId="14" fillId="6" borderId="2" xfId="4" applyNumberFormat="1" applyFont="1" applyFill="1" applyBorder="1" applyAlignment="1">
      <alignment horizontal="center" vertical="center" wrapText="1"/>
    </xf>
    <xf numFmtId="43" fontId="14" fillId="6" borderId="2" xfId="1" applyFont="1" applyFill="1" applyBorder="1" applyAlignment="1">
      <alignment horizontal="center" vertical="center" wrapText="1"/>
    </xf>
    <xf numFmtId="0" fontId="14" fillId="6" borderId="2" xfId="2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15" fillId="0" borderId="2" xfId="4" applyNumberFormat="1" applyFont="1" applyFill="1" applyBorder="1" applyAlignment="1">
      <alignment horizontal="left" vertical="center"/>
    </xf>
    <xf numFmtId="43" fontId="15" fillId="4" borderId="2" xfId="1" applyFont="1" applyFill="1" applyBorder="1" applyAlignment="1">
      <alignment horizontal="center" vertical="center"/>
    </xf>
    <xf numFmtId="0" fontId="16" fillId="5" borderId="2" xfId="2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17" fillId="5" borderId="2" xfId="2" applyNumberFormat="1" applyFont="1" applyFill="1" applyBorder="1" applyAlignment="1" applyProtection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178" fontId="15" fillId="0" borderId="3" xfId="4" applyNumberFormat="1" applyFont="1" applyFill="1" applyBorder="1" applyAlignment="1">
      <alignment horizontal="center" vertical="center"/>
    </xf>
    <xf numFmtId="178" fontId="15" fillId="0" borderId="3" xfId="4" applyNumberFormat="1" applyFont="1" applyFill="1" applyBorder="1" applyAlignment="1">
      <alignment horizontal="left" vertical="center" wrapText="1"/>
    </xf>
    <xf numFmtId="0" fontId="16" fillId="5" borderId="2" xfId="2" applyNumberFormat="1" applyFont="1" applyFill="1" applyBorder="1" applyAlignment="1" applyProtection="1">
      <alignment horizontal="center" vertical="center" wrapText="1"/>
    </xf>
    <xf numFmtId="43" fontId="15" fillId="3" borderId="2" xfId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1" applyNumberFormat="1" applyFont="1" applyBorder="1">
      <alignment vertical="center"/>
    </xf>
    <xf numFmtId="43" fontId="8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10" fontId="20" fillId="0" borderId="2" xfId="3" applyNumberFormat="1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43" fontId="18" fillId="0" borderId="2" xfId="1" applyFont="1" applyFill="1" applyBorder="1">
      <alignment vertical="center"/>
    </xf>
    <xf numFmtId="43" fontId="20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0" fillId="0" borderId="2" xfId="3" applyFont="1" applyFill="1" applyBorder="1">
      <alignment vertical="center"/>
    </xf>
    <xf numFmtId="43" fontId="18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0" fillId="0" borderId="0" xfId="0" applyNumberFormat="1" applyFont="1" applyFill="1">
      <alignment vertical="center"/>
    </xf>
    <xf numFmtId="10" fontId="20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179" fontId="20" fillId="0" borderId="0" xfId="0" applyNumberFormat="1" applyFont="1" applyFill="1">
      <alignment vertical="center"/>
    </xf>
    <xf numFmtId="10" fontId="20" fillId="0" borderId="2" xfId="3" applyNumberFormat="1" applyFont="1" applyFill="1" applyBorder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Border="1">
      <alignment vertical="center"/>
    </xf>
    <xf numFmtId="43" fontId="20" fillId="0" borderId="0" xfId="1" applyFont="1">
      <alignment vertical="center"/>
    </xf>
    <xf numFmtId="43" fontId="25" fillId="0" borderId="2" xfId="1" applyFont="1" applyFill="1" applyBorder="1" applyAlignment="1">
      <alignment horizontal="center" vertical="center" wrapText="1"/>
    </xf>
    <xf numFmtId="43" fontId="22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19" fillId="0" borderId="2" xfId="1" applyNumberFormat="1" applyFont="1" applyFill="1" applyBorder="1" applyAlignment="1">
      <alignment horizontal="center" vertical="center"/>
    </xf>
    <xf numFmtId="0" fontId="21" fillId="8" borderId="2" xfId="0" applyFont="1" applyFill="1" applyBorder="1">
      <alignment vertical="center"/>
    </xf>
    <xf numFmtId="177" fontId="19" fillId="8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19" fillId="0" borderId="2" xfId="3" applyNumberFormat="1" applyFont="1" applyBorder="1" applyAlignment="1">
      <alignment vertical="center"/>
    </xf>
    <xf numFmtId="177" fontId="19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26" fillId="8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3" applyNumberFormat="1" applyFont="1" applyBorder="1">
      <alignment vertical="center"/>
    </xf>
    <xf numFmtId="10" fontId="20" fillId="0" borderId="0" xfId="3" applyNumberFormat="1" applyFont="1" applyBorder="1">
      <alignment vertical="center"/>
    </xf>
    <xf numFmtId="43" fontId="20" fillId="0" borderId="0" xfId="0" applyNumberFormat="1" applyFont="1" applyFill="1" applyBorder="1">
      <alignment vertical="center"/>
    </xf>
    <xf numFmtId="43" fontId="20" fillId="0" borderId="0" xfId="1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0" fontId="19" fillId="0" borderId="2" xfId="0" applyFont="1" applyBorder="1">
      <alignment vertical="center"/>
    </xf>
    <xf numFmtId="0" fontId="26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5" fillId="5" borderId="0" xfId="2" applyNumberFormat="1" applyFont="1" applyFill="1" applyProtection="1"/>
    <xf numFmtId="0" fontId="15" fillId="5" borderId="0" xfId="2" applyFont="1" applyFill="1" applyProtection="1"/>
    <xf numFmtId="0" fontId="27" fillId="5" borderId="0" xfId="2" applyFont="1" applyFill="1" applyAlignment="1" applyProtection="1">
      <alignment horizontal="centerContinuous"/>
    </xf>
    <xf numFmtId="0" fontId="15" fillId="5" borderId="0" xfId="2" applyFont="1" applyFill="1" applyAlignment="1">
      <alignment horizontal="centerContinuous"/>
    </xf>
    <xf numFmtId="0" fontId="15" fillId="5" borderId="0" xfId="2" applyFont="1" applyFill="1" applyAlignment="1" applyProtection="1">
      <alignment horizontal="centerContinuous"/>
    </xf>
    <xf numFmtId="9" fontId="15" fillId="5" borderId="0" xfId="2" applyNumberFormat="1" applyFont="1" applyFill="1" applyProtection="1"/>
    <xf numFmtId="0" fontId="15" fillId="5" borderId="6" xfId="2" applyFont="1" applyFill="1" applyBorder="1" applyAlignment="1" applyProtection="1">
      <alignment horizontal="center"/>
    </xf>
    <xf numFmtId="0" fontId="17" fillId="5" borderId="2" xfId="2" applyFont="1" applyFill="1" applyBorder="1" applyAlignment="1" applyProtection="1">
      <alignment horizontal="center"/>
    </xf>
    <xf numFmtId="0" fontId="17" fillId="5" borderId="4" xfId="2" applyFont="1" applyFill="1" applyBorder="1" applyAlignment="1" applyProtection="1">
      <alignment horizontal="center"/>
    </xf>
    <xf numFmtId="1" fontId="17" fillId="5" borderId="4" xfId="7" applyFont="1" applyFill="1" applyBorder="1"/>
    <xf numFmtId="1" fontId="15" fillId="5" borderId="4" xfId="7" applyFont="1" applyFill="1" applyBorder="1"/>
    <xf numFmtId="0" fontId="15" fillId="5" borderId="7" xfId="2" applyFont="1" applyFill="1" applyBorder="1" applyProtection="1"/>
    <xf numFmtId="0" fontId="15" fillId="5" borderId="2" xfId="2" applyFont="1" applyFill="1" applyBorder="1" applyAlignment="1" applyProtection="1">
      <alignment horizontal="center"/>
    </xf>
    <xf numFmtId="0" fontId="15" fillId="5" borderId="2" xfId="2" applyFont="1" applyFill="1" applyBorder="1" applyAlignment="1" applyProtection="1">
      <alignment horizontal="left"/>
    </xf>
    <xf numFmtId="0" fontId="15" fillId="8" borderId="2" xfId="2" applyFont="1" applyFill="1" applyBorder="1" applyProtection="1"/>
    <xf numFmtId="177" fontId="15" fillId="8" borderId="2" xfId="1" applyNumberFormat="1" applyFont="1" applyFill="1" applyBorder="1" applyAlignment="1" applyProtection="1"/>
    <xf numFmtId="0" fontId="15" fillId="5" borderId="2" xfId="2" applyFont="1" applyFill="1" applyBorder="1" applyProtection="1"/>
    <xf numFmtId="177" fontId="15" fillId="5" borderId="2" xfId="1" applyNumberFormat="1" applyFont="1" applyFill="1" applyBorder="1" applyAlignment="1" applyProtection="1"/>
    <xf numFmtId="0" fontId="15" fillId="5" borderId="2" xfId="2" applyNumberFormat="1" applyFont="1" applyFill="1" applyBorder="1" applyAlignment="1" applyProtection="1">
      <alignment horizontal="left"/>
    </xf>
    <xf numFmtId="1" fontId="15" fillId="5" borderId="2" xfId="2" applyNumberFormat="1" applyFont="1" applyFill="1" applyBorder="1" applyProtection="1"/>
    <xf numFmtId="1" fontId="15" fillId="5" borderId="2" xfId="2" applyNumberFormat="1" applyFont="1" applyFill="1" applyBorder="1" applyAlignment="1" applyProtection="1">
      <alignment horizontal="left"/>
    </xf>
    <xf numFmtId="0" fontId="15" fillId="5" borderId="9" xfId="2" applyFont="1" applyFill="1" applyBorder="1" applyProtection="1"/>
    <xf numFmtId="0" fontId="15" fillId="5" borderId="11" xfId="2" applyFont="1" applyFill="1" applyBorder="1" applyProtection="1"/>
    <xf numFmtId="0" fontId="15" fillId="5" borderId="12" xfId="2" applyFont="1" applyFill="1" applyBorder="1" applyProtection="1"/>
    <xf numFmtId="0" fontId="15" fillId="5" borderId="0" xfId="2" applyFont="1" applyFill="1" applyBorder="1" applyProtection="1"/>
    <xf numFmtId="180" fontId="15" fillId="5" borderId="0" xfId="2" applyNumberFormat="1" applyFont="1" applyFill="1" applyBorder="1" applyProtection="1"/>
    <xf numFmtId="10" fontId="15" fillId="5" borderId="0" xfId="2" applyNumberFormat="1" applyFont="1" applyFill="1" applyBorder="1" applyProtection="1"/>
    <xf numFmtId="1" fontId="15" fillId="5" borderId="0" xfId="2" applyNumberFormat="1" applyFont="1" applyFill="1" applyBorder="1" applyProtection="1"/>
    <xf numFmtId="0" fontId="15" fillId="5" borderId="13" xfId="2" applyFont="1" applyFill="1" applyBorder="1" applyProtection="1"/>
    <xf numFmtId="0" fontId="15" fillId="5" borderId="1" xfId="2" applyFont="1" applyFill="1" applyBorder="1" applyProtection="1"/>
    <xf numFmtId="2" fontId="15" fillId="5" borderId="1" xfId="2" applyNumberFormat="1" applyFont="1" applyFill="1" applyBorder="1" applyProtection="1"/>
    <xf numFmtId="0" fontId="15" fillId="5" borderId="5" xfId="2" applyFont="1" applyFill="1" applyBorder="1"/>
    <xf numFmtId="1" fontId="15" fillId="5" borderId="7" xfId="7" applyFont="1" applyFill="1" applyBorder="1" applyAlignment="1">
      <alignment horizontal="center"/>
    </xf>
    <xf numFmtId="0" fontId="15" fillId="5" borderId="8" xfId="2" applyFont="1" applyFill="1" applyBorder="1" applyProtection="1"/>
    <xf numFmtId="0" fontId="15" fillId="5" borderId="14" xfId="2" applyFont="1" applyFill="1" applyBorder="1" applyProtection="1"/>
    <xf numFmtId="0" fontId="15" fillId="5" borderId="15" xfId="2" applyFont="1" applyFill="1" applyBorder="1" applyProtection="1"/>
    <xf numFmtId="0" fontId="28" fillId="0" borderId="0" xfId="0" applyFont="1">
      <alignment vertical="center"/>
    </xf>
    <xf numFmtId="0" fontId="29" fillId="0" borderId="2" xfId="0" applyFont="1" applyBorder="1" applyAlignment="1">
      <alignment horizontal="center" vertical="center" wrapText="1" readingOrder="1"/>
    </xf>
    <xf numFmtId="0" fontId="28" fillId="0" borderId="0" xfId="0" applyFont="1" applyFill="1">
      <alignment vertical="center"/>
    </xf>
    <xf numFmtId="0" fontId="11" fillId="0" borderId="2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left" vertical="center" wrapText="1" readingOrder="1"/>
    </xf>
    <xf numFmtId="0" fontId="30" fillId="0" borderId="2" xfId="0" applyFont="1" applyFill="1" applyBorder="1" applyAlignment="1">
      <alignment horizontal="left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horizontal="left" vertical="center" wrapText="1" readingOrder="1"/>
    </xf>
    <xf numFmtId="43" fontId="3" fillId="0" borderId="0" xfId="0" applyNumberFormat="1" applyFont="1" applyFill="1">
      <alignment vertical="center"/>
    </xf>
    <xf numFmtId="181" fontId="3" fillId="0" borderId="0" xfId="3" applyNumberFormat="1" applyFont="1" applyFill="1">
      <alignment vertical="center"/>
    </xf>
    <xf numFmtId="181" fontId="3" fillId="9" borderId="0" xfId="3" applyNumberFormat="1" applyFont="1" applyFill="1">
      <alignment vertical="center"/>
    </xf>
    <xf numFmtId="43" fontId="5" fillId="0" borderId="0" xfId="1" applyFont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18" fillId="0" borderId="0" xfId="0" applyNumberFormat="1" applyFont="1" applyFill="1">
      <alignment vertical="center"/>
    </xf>
    <xf numFmtId="43" fontId="5" fillId="9" borderId="2" xfId="1" applyFont="1" applyFill="1" applyBorder="1" applyAlignment="1">
      <alignment vertical="center" wrapText="1"/>
    </xf>
    <xf numFmtId="43" fontId="5" fillId="9" borderId="2" xfId="1" applyFont="1" applyFill="1" applyBorder="1" applyAlignment="1">
      <alignment horizontal="center" vertical="center" wrapText="1"/>
    </xf>
    <xf numFmtId="43" fontId="5" fillId="9" borderId="0" xfId="1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7" fillId="5" borderId="2" xfId="2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3" fillId="5" borderId="1" xfId="2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 readingOrder="1"/>
    </xf>
    <xf numFmtId="0" fontId="11" fillId="0" borderId="10" xfId="0" applyFont="1" applyFill="1" applyBorder="1" applyAlignment="1">
      <alignment horizontal="center" vertical="center" wrapText="1" readingOrder="1"/>
    </xf>
    <xf numFmtId="0" fontId="11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6" customFormat="1" ht="35.25" customHeight="1">
      <c r="A2" s="177" t="s">
        <v>0</v>
      </c>
      <c r="B2" s="177" t="s">
        <v>1</v>
      </c>
      <c r="C2" s="177" t="s">
        <v>2</v>
      </c>
      <c r="D2" s="178"/>
    </row>
    <row r="3" spans="1:4" s="176" customFormat="1" ht="33.75" customHeight="1">
      <c r="A3" s="179">
        <v>1</v>
      </c>
      <c r="B3" s="179" t="s">
        <v>3</v>
      </c>
      <c r="C3" s="180" t="s">
        <v>4</v>
      </c>
      <c r="D3" s="178"/>
    </row>
    <row r="4" spans="1:4" s="176" customFormat="1" ht="33.75" customHeight="1">
      <c r="A4" s="179">
        <v>2</v>
      </c>
      <c r="B4" s="179" t="s">
        <v>5</v>
      </c>
      <c r="C4" s="180" t="s">
        <v>6</v>
      </c>
    </row>
    <row r="5" spans="1:4" s="176" customFormat="1" ht="33.75" customHeight="1">
      <c r="A5" s="179">
        <v>3</v>
      </c>
      <c r="B5" s="196" t="s">
        <v>7</v>
      </c>
      <c r="C5" s="181" t="s">
        <v>294</v>
      </c>
    </row>
    <row r="6" spans="1:4" s="176" customFormat="1" ht="33.75" customHeight="1">
      <c r="A6" s="179">
        <v>4</v>
      </c>
      <c r="B6" s="197"/>
      <c r="C6" s="180" t="s">
        <v>295</v>
      </c>
    </row>
    <row r="7" spans="1:4" s="176" customFormat="1" ht="33.75" customHeight="1">
      <c r="A7" s="179">
        <v>5</v>
      </c>
      <c r="B7" s="182" t="s">
        <v>8</v>
      </c>
      <c r="C7" s="180" t="s">
        <v>296</v>
      </c>
    </row>
    <row r="8" spans="1:4" s="176" customFormat="1" ht="33.75" customHeight="1">
      <c r="A8" s="179">
        <v>6</v>
      </c>
      <c r="B8" s="196" t="s">
        <v>9</v>
      </c>
      <c r="C8" s="180" t="s">
        <v>10</v>
      </c>
    </row>
    <row r="9" spans="1:4" s="176" customFormat="1" ht="33.75" customHeight="1">
      <c r="A9" s="179">
        <v>7</v>
      </c>
      <c r="B9" s="197"/>
      <c r="C9" s="180" t="s">
        <v>11</v>
      </c>
    </row>
    <row r="10" spans="1:4" s="176" customFormat="1" ht="33.75" customHeight="1">
      <c r="A10" s="179">
        <v>8</v>
      </c>
      <c r="B10" s="197"/>
      <c r="C10" s="181" t="s">
        <v>297</v>
      </c>
    </row>
    <row r="11" spans="1:4" s="176" customFormat="1" ht="33.75" customHeight="1">
      <c r="A11" s="179">
        <v>9</v>
      </c>
      <c r="B11" s="197"/>
      <c r="C11" s="180" t="s">
        <v>12</v>
      </c>
    </row>
    <row r="12" spans="1:4" s="176" customFormat="1" ht="33.75" customHeight="1">
      <c r="A12" s="179">
        <v>10</v>
      </c>
      <c r="B12" s="182" t="s">
        <v>13</v>
      </c>
      <c r="C12" s="180" t="s">
        <v>14</v>
      </c>
    </row>
    <row r="13" spans="1:4" ht="33.75" customHeight="1"/>
    <row r="14" spans="1:4" ht="33.75" customHeight="1"/>
    <row r="15" spans="1:4" ht="33.75" customHeight="1">
      <c r="C15" s="183"/>
    </row>
  </sheetData>
  <mergeCells count="2">
    <mergeCell ref="B5:B6"/>
    <mergeCell ref="B8:B11"/>
  </mergeCells>
  <phoneticPr fontId="40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17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27" customHeight="1">
      <c r="A1" s="18" t="s">
        <v>17</v>
      </c>
      <c r="B1" s="18" t="s">
        <v>247</v>
      </c>
      <c r="C1" s="18" t="s">
        <v>248</v>
      </c>
      <c r="D1" s="18" t="s">
        <v>249</v>
      </c>
    </row>
    <row r="2" spans="1:4" ht="19.5" customHeight="1">
      <c r="A2" s="18">
        <v>1</v>
      </c>
      <c r="B2" s="19" t="s">
        <v>250</v>
      </c>
      <c r="C2" s="20" t="s">
        <v>251</v>
      </c>
      <c r="D2" s="18"/>
    </row>
    <row r="3" spans="1:4" ht="36" customHeight="1">
      <c r="A3" s="18">
        <v>2</v>
      </c>
      <c r="B3" s="19" t="s">
        <v>252</v>
      </c>
      <c r="C3" s="21" t="s">
        <v>253</v>
      </c>
      <c r="D3" s="18" t="s">
        <v>254</v>
      </c>
    </row>
    <row r="4" spans="1:4" ht="19.5" customHeight="1">
      <c r="A4" s="18">
        <v>3</v>
      </c>
      <c r="B4" s="19" t="s">
        <v>255</v>
      </c>
      <c r="C4" s="20" t="s">
        <v>256</v>
      </c>
      <c r="D4" s="18"/>
    </row>
    <row r="5" spans="1:4" ht="42.75" customHeight="1">
      <c r="A5" s="18">
        <v>4</v>
      </c>
      <c r="B5" s="19" t="s">
        <v>257</v>
      </c>
      <c r="C5" s="20"/>
      <c r="D5" s="18"/>
    </row>
    <row r="6" spans="1:4" ht="39" customHeight="1">
      <c r="A6" s="18">
        <v>5</v>
      </c>
      <c r="B6" s="19" t="s">
        <v>258</v>
      </c>
      <c r="C6" s="20"/>
      <c r="D6" s="18"/>
    </row>
    <row r="7" spans="1:4" ht="27.75" customHeight="1">
      <c r="A7" s="18">
        <v>6</v>
      </c>
      <c r="B7" s="18" t="s">
        <v>259</v>
      </c>
      <c r="C7" s="21" t="s">
        <v>260</v>
      </c>
    </row>
    <row r="8" spans="1:4" ht="36" customHeight="1">
      <c r="A8" s="18">
        <v>7</v>
      </c>
      <c r="B8" s="19" t="s">
        <v>261</v>
      </c>
      <c r="C8" s="22" t="s">
        <v>262</v>
      </c>
      <c r="D8" s="18"/>
    </row>
    <row r="9" spans="1:4" ht="34.5" customHeight="1">
      <c r="A9" s="18">
        <v>8</v>
      </c>
      <c r="B9" s="18" t="s">
        <v>263</v>
      </c>
      <c r="C9" s="23">
        <v>3.0000000000000001E-3</v>
      </c>
      <c r="D9" s="18"/>
    </row>
    <row r="10" spans="1:4" ht="34.5" customHeight="1">
      <c r="A10" s="18">
        <v>9</v>
      </c>
      <c r="B10" s="18" t="s">
        <v>264</v>
      </c>
      <c r="C10" s="22" t="s">
        <v>265</v>
      </c>
      <c r="D10" s="18"/>
    </row>
    <row r="11" spans="1:4" ht="34.5" customHeight="1">
      <c r="A11" s="18">
        <v>10</v>
      </c>
      <c r="B11" s="18" t="s">
        <v>266</v>
      </c>
      <c r="C11" s="22"/>
      <c r="D11" s="18" t="s">
        <v>267</v>
      </c>
    </row>
    <row r="12" spans="1:4" ht="34.5" customHeight="1">
      <c r="A12" s="18">
        <v>11</v>
      </c>
      <c r="B12" s="18" t="s">
        <v>268</v>
      </c>
      <c r="C12" s="22"/>
      <c r="D12" s="18"/>
    </row>
    <row r="13" spans="1:4" ht="24" customHeight="1">
      <c r="A13" s="18">
        <v>12</v>
      </c>
      <c r="B13" s="19" t="s">
        <v>269</v>
      </c>
      <c r="C13" s="22" t="s">
        <v>270</v>
      </c>
      <c r="D13" s="18"/>
    </row>
    <row r="14" spans="1:4" ht="24" customHeight="1">
      <c r="A14" s="18">
        <v>13</v>
      </c>
      <c r="B14" s="19" t="s">
        <v>271</v>
      </c>
      <c r="C14" s="22" t="s">
        <v>272</v>
      </c>
      <c r="D14" s="18"/>
    </row>
    <row r="15" spans="1:4" ht="24" customHeight="1">
      <c r="A15" s="18">
        <v>14</v>
      </c>
      <c r="B15" s="19" t="s">
        <v>273</v>
      </c>
      <c r="C15" s="22"/>
      <c r="D15" s="18"/>
    </row>
    <row r="16" spans="1:4" ht="24" customHeight="1">
      <c r="A16" s="18">
        <v>15</v>
      </c>
      <c r="B16" s="18" t="s">
        <v>35</v>
      </c>
      <c r="C16" s="18"/>
      <c r="D16" s="18"/>
    </row>
    <row r="17" spans="2:2" ht="16.5">
      <c r="B17" s="24" t="s">
        <v>274</v>
      </c>
    </row>
  </sheetData>
  <phoneticPr fontId="4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0"/>
  <sheetViews>
    <sheetView zoomScale="85" zoomScaleNormal="85" workbookViewId="0">
      <selection activeCell="J8" sqref="J8"/>
    </sheetView>
  </sheetViews>
  <sheetFormatPr defaultColWidth="9" defaultRowHeight="13.5"/>
  <cols>
    <col min="1" max="2" width="9" style="2"/>
    <col min="3" max="5" width="15.75" style="2" customWidth="1"/>
    <col min="6" max="8" width="11.125" style="2" customWidth="1"/>
    <col min="9" max="9" width="18.5" style="3" customWidth="1"/>
    <col min="10" max="16384" width="9" style="2"/>
  </cols>
  <sheetData>
    <row r="1" spans="1:9" s="1" customFormat="1" ht="18.75" customHeight="1">
      <c r="G1" s="248" t="s">
        <v>275</v>
      </c>
      <c r="H1" s="248"/>
      <c r="I1" s="14" t="s">
        <v>151</v>
      </c>
    </row>
    <row r="2" spans="1:9" ht="39" customHeight="1">
      <c r="A2" s="255" t="s">
        <v>276</v>
      </c>
      <c r="B2" s="255"/>
      <c r="C2" s="249" t="s">
        <v>277</v>
      </c>
      <c r="D2" s="250"/>
      <c r="E2" s="250"/>
      <c r="F2" s="250"/>
      <c r="G2" s="250"/>
      <c r="H2" s="251"/>
      <c r="I2" s="3" t="s">
        <v>278</v>
      </c>
    </row>
    <row r="3" spans="1:9" ht="34.5" customHeight="1">
      <c r="A3" s="255"/>
      <c r="B3" s="255"/>
      <c r="C3" s="4" t="s">
        <v>279</v>
      </c>
      <c r="D3" s="4" t="s">
        <v>280</v>
      </c>
      <c r="E3" s="4" t="s">
        <v>281</v>
      </c>
      <c r="F3" s="5" t="s">
        <v>282</v>
      </c>
      <c r="G3" s="5" t="s">
        <v>283</v>
      </c>
      <c r="H3" s="5" t="s">
        <v>284</v>
      </c>
      <c r="I3" s="15">
        <f>销量!C8</f>
        <v>2283.1858407079649</v>
      </c>
    </row>
    <row r="4" spans="1:9" ht="24" customHeight="1">
      <c r="A4" s="252" t="s">
        <v>285</v>
      </c>
      <c r="B4" s="252"/>
      <c r="C4" s="7"/>
      <c r="D4" s="8"/>
      <c r="E4" s="9">
        <f>I3*I4</f>
        <v>98.405309734513281</v>
      </c>
      <c r="F4" s="9"/>
      <c r="G4" s="9"/>
      <c r="H4" s="10">
        <v>4.48E-2</v>
      </c>
      <c r="I4" s="3">
        <v>4.3099999999999999E-2</v>
      </c>
    </row>
    <row r="5" spans="1:9" ht="24" customHeight="1">
      <c r="A5" s="252" t="s">
        <v>286</v>
      </c>
      <c r="B5" s="6" t="s">
        <v>287</v>
      </c>
      <c r="C5" s="7"/>
      <c r="D5" s="8"/>
      <c r="E5" s="9">
        <f>$I$3*I5</f>
        <v>93.61061946902656</v>
      </c>
      <c r="F5" s="9"/>
      <c r="G5" s="9"/>
      <c r="H5" s="10">
        <v>4.0399999999999998E-2</v>
      </c>
      <c r="I5" s="3">
        <v>4.1000000000000002E-2</v>
      </c>
    </row>
    <row r="6" spans="1:9" ht="24" customHeight="1">
      <c r="A6" s="252"/>
      <c r="B6" s="6" t="s">
        <v>288</v>
      </c>
      <c r="C6" s="7"/>
      <c r="D6" s="8"/>
      <c r="E6" s="9">
        <f>$I$3*I6</f>
        <v>49.545132743362842</v>
      </c>
      <c r="F6" s="9"/>
      <c r="G6" s="9"/>
      <c r="H6" s="10">
        <v>1.66E-2</v>
      </c>
      <c r="I6" s="3">
        <v>2.1700000000000001E-2</v>
      </c>
    </row>
    <row r="7" spans="1:9" ht="24" customHeight="1">
      <c r="A7" s="249" t="s">
        <v>289</v>
      </c>
      <c r="B7" s="251"/>
      <c r="C7" s="11"/>
      <c r="D7" s="12"/>
      <c r="E7" s="9">
        <f t="shared" ref="E7:E11" si="0">$I$3*I7</f>
        <v>241.5610619469027</v>
      </c>
      <c r="F7" s="9"/>
      <c r="G7" s="9"/>
      <c r="H7" s="13">
        <f>SUM(H4:H6)</f>
        <v>0.1018</v>
      </c>
      <c r="I7" s="3">
        <f>SUM(I4:I6)</f>
        <v>0.10580000000000001</v>
      </c>
    </row>
    <row r="8" spans="1:9" ht="24" customHeight="1">
      <c r="A8" s="252" t="s">
        <v>81</v>
      </c>
      <c r="B8" s="252"/>
      <c r="C8" s="7"/>
      <c r="D8" s="8"/>
      <c r="E8" s="9">
        <f t="shared" si="0"/>
        <v>77.628318584070811</v>
      </c>
      <c r="F8" s="9"/>
      <c r="G8" s="9"/>
      <c r="H8" s="10">
        <f>1.97%+0.75%</f>
        <v>2.7199999999999998E-2</v>
      </c>
      <c r="I8" s="3">
        <v>3.4000000000000002E-2</v>
      </c>
    </row>
    <row r="9" spans="1:9" ht="24" customHeight="1">
      <c r="A9" s="253" t="s">
        <v>290</v>
      </c>
      <c r="B9" s="6" t="s">
        <v>287</v>
      </c>
      <c r="C9" s="7"/>
      <c r="D9" s="8"/>
      <c r="E9" s="9">
        <f t="shared" si="0"/>
        <v>15.982300884955755</v>
      </c>
      <c r="F9" s="9"/>
      <c r="G9" s="9"/>
      <c r="H9" s="10">
        <v>5.3E-3</v>
      </c>
      <c r="I9" s="3">
        <v>7.0000000000000001E-3</v>
      </c>
    </row>
    <row r="10" spans="1:9" ht="24" customHeight="1">
      <c r="A10" s="254"/>
      <c r="B10" s="6" t="s">
        <v>288</v>
      </c>
      <c r="C10" s="7"/>
      <c r="D10" s="8"/>
      <c r="E10" s="9">
        <f t="shared" si="0"/>
        <v>100.46017699115045</v>
      </c>
      <c r="F10" s="9"/>
      <c r="G10" s="9"/>
      <c r="H10" s="10">
        <v>3.4099999999999998E-2</v>
      </c>
      <c r="I10" s="3">
        <f>2.8%+1.6%</f>
        <v>4.3999999999999997E-2</v>
      </c>
    </row>
    <row r="11" spans="1:9" ht="24" customHeight="1">
      <c r="A11" s="252" t="s">
        <v>84</v>
      </c>
      <c r="B11" s="252"/>
      <c r="C11" s="7"/>
      <c r="D11" s="8"/>
      <c r="E11" s="9">
        <f t="shared" si="0"/>
        <v>68.495575221238937</v>
      </c>
      <c r="F11" s="9"/>
      <c r="G11" s="9"/>
      <c r="H11" s="10">
        <v>1.0999999999999999E-2</v>
      </c>
      <c r="I11" s="3">
        <v>0.03</v>
      </c>
    </row>
    <row r="13" spans="1:9" s="1" customFormat="1" ht="18.75" customHeight="1">
      <c r="G13" s="248" t="s">
        <v>275</v>
      </c>
      <c r="H13" s="248"/>
      <c r="I13" s="16" t="s">
        <v>152</v>
      </c>
    </row>
    <row r="14" spans="1:9" ht="39" customHeight="1">
      <c r="A14" s="255" t="s">
        <v>276</v>
      </c>
      <c r="B14" s="255"/>
      <c r="C14" s="249" t="s">
        <v>277</v>
      </c>
      <c r="D14" s="250"/>
      <c r="E14" s="250"/>
      <c r="F14" s="250"/>
      <c r="G14" s="250"/>
      <c r="H14" s="251"/>
      <c r="I14" s="3" t="s">
        <v>278</v>
      </c>
    </row>
    <row r="15" spans="1:9" ht="34.5" customHeight="1">
      <c r="A15" s="255"/>
      <c r="B15" s="255"/>
      <c r="C15" s="4" t="s">
        <v>279</v>
      </c>
      <c r="D15" s="4" t="s">
        <v>280</v>
      </c>
      <c r="E15" s="4" t="s">
        <v>281</v>
      </c>
      <c r="F15" s="5" t="s">
        <v>282</v>
      </c>
      <c r="G15" s="5" t="s">
        <v>283</v>
      </c>
      <c r="H15" s="5" t="s">
        <v>284</v>
      </c>
      <c r="I15" s="15">
        <f>销量!D8</f>
        <v>2283.1858407079649</v>
      </c>
    </row>
    <row r="16" spans="1:9" ht="24" customHeight="1">
      <c r="A16" s="252" t="s">
        <v>285</v>
      </c>
      <c r="B16" s="252"/>
      <c r="C16" s="7"/>
      <c r="D16" s="8"/>
      <c r="E16" s="9">
        <f>I15*I16</f>
        <v>98.405309734513281</v>
      </c>
      <c r="F16" s="9"/>
      <c r="G16" s="9"/>
      <c r="H16" s="10">
        <v>4.48E-2</v>
      </c>
      <c r="I16" s="3">
        <v>4.3099999999999999E-2</v>
      </c>
    </row>
    <row r="17" spans="1:9" ht="24" customHeight="1">
      <c r="A17" s="252" t="s">
        <v>286</v>
      </c>
      <c r="B17" s="6" t="s">
        <v>287</v>
      </c>
      <c r="C17" s="7"/>
      <c r="D17" s="8"/>
      <c r="E17" s="9">
        <f>$I$15*I17</f>
        <v>93.61061946902656</v>
      </c>
      <c r="F17" s="9"/>
      <c r="G17" s="9"/>
      <c r="H17" s="10">
        <v>4.0399999999999998E-2</v>
      </c>
      <c r="I17" s="3">
        <v>4.1000000000000002E-2</v>
      </c>
    </row>
    <row r="18" spans="1:9" ht="24" customHeight="1">
      <c r="A18" s="252"/>
      <c r="B18" s="6" t="s">
        <v>288</v>
      </c>
      <c r="C18" s="7"/>
      <c r="D18" s="8"/>
      <c r="E18" s="9">
        <f t="shared" ref="E18:E23" si="1">$I$15*I18</f>
        <v>49.545132743362842</v>
      </c>
      <c r="F18" s="9"/>
      <c r="G18" s="9"/>
      <c r="H18" s="10">
        <v>1.66E-2</v>
      </c>
      <c r="I18" s="3">
        <v>2.1700000000000001E-2</v>
      </c>
    </row>
    <row r="19" spans="1:9" ht="24" customHeight="1">
      <c r="A19" s="249" t="s">
        <v>289</v>
      </c>
      <c r="B19" s="251"/>
      <c r="C19" s="11"/>
      <c r="D19" s="12"/>
      <c r="E19" s="9">
        <f t="shared" si="1"/>
        <v>241.5610619469027</v>
      </c>
      <c r="F19" s="9"/>
      <c r="G19" s="9"/>
      <c r="H19" s="13">
        <f>SUM(H16:H18)</f>
        <v>0.1018</v>
      </c>
      <c r="I19" s="3">
        <f>SUM(I16:I18)</f>
        <v>0.10580000000000001</v>
      </c>
    </row>
    <row r="20" spans="1:9" ht="24" customHeight="1">
      <c r="A20" s="252" t="s">
        <v>81</v>
      </c>
      <c r="B20" s="252"/>
      <c r="C20" s="7"/>
      <c r="D20" s="8"/>
      <c r="E20" s="9">
        <f t="shared" si="1"/>
        <v>77.628318584070811</v>
      </c>
      <c r="F20" s="9"/>
      <c r="G20" s="9"/>
      <c r="H20" s="10">
        <f>1.97%+0.75%</f>
        <v>2.7199999999999998E-2</v>
      </c>
      <c r="I20" s="3">
        <v>3.4000000000000002E-2</v>
      </c>
    </row>
    <row r="21" spans="1:9" ht="24" customHeight="1">
      <c r="A21" s="253" t="s">
        <v>290</v>
      </c>
      <c r="B21" s="6" t="s">
        <v>287</v>
      </c>
      <c r="C21" s="7"/>
      <c r="D21" s="8"/>
      <c r="E21" s="9">
        <f t="shared" si="1"/>
        <v>15.982300884955755</v>
      </c>
      <c r="F21" s="9"/>
      <c r="G21" s="9"/>
      <c r="H21" s="10">
        <v>5.3E-3</v>
      </c>
      <c r="I21" s="3">
        <v>7.0000000000000001E-3</v>
      </c>
    </row>
    <row r="22" spans="1:9" ht="24" customHeight="1">
      <c r="A22" s="254"/>
      <c r="B22" s="6" t="s">
        <v>288</v>
      </c>
      <c r="C22" s="7"/>
      <c r="D22" s="8"/>
      <c r="E22" s="9">
        <f t="shared" si="1"/>
        <v>100.46017699115045</v>
      </c>
      <c r="F22" s="9"/>
      <c r="G22" s="9"/>
      <c r="H22" s="10">
        <v>3.4099999999999998E-2</v>
      </c>
      <c r="I22" s="3">
        <f>2.8%+1.6%</f>
        <v>4.3999999999999997E-2</v>
      </c>
    </row>
    <row r="23" spans="1:9" ht="24" customHeight="1">
      <c r="A23" s="252" t="s">
        <v>84</v>
      </c>
      <c r="B23" s="252"/>
      <c r="C23" s="7"/>
      <c r="D23" s="8"/>
      <c r="E23" s="9">
        <f t="shared" si="1"/>
        <v>68.495575221238937</v>
      </c>
      <c r="F23" s="9"/>
      <c r="G23" s="9"/>
      <c r="H23" s="10">
        <v>1.0999999999999999E-2</v>
      </c>
      <c r="I23" s="3">
        <v>0.03</v>
      </c>
    </row>
    <row r="26" spans="1:9" s="1" customFormat="1" ht="18.75" customHeight="1">
      <c r="G26" s="248" t="s">
        <v>275</v>
      </c>
      <c r="H26" s="248"/>
      <c r="I26" s="16" t="s">
        <v>153</v>
      </c>
    </row>
    <row r="27" spans="1:9" ht="39" customHeight="1">
      <c r="A27" s="255" t="s">
        <v>276</v>
      </c>
      <c r="B27" s="255"/>
      <c r="C27" s="249" t="s">
        <v>277</v>
      </c>
      <c r="D27" s="250"/>
      <c r="E27" s="250"/>
      <c r="F27" s="250"/>
      <c r="G27" s="250"/>
      <c r="H27" s="251"/>
      <c r="I27" s="3" t="s">
        <v>278</v>
      </c>
    </row>
    <row r="28" spans="1:9" ht="34.5" customHeight="1">
      <c r="A28" s="255"/>
      <c r="B28" s="255"/>
      <c r="C28" s="4" t="s">
        <v>279</v>
      </c>
      <c r="D28" s="4" t="s">
        <v>280</v>
      </c>
      <c r="E28" s="4" t="s">
        <v>281</v>
      </c>
      <c r="F28" s="5" t="s">
        <v>282</v>
      </c>
      <c r="G28" s="5" t="s">
        <v>283</v>
      </c>
      <c r="H28" s="5" t="s">
        <v>284</v>
      </c>
      <c r="I28" s="15">
        <f>销量!E8</f>
        <v>1818.5840707964603</v>
      </c>
    </row>
    <row r="29" spans="1:9" ht="24" customHeight="1">
      <c r="A29" s="252" t="s">
        <v>285</v>
      </c>
      <c r="B29" s="252"/>
      <c r="C29" s="7"/>
      <c r="D29" s="8"/>
      <c r="E29" s="9">
        <f>I28*I29</f>
        <v>78.380973451327435</v>
      </c>
      <c r="F29" s="9"/>
      <c r="G29" s="9"/>
      <c r="H29" s="10">
        <v>4.48E-2</v>
      </c>
      <c r="I29" s="3">
        <v>4.3099999999999999E-2</v>
      </c>
    </row>
    <row r="30" spans="1:9" ht="24" customHeight="1">
      <c r="A30" s="252" t="s">
        <v>286</v>
      </c>
      <c r="B30" s="6" t="s">
        <v>287</v>
      </c>
      <c r="C30" s="7"/>
      <c r="D30" s="8"/>
      <c r="E30" s="9">
        <f t="shared" ref="E30:E36" si="2">$I$28*I30</f>
        <v>74.561946902654881</v>
      </c>
      <c r="F30" s="9"/>
      <c r="G30" s="9"/>
      <c r="H30" s="10">
        <v>4.0399999999999998E-2</v>
      </c>
      <c r="I30" s="3">
        <v>4.1000000000000002E-2</v>
      </c>
    </row>
    <row r="31" spans="1:9" ht="24" customHeight="1">
      <c r="A31" s="252"/>
      <c r="B31" s="6" t="s">
        <v>288</v>
      </c>
      <c r="C31" s="7"/>
      <c r="D31" s="8"/>
      <c r="E31" s="9">
        <f t="shared" si="2"/>
        <v>39.463274336283192</v>
      </c>
      <c r="F31" s="9"/>
      <c r="G31" s="9"/>
      <c r="H31" s="10">
        <v>1.66E-2</v>
      </c>
      <c r="I31" s="3">
        <v>2.1700000000000001E-2</v>
      </c>
    </row>
    <row r="32" spans="1:9" ht="24" customHeight="1">
      <c r="A32" s="249" t="s">
        <v>289</v>
      </c>
      <c r="B32" s="251"/>
      <c r="C32" s="11"/>
      <c r="D32" s="12"/>
      <c r="E32" s="9">
        <f t="shared" si="2"/>
        <v>192.40619469026552</v>
      </c>
      <c r="F32" s="9"/>
      <c r="G32" s="9"/>
      <c r="H32" s="13">
        <f>SUM(H29:H31)</f>
        <v>0.1018</v>
      </c>
      <c r="I32" s="3">
        <f>SUM(I29:I31)</f>
        <v>0.10580000000000001</v>
      </c>
    </row>
    <row r="33" spans="1:9" ht="24" customHeight="1">
      <c r="A33" s="252" t="s">
        <v>81</v>
      </c>
      <c r="B33" s="252"/>
      <c r="C33" s="7"/>
      <c r="D33" s="8"/>
      <c r="E33" s="9">
        <f t="shared" si="2"/>
        <v>61.831858407079658</v>
      </c>
      <c r="F33" s="9"/>
      <c r="G33" s="9"/>
      <c r="H33" s="10">
        <f>1.97%+0.75%</f>
        <v>2.7199999999999998E-2</v>
      </c>
      <c r="I33" s="3">
        <v>3.4000000000000002E-2</v>
      </c>
    </row>
    <row r="34" spans="1:9" ht="24" customHeight="1">
      <c r="A34" s="253" t="s">
        <v>290</v>
      </c>
      <c r="B34" s="6" t="s">
        <v>287</v>
      </c>
      <c r="C34" s="7"/>
      <c r="D34" s="8"/>
      <c r="E34" s="9">
        <f t="shared" si="2"/>
        <v>12.730088495575222</v>
      </c>
      <c r="F34" s="9"/>
      <c r="G34" s="9"/>
      <c r="H34" s="10">
        <v>5.3E-3</v>
      </c>
      <c r="I34" s="3">
        <v>7.0000000000000001E-3</v>
      </c>
    </row>
    <row r="35" spans="1:9" ht="24" customHeight="1">
      <c r="A35" s="254"/>
      <c r="B35" s="6" t="s">
        <v>288</v>
      </c>
      <c r="C35" s="7"/>
      <c r="D35" s="8"/>
      <c r="E35" s="9">
        <f t="shared" si="2"/>
        <v>80.017699115044252</v>
      </c>
      <c r="F35" s="9"/>
      <c r="G35" s="9"/>
      <c r="H35" s="10">
        <v>3.4099999999999998E-2</v>
      </c>
      <c r="I35" s="3">
        <f>2.8%+1.6%</f>
        <v>4.3999999999999997E-2</v>
      </c>
    </row>
    <row r="36" spans="1:9" ht="24" customHeight="1">
      <c r="A36" s="252" t="s">
        <v>84</v>
      </c>
      <c r="B36" s="252"/>
      <c r="C36" s="7"/>
      <c r="D36" s="8"/>
      <c r="E36" s="9">
        <f t="shared" si="2"/>
        <v>54.557522123893804</v>
      </c>
      <c r="F36" s="9"/>
      <c r="G36" s="9"/>
      <c r="H36" s="10">
        <v>1.0999999999999999E-2</v>
      </c>
      <c r="I36" s="3">
        <v>0.03</v>
      </c>
    </row>
    <row r="39" spans="1:9" s="1" customFormat="1" ht="18.75" customHeight="1">
      <c r="G39" s="248" t="s">
        <v>275</v>
      </c>
      <c r="H39" s="248"/>
      <c r="I39" s="16" t="s">
        <v>154</v>
      </c>
    </row>
    <row r="40" spans="1:9" ht="39" customHeight="1">
      <c r="A40" s="255" t="s">
        <v>276</v>
      </c>
      <c r="B40" s="255"/>
      <c r="C40" s="249" t="s">
        <v>277</v>
      </c>
      <c r="D40" s="250"/>
      <c r="E40" s="250"/>
      <c r="F40" s="250"/>
      <c r="G40" s="250"/>
      <c r="H40" s="251"/>
      <c r="I40" s="3" t="s">
        <v>278</v>
      </c>
    </row>
    <row r="41" spans="1:9" ht="34.5" customHeight="1">
      <c r="A41" s="255"/>
      <c r="B41" s="255"/>
      <c r="C41" s="4" t="s">
        <v>279</v>
      </c>
      <c r="D41" s="4" t="s">
        <v>280</v>
      </c>
      <c r="E41" s="4" t="s">
        <v>281</v>
      </c>
      <c r="F41" s="5" t="s">
        <v>282</v>
      </c>
      <c r="G41" s="5" t="s">
        <v>283</v>
      </c>
      <c r="H41" s="5" t="s">
        <v>284</v>
      </c>
      <c r="I41" s="15">
        <f>销量!F8</f>
        <v>1818.5840707964603</v>
      </c>
    </row>
    <row r="42" spans="1:9" ht="24" customHeight="1">
      <c r="A42" s="252" t="s">
        <v>285</v>
      </c>
      <c r="B42" s="252"/>
      <c r="C42" s="7"/>
      <c r="D42" s="8"/>
      <c r="E42" s="9">
        <f>I41*I42</f>
        <v>78.380973451327435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52" t="s">
        <v>286</v>
      </c>
      <c r="B43" s="6" t="s">
        <v>287</v>
      </c>
      <c r="C43" s="7"/>
      <c r="D43" s="8"/>
      <c r="E43" s="9">
        <f>$I$28*I43</f>
        <v>74.561946902654881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52"/>
      <c r="B44" s="6" t="s">
        <v>288</v>
      </c>
      <c r="C44" s="7"/>
      <c r="D44" s="8"/>
      <c r="E44" s="9">
        <f t="shared" ref="E44:E49" si="3">$I$28*I44</f>
        <v>39.463274336283192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49" t="s">
        <v>289</v>
      </c>
      <c r="B45" s="251"/>
      <c r="C45" s="11"/>
      <c r="D45" s="12"/>
      <c r="E45" s="9">
        <f t="shared" si="3"/>
        <v>192.40619469026552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52" t="s">
        <v>81</v>
      </c>
      <c r="B46" s="252"/>
      <c r="C46" s="7"/>
      <c r="D46" s="8"/>
      <c r="E46" s="9">
        <f t="shared" si="3"/>
        <v>61.831858407079658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53" t="s">
        <v>290</v>
      </c>
      <c r="B47" s="6" t="s">
        <v>287</v>
      </c>
      <c r="C47" s="7"/>
      <c r="D47" s="8"/>
      <c r="E47" s="9">
        <f t="shared" si="3"/>
        <v>12.730088495575222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54"/>
      <c r="B48" s="6" t="s">
        <v>288</v>
      </c>
      <c r="C48" s="7"/>
      <c r="D48" s="8"/>
      <c r="E48" s="9">
        <f t="shared" si="3"/>
        <v>80.017699115044252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52" t="s">
        <v>84</v>
      </c>
      <c r="B49" s="252"/>
      <c r="C49" s="7"/>
      <c r="D49" s="8"/>
      <c r="E49" s="9">
        <f t="shared" si="3"/>
        <v>54.557522123893804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48" t="s">
        <v>275</v>
      </c>
      <c r="H52" s="248"/>
      <c r="I52" s="16" t="s">
        <v>155</v>
      </c>
    </row>
    <row r="53" spans="1:9" ht="39" customHeight="1">
      <c r="A53" s="255" t="s">
        <v>276</v>
      </c>
      <c r="B53" s="255"/>
      <c r="C53" s="249" t="s">
        <v>277</v>
      </c>
      <c r="D53" s="250"/>
      <c r="E53" s="250"/>
      <c r="F53" s="250"/>
      <c r="G53" s="250"/>
      <c r="H53" s="251"/>
      <c r="I53" s="3" t="s">
        <v>278</v>
      </c>
    </row>
    <row r="54" spans="1:9" ht="34.5" customHeight="1">
      <c r="A54" s="255"/>
      <c r="B54" s="255"/>
      <c r="C54" s="4" t="s">
        <v>279</v>
      </c>
      <c r="D54" s="4" t="s">
        <v>280</v>
      </c>
      <c r="E54" s="4" t="s">
        <v>281</v>
      </c>
      <c r="F54" s="5" t="s">
        <v>282</v>
      </c>
      <c r="G54" s="5" t="s">
        <v>283</v>
      </c>
      <c r="H54" s="5" t="s">
        <v>284</v>
      </c>
      <c r="I54" s="15">
        <f>销量!G8</f>
        <v>699.11504424778764</v>
      </c>
    </row>
    <row r="55" spans="1:9" ht="24" customHeight="1">
      <c r="A55" s="252" t="s">
        <v>285</v>
      </c>
      <c r="B55" s="252"/>
      <c r="C55" s="7"/>
      <c r="D55" s="8"/>
      <c r="E55" s="9">
        <f>I54*I55</f>
        <v>30.131858407079648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52" t="s">
        <v>286</v>
      </c>
      <c r="B56" s="6" t="s">
        <v>287</v>
      </c>
      <c r="C56" s="7"/>
      <c r="D56" s="8"/>
      <c r="E56" s="9">
        <f>$I$54*I56</f>
        <v>28.663716814159294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52"/>
      <c r="B57" s="6" t="s">
        <v>288</v>
      </c>
      <c r="C57" s="7"/>
      <c r="D57" s="8"/>
      <c r="E57" s="9">
        <f t="shared" ref="E57:E62" si="4">$I$54*I57</f>
        <v>15.170796460176993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49" t="s">
        <v>289</v>
      </c>
      <c r="B58" s="251"/>
      <c r="C58" s="11"/>
      <c r="D58" s="12"/>
      <c r="E58" s="9">
        <f t="shared" si="4"/>
        <v>73.966371681415936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52" t="s">
        <v>81</v>
      </c>
      <c r="B59" s="252"/>
      <c r="C59" s="7"/>
      <c r="D59" s="8"/>
      <c r="E59" s="9">
        <f t="shared" si="4"/>
        <v>23.76991150442478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53" t="s">
        <v>290</v>
      </c>
      <c r="B60" s="6" t="s">
        <v>287</v>
      </c>
      <c r="C60" s="7"/>
      <c r="D60" s="8"/>
      <c r="E60" s="9">
        <f t="shared" si="4"/>
        <v>4.893805309734514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54"/>
      <c r="B61" s="6" t="s">
        <v>288</v>
      </c>
      <c r="C61" s="7"/>
      <c r="D61" s="8"/>
      <c r="E61" s="9">
        <f t="shared" si="4"/>
        <v>30.761061946902654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52" t="s">
        <v>84</v>
      </c>
      <c r="B62" s="252"/>
      <c r="C62" s="7"/>
      <c r="D62" s="8"/>
      <c r="E62" s="9">
        <f t="shared" si="4"/>
        <v>20.973451327433629</v>
      </c>
      <c r="F62" s="9"/>
      <c r="G62" s="9"/>
      <c r="H62" s="10">
        <v>1.0999999999999999E-2</v>
      </c>
      <c r="I62" s="3">
        <v>0.03</v>
      </c>
    </row>
    <row r="65" spans="1:9" s="1" customFormat="1" ht="18.75" customHeight="1">
      <c r="G65" s="248" t="s">
        <v>275</v>
      </c>
      <c r="H65" s="248"/>
      <c r="I65" s="16" t="s">
        <v>156</v>
      </c>
    </row>
    <row r="66" spans="1:9" ht="39" customHeight="1">
      <c r="A66" s="255" t="s">
        <v>276</v>
      </c>
      <c r="B66" s="255"/>
      <c r="C66" s="249" t="s">
        <v>277</v>
      </c>
      <c r="D66" s="250"/>
      <c r="E66" s="250"/>
      <c r="F66" s="250"/>
      <c r="G66" s="250"/>
      <c r="H66" s="251"/>
      <c r="I66" s="3" t="s">
        <v>278</v>
      </c>
    </row>
    <row r="67" spans="1:9" ht="34.5" customHeight="1">
      <c r="A67" s="255"/>
      <c r="B67" s="255"/>
      <c r="C67" s="4" t="s">
        <v>279</v>
      </c>
      <c r="D67" s="4" t="s">
        <v>280</v>
      </c>
      <c r="E67" s="4" t="s">
        <v>281</v>
      </c>
      <c r="F67" s="5" t="s">
        <v>282</v>
      </c>
      <c r="G67" s="5" t="s">
        <v>283</v>
      </c>
      <c r="H67" s="5" t="s">
        <v>284</v>
      </c>
      <c r="I67" s="15">
        <f>销量!H8</f>
        <v>0</v>
      </c>
    </row>
    <row r="68" spans="1:9" ht="24" customHeight="1">
      <c r="A68" s="252" t="s">
        <v>285</v>
      </c>
      <c r="B68" s="252"/>
      <c r="C68" s="7"/>
      <c r="D68" s="8"/>
      <c r="E68" s="9">
        <f>I67*I68</f>
        <v>0</v>
      </c>
      <c r="F68" s="9"/>
      <c r="G68" s="9"/>
      <c r="H68" s="10">
        <v>4.48E-2</v>
      </c>
      <c r="I68" s="3">
        <v>4.3099999999999999E-2</v>
      </c>
    </row>
    <row r="69" spans="1:9" ht="24" customHeight="1">
      <c r="A69" s="252" t="s">
        <v>286</v>
      </c>
      <c r="B69" s="6" t="s">
        <v>287</v>
      </c>
      <c r="C69" s="7"/>
      <c r="D69" s="8"/>
      <c r="E69" s="9">
        <f t="shared" ref="E69:E75" si="5">$I$67*I69</f>
        <v>0</v>
      </c>
      <c r="F69" s="9"/>
      <c r="G69" s="9"/>
      <c r="H69" s="10">
        <v>4.0399999999999998E-2</v>
      </c>
      <c r="I69" s="3">
        <v>4.1000000000000002E-2</v>
      </c>
    </row>
    <row r="70" spans="1:9" ht="24" customHeight="1">
      <c r="A70" s="252"/>
      <c r="B70" s="6" t="s">
        <v>288</v>
      </c>
      <c r="C70" s="7"/>
      <c r="D70" s="8"/>
      <c r="E70" s="9">
        <f t="shared" si="5"/>
        <v>0</v>
      </c>
      <c r="F70" s="9"/>
      <c r="G70" s="9"/>
      <c r="H70" s="10">
        <v>1.66E-2</v>
      </c>
      <c r="I70" s="3">
        <v>2.1700000000000001E-2</v>
      </c>
    </row>
    <row r="71" spans="1:9" ht="24" customHeight="1">
      <c r="A71" s="249" t="s">
        <v>289</v>
      </c>
      <c r="B71" s="251"/>
      <c r="C71" s="11"/>
      <c r="D71" s="12"/>
      <c r="E71" s="9">
        <f t="shared" si="5"/>
        <v>0</v>
      </c>
      <c r="F71" s="9"/>
      <c r="G71" s="9"/>
      <c r="H71" s="13">
        <f>SUM(H68:H70)</f>
        <v>0.1018</v>
      </c>
      <c r="I71" s="3">
        <f>SUM(I68:I70)</f>
        <v>0.10580000000000001</v>
      </c>
    </row>
    <row r="72" spans="1:9" ht="24" customHeight="1">
      <c r="A72" s="252" t="s">
        <v>81</v>
      </c>
      <c r="B72" s="252"/>
      <c r="C72" s="7"/>
      <c r="D72" s="8"/>
      <c r="E72" s="9">
        <f t="shared" si="5"/>
        <v>0</v>
      </c>
      <c r="F72" s="9"/>
      <c r="G72" s="9"/>
      <c r="H72" s="10">
        <f>1.97%+0.75%</f>
        <v>2.7199999999999998E-2</v>
      </c>
      <c r="I72" s="3">
        <v>3.4000000000000002E-2</v>
      </c>
    </row>
    <row r="73" spans="1:9" ht="24" customHeight="1">
      <c r="A73" s="253" t="s">
        <v>290</v>
      </c>
      <c r="B73" s="6" t="s">
        <v>287</v>
      </c>
      <c r="C73" s="7"/>
      <c r="D73" s="8"/>
      <c r="E73" s="9">
        <f t="shared" si="5"/>
        <v>0</v>
      </c>
      <c r="F73" s="9"/>
      <c r="G73" s="9"/>
      <c r="H73" s="10">
        <v>5.3E-3</v>
      </c>
      <c r="I73" s="3">
        <v>7.0000000000000001E-3</v>
      </c>
    </row>
    <row r="74" spans="1:9" ht="24" customHeight="1">
      <c r="A74" s="254"/>
      <c r="B74" s="6" t="s">
        <v>288</v>
      </c>
      <c r="C74" s="7"/>
      <c r="D74" s="8"/>
      <c r="E74" s="9">
        <f t="shared" si="5"/>
        <v>0</v>
      </c>
      <c r="F74" s="9"/>
      <c r="G74" s="9"/>
      <c r="H74" s="10">
        <v>3.4099999999999998E-2</v>
      </c>
      <c r="I74" s="3">
        <f>2.8%+1.6%</f>
        <v>4.3999999999999997E-2</v>
      </c>
    </row>
    <row r="75" spans="1:9" ht="24" customHeight="1">
      <c r="A75" s="252" t="s">
        <v>84</v>
      </c>
      <c r="B75" s="252"/>
      <c r="C75" s="7"/>
      <c r="D75" s="8"/>
      <c r="E75" s="9">
        <f t="shared" si="5"/>
        <v>0</v>
      </c>
      <c r="F75" s="9"/>
      <c r="G75" s="9"/>
      <c r="H75" s="10">
        <v>1.0999999999999999E-2</v>
      </c>
      <c r="I75" s="3">
        <v>0.03</v>
      </c>
    </row>
    <row r="78" spans="1:9" s="1" customFormat="1" ht="18.75" customHeight="1">
      <c r="G78" s="248" t="s">
        <v>275</v>
      </c>
      <c r="H78" s="248"/>
      <c r="I78" s="16" t="s">
        <v>157</v>
      </c>
    </row>
    <row r="79" spans="1:9" ht="39" customHeight="1">
      <c r="A79" s="255" t="s">
        <v>276</v>
      </c>
      <c r="B79" s="255"/>
      <c r="C79" s="249" t="s">
        <v>277</v>
      </c>
      <c r="D79" s="250"/>
      <c r="E79" s="250"/>
      <c r="F79" s="250"/>
      <c r="G79" s="250"/>
      <c r="H79" s="251"/>
      <c r="I79" s="3" t="s">
        <v>278</v>
      </c>
    </row>
    <row r="80" spans="1:9" ht="34.5" customHeight="1">
      <c r="A80" s="255"/>
      <c r="B80" s="255"/>
      <c r="C80" s="4" t="s">
        <v>279</v>
      </c>
      <c r="D80" s="4" t="s">
        <v>280</v>
      </c>
      <c r="E80" s="4" t="s">
        <v>281</v>
      </c>
      <c r="F80" s="5" t="s">
        <v>282</v>
      </c>
      <c r="G80" s="5" t="s">
        <v>283</v>
      </c>
      <c r="H80" s="5" t="s">
        <v>284</v>
      </c>
      <c r="I80" s="15">
        <f>销量!I8</f>
        <v>575.22123893805315</v>
      </c>
    </row>
    <row r="81" spans="1:9" ht="24" customHeight="1">
      <c r="A81" s="252" t="s">
        <v>285</v>
      </c>
      <c r="B81" s="252"/>
      <c r="C81" s="7"/>
      <c r="D81" s="8"/>
      <c r="E81" s="9">
        <f>I80*I81</f>
        <v>24.792035398230091</v>
      </c>
      <c r="F81" s="9"/>
      <c r="G81" s="9"/>
      <c r="H81" s="10">
        <v>4.48E-2</v>
      </c>
      <c r="I81" s="3">
        <v>4.3099999999999999E-2</v>
      </c>
    </row>
    <row r="82" spans="1:9" ht="24" customHeight="1">
      <c r="A82" s="252" t="s">
        <v>286</v>
      </c>
      <c r="B82" s="6" t="s">
        <v>287</v>
      </c>
      <c r="C82" s="7"/>
      <c r="D82" s="8"/>
      <c r="E82" s="9">
        <f t="shared" ref="E82:E88" si="6">$I$80*I82</f>
        <v>23.584070796460178</v>
      </c>
      <c r="F82" s="9"/>
      <c r="G82" s="9"/>
      <c r="H82" s="10">
        <v>4.0399999999999998E-2</v>
      </c>
      <c r="I82" s="3">
        <v>4.1000000000000002E-2</v>
      </c>
    </row>
    <row r="83" spans="1:9" ht="24" customHeight="1">
      <c r="A83" s="252"/>
      <c r="B83" s="6" t="s">
        <v>288</v>
      </c>
      <c r="C83" s="7"/>
      <c r="D83" s="8"/>
      <c r="E83" s="9">
        <f t="shared" si="6"/>
        <v>12.482300884955754</v>
      </c>
      <c r="F83" s="9"/>
      <c r="G83" s="9"/>
      <c r="H83" s="10">
        <v>1.66E-2</v>
      </c>
      <c r="I83" s="3">
        <v>2.1700000000000001E-2</v>
      </c>
    </row>
    <row r="84" spans="1:9" ht="24" customHeight="1">
      <c r="A84" s="249" t="s">
        <v>289</v>
      </c>
      <c r="B84" s="251"/>
      <c r="C84" s="11"/>
      <c r="D84" s="12"/>
      <c r="E84" s="9">
        <f t="shared" si="6"/>
        <v>60.858407079646028</v>
      </c>
      <c r="F84" s="9"/>
      <c r="G84" s="9"/>
      <c r="H84" s="13">
        <f>SUM(H81:H83)</f>
        <v>0.1018</v>
      </c>
      <c r="I84" s="3">
        <f>SUM(I81:I83)</f>
        <v>0.10580000000000001</v>
      </c>
    </row>
    <row r="85" spans="1:9" ht="24" customHeight="1">
      <c r="A85" s="252" t="s">
        <v>81</v>
      </c>
      <c r="B85" s="252"/>
      <c r="C85" s="7"/>
      <c r="D85" s="8"/>
      <c r="E85" s="9">
        <f t="shared" si="6"/>
        <v>19.557522123893808</v>
      </c>
      <c r="F85" s="9"/>
      <c r="G85" s="9"/>
      <c r="H85" s="10">
        <f>1.97%+0.75%</f>
        <v>2.7199999999999998E-2</v>
      </c>
      <c r="I85" s="3">
        <v>3.4000000000000002E-2</v>
      </c>
    </row>
    <row r="86" spans="1:9" ht="24" customHeight="1">
      <c r="A86" s="253" t="s">
        <v>290</v>
      </c>
      <c r="B86" s="6" t="s">
        <v>287</v>
      </c>
      <c r="C86" s="7"/>
      <c r="D86" s="8"/>
      <c r="E86" s="9">
        <f t="shared" si="6"/>
        <v>4.0265486725663724</v>
      </c>
      <c r="F86" s="9"/>
      <c r="G86" s="9"/>
      <c r="H86" s="10">
        <v>5.3E-3</v>
      </c>
      <c r="I86" s="3">
        <v>7.0000000000000001E-3</v>
      </c>
    </row>
    <row r="87" spans="1:9" ht="24" customHeight="1">
      <c r="A87" s="254"/>
      <c r="B87" s="6" t="s">
        <v>288</v>
      </c>
      <c r="C87" s="7"/>
      <c r="D87" s="8"/>
      <c r="E87" s="9">
        <f t="shared" si="6"/>
        <v>25.309734513274336</v>
      </c>
      <c r="F87" s="9"/>
      <c r="G87" s="9"/>
      <c r="H87" s="10">
        <v>3.4099999999999998E-2</v>
      </c>
      <c r="I87" s="3">
        <f>2.8%+1.6%</f>
        <v>4.3999999999999997E-2</v>
      </c>
    </row>
    <row r="88" spans="1:9" ht="24" customHeight="1">
      <c r="A88" s="252" t="s">
        <v>84</v>
      </c>
      <c r="B88" s="252"/>
      <c r="C88" s="7"/>
      <c r="D88" s="8"/>
      <c r="E88" s="9">
        <f t="shared" si="6"/>
        <v>17.256637168141594</v>
      </c>
      <c r="F88" s="9"/>
      <c r="G88" s="9"/>
      <c r="H88" s="10">
        <v>1.0999999999999999E-2</v>
      </c>
      <c r="I88" s="3">
        <v>0.03</v>
      </c>
    </row>
    <row r="91" spans="1:9" s="1" customFormat="1" ht="18.75" customHeight="1">
      <c r="G91" s="248" t="s">
        <v>275</v>
      </c>
      <c r="H91" s="248"/>
      <c r="I91" s="16" t="s">
        <v>158</v>
      </c>
    </row>
    <row r="92" spans="1:9" ht="39" customHeight="1">
      <c r="A92" s="255" t="s">
        <v>276</v>
      </c>
      <c r="B92" s="255"/>
      <c r="C92" s="249" t="s">
        <v>277</v>
      </c>
      <c r="D92" s="250"/>
      <c r="E92" s="250"/>
      <c r="F92" s="250"/>
      <c r="G92" s="250"/>
      <c r="H92" s="251"/>
      <c r="I92" s="3" t="s">
        <v>278</v>
      </c>
    </row>
    <row r="93" spans="1:9" ht="34.5" customHeight="1">
      <c r="A93" s="255"/>
      <c r="B93" s="255"/>
      <c r="C93" s="4" t="s">
        <v>279</v>
      </c>
      <c r="D93" s="4" t="s">
        <v>280</v>
      </c>
      <c r="E93" s="4" t="s">
        <v>281</v>
      </c>
      <c r="F93" s="5" t="s">
        <v>282</v>
      </c>
      <c r="G93" s="5" t="s">
        <v>283</v>
      </c>
      <c r="H93" s="5" t="s">
        <v>284</v>
      </c>
      <c r="I93" s="15">
        <f>销量!J8</f>
        <v>575.22123893805315</v>
      </c>
    </row>
    <row r="94" spans="1:9" ht="24" customHeight="1">
      <c r="A94" s="252" t="s">
        <v>285</v>
      </c>
      <c r="B94" s="252"/>
      <c r="C94" s="7"/>
      <c r="D94" s="8"/>
      <c r="E94" s="9">
        <f>I93*I94</f>
        <v>24.792035398230091</v>
      </c>
      <c r="F94" s="9"/>
      <c r="G94" s="9"/>
      <c r="H94" s="10">
        <v>4.48E-2</v>
      </c>
      <c r="I94" s="3">
        <v>4.3099999999999999E-2</v>
      </c>
    </row>
    <row r="95" spans="1:9" ht="24" customHeight="1">
      <c r="A95" s="252" t="s">
        <v>286</v>
      </c>
      <c r="B95" s="6" t="s">
        <v>287</v>
      </c>
      <c r="C95" s="7"/>
      <c r="D95" s="8"/>
      <c r="E95" s="9">
        <f>$I$93*I95</f>
        <v>23.584070796460178</v>
      </c>
      <c r="F95" s="9"/>
      <c r="G95" s="9"/>
      <c r="H95" s="10">
        <v>4.0399999999999998E-2</v>
      </c>
      <c r="I95" s="3">
        <v>4.1000000000000002E-2</v>
      </c>
    </row>
    <row r="96" spans="1:9" ht="24" customHeight="1">
      <c r="A96" s="252"/>
      <c r="B96" s="6" t="s">
        <v>288</v>
      </c>
      <c r="C96" s="7"/>
      <c r="D96" s="8"/>
      <c r="E96" s="9">
        <f t="shared" ref="E96:E101" si="7">$I$93*I96</f>
        <v>12.482300884955754</v>
      </c>
      <c r="F96" s="9"/>
      <c r="G96" s="9"/>
      <c r="H96" s="10">
        <v>1.66E-2</v>
      </c>
      <c r="I96" s="3">
        <v>2.1700000000000001E-2</v>
      </c>
    </row>
    <row r="97" spans="1:9" ht="24" customHeight="1">
      <c r="A97" s="249" t="s">
        <v>289</v>
      </c>
      <c r="B97" s="251"/>
      <c r="C97" s="11"/>
      <c r="D97" s="12"/>
      <c r="E97" s="9">
        <f t="shared" si="7"/>
        <v>60.858407079646028</v>
      </c>
      <c r="F97" s="9"/>
      <c r="G97" s="9"/>
      <c r="H97" s="13">
        <f>SUM(H94:H96)</f>
        <v>0.1018</v>
      </c>
      <c r="I97" s="3">
        <f>SUM(I94:I96)</f>
        <v>0.10580000000000001</v>
      </c>
    </row>
    <row r="98" spans="1:9" ht="24" customHeight="1">
      <c r="A98" s="252" t="s">
        <v>81</v>
      </c>
      <c r="B98" s="252"/>
      <c r="C98" s="7"/>
      <c r="D98" s="8"/>
      <c r="E98" s="9">
        <f t="shared" si="7"/>
        <v>19.557522123893808</v>
      </c>
      <c r="F98" s="9"/>
      <c r="G98" s="9"/>
      <c r="H98" s="10">
        <f>1.97%+0.75%</f>
        <v>2.7199999999999998E-2</v>
      </c>
      <c r="I98" s="3">
        <v>3.4000000000000002E-2</v>
      </c>
    </row>
    <row r="99" spans="1:9" ht="24" customHeight="1">
      <c r="A99" s="253" t="s">
        <v>290</v>
      </c>
      <c r="B99" s="6" t="s">
        <v>287</v>
      </c>
      <c r="C99" s="7"/>
      <c r="D99" s="8"/>
      <c r="E99" s="9">
        <f t="shared" si="7"/>
        <v>4.0265486725663724</v>
      </c>
      <c r="F99" s="9"/>
      <c r="G99" s="9"/>
      <c r="H99" s="10">
        <v>5.3E-3</v>
      </c>
      <c r="I99" s="3">
        <v>7.0000000000000001E-3</v>
      </c>
    </row>
    <row r="100" spans="1:9" ht="24" customHeight="1">
      <c r="A100" s="254"/>
      <c r="B100" s="6" t="s">
        <v>288</v>
      </c>
      <c r="C100" s="7"/>
      <c r="D100" s="8"/>
      <c r="E100" s="9">
        <f t="shared" si="7"/>
        <v>25.309734513274336</v>
      </c>
      <c r="F100" s="9"/>
      <c r="G100" s="9"/>
      <c r="H100" s="10">
        <v>3.4099999999999998E-2</v>
      </c>
      <c r="I100" s="3">
        <f>2.8%+1.6%</f>
        <v>4.3999999999999997E-2</v>
      </c>
    </row>
    <row r="101" spans="1:9" ht="24" customHeight="1">
      <c r="A101" s="252" t="s">
        <v>84</v>
      </c>
      <c r="B101" s="252"/>
      <c r="C101" s="7"/>
      <c r="D101" s="8"/>
      <c r="E101" s="9">
        <f t="shared" si="7"/>
        <v>17.256637168141594</v>
      </c>
      <c r="F101" s="9"/>
      <c r="G101" s="9"/>
      <c r="H101" s="10">
        <v>1.0999999999999999E-2</v>
      </c>
      <c r="I101" s="3">
        <v>0.03</v>
      </c>
    </row>
    <row r="104" spans="1:9" s="1" customFormat="1" ht="18.75" customHeight="1">
      <c r="G104" s="248" t="s">
        <v>275</v>
      </c>
      <c r="H104" s="248"/>
      <c r="I104" s="16" t="s">
        <v>159</v>
      </c>
    </row>
    <row r="105" spans="1:9" ht="39" customHeight="1">
      <c r="A105" s="255" t="s">
        <v>276</v>
      </c>
      <c r="B105" s="255"/>
      <c r="C105" s="249" t="s">
        <v>277</v>
      </c>
      <c r="D105" s="250"/>
      <c r="E105" s="250"/>
      <c r="F105" s="250"/>
      <c r="G105" s="250"/>
      <c r="H105" s="251"/>
      <c r="I105" s="3" t="s">
        <v>278</v>
      </c>
    </row>
    <row r="106" spans="1:9" ht="34.5" customHeight="1">
      <c r="A106" s="255"/>
      <c r="B106" s="255"/>
      <c r="C106" s="4" t="s">
        <v>279</v>
      </c>
      <c r="D106" s="4" t="s">
        <v>280</v>
      </c>
      <c r="E106" s="4" t="s">
        <v>281</v>
      </c>
      <c r="F106" s="5" t="s">
        <v>282</v>
      </c>
      <c r="G106" s="5" t="s">
        <v>283</v>
      </c>
      <c r="H106" s="5" t="s">
        <v>284</v>
      </c>
      <c r="I106" s="15">
        <f>销量!K8</f>
        <v>1026.5486725663718</v>
      </c>
    </row>
    <row r="107" spans="1:9" ht="24" customHeight="1">
      <c r="A107" s="252" t="s">
        <v>285</v>
      </c>
      <c r="B107" s="252"/>
      <c r="C107" s="7"/>
      <c r="D107" s="8"/>
      <c r="E107" s="9">
        <f>I106*I107</f>
        <v>44.244247787610625</v>
      </c>
      <c r="F107" s="9"/>
      <c r="G107" s="9"/>
      <c r="H107" s="10">
        <v>4.48E-2</v>
      </c>
      <c r="I107" s="3">
        <v>4.3099999999999999E-2</v>
      </c>
    </row>
    <row r="108" spans="1:9" ht="24" customHeight="1">
      <c r="A108" s="252" t="s">
        <v>286</v>
      </c>
      <c r="B108" s="6" t="s">
        <v>287</v>
      </c>
      <c r="C108" s="7"/>
      <c r="D108" s="8"/>
      <c r="E108" s="9">
        <f t="shared" ref="E108:E114" si="8">$I$106*I108</f>
        <v>42.088495575221245</v>
      </c>
      <c r="F108" s="9"/>
      <c r="G108" s="9"/>
      <c r="H108" s="10">
        <v>4.0399999999999998E-2</v>
      </c>
      <c r="I108" s="3">
        <v>4.1000000000000002E-2</v>
      </c>
    </row>
    <row r="109" spans="1:9" ht="24" customHeight="1">
      <c r="A109" s="252"/>
      <c r="B109" s="6" t="s">
        <v>288</v>
      </c>
      <c r="C109" s="7"/>
      <c r="D109" s="8"/>
      <c r="E109" s="9">
        <f t="shared" si="8"/>
        <v>22.276106194690268</v>
      </c>
      <c r="F109" s="9"/>
      <c r="G109" s="9"/>
      <c r="H109" s="10">
        <v>1.66E-2</v>
      </c>
      <c r="I109" s="3">
        <v>2.1700000000000001E-2</v>
      </c>
    </row>
    <row r="110" spans="1:9" ht="24" customHeight="1">
      <c r="A110" s="249" t="s">
        <v>289</v>
      </c>
      <c r="B110" s="251"/>
      <c r="C110" s="11"/>
      <c r="D110" s="12"/>
      <c r="E110" s="9">
        <f t="shared" si="8"/>
        <v>108.60884955752215</v>
      </c>
      <c r="F110" s="9"/>
      <c r="G110" s="9"/>
      <c r="H110" s="13">
        <f>SUM(H107:H109)</f>
        <v>0.1018</v>
      </c>
      <c r="I110" s="3">
        <f>SUM(I107:I109)</f>
        <v>0.10580000000000001</v>
      </c>
    </row>
    <row r="111" spans="1:9" ht="24" customHeight="1">
      <c r="A111" s="252" t="s">
        <v>81</v>
      </c>
      <c r="B111" s="252"/>
      <c r="C111" s="7"/>
      <c r="D111" s="8"/>
      <c r="E111" s="9">
        <f t="shared" si="8"/>
        <v>34.902654867256643</v>
      </c>
      <c r="F111" s="9"/>
      <c r="G111" s="9"/>
      <c r="H111" s="10">
        <f>1.97%+0.75%</f>
        <v>2.7199999999999998E-2</v>
      </c>
      <c r="I111" s="3">
        <v>3.4000000000000002E-2</v>
      </c>
    </row>
    <row r="112" spans="1:9" ht="24" customHeight="1">
      <c r="A112" s="253" t="s">
        <v>290</v>
      </c>
      <c r="B112" s="6" t="s">
        <v>287</v>
      </c>
      <c r="C112" s="7"/>
      <c r="D112" s="8"/>
      <c r="E112" s="9">
        <f t="shared" si="8"/>
        <v>7.1858407079646032</v>
      </c>
      <c r="F112" s="9"/>
      <c r="G112" s="9"/>
      <c r="H112" s="10">
        <v>5.3E-3</v>
      </c>
      <c r="I112" s="3">
        <v>7.0000000000000001E-3</v>
      </c>
    </row>
    <row r="113" spans="1:9" ht="24" customHeight="1">
      <c r="A113" s="254"/>
      <c r="B113" s="6" t="s">
        <v>288</v>
      </c>
      <c r="C113" s="7"/>
      <c r="D113" s="8"/>
      <c r="E113" s="9">
        <f t="shared" si="8"/>
        <v>45.168141592920357</v>
      </c>
      <c r="F113" s="9"/>
      <c r="G113" s="9"/>
      <c r="H113" s="10">
        <v>3.4099999999999998E-2</v>
      </c>
      <c r="I113" s="3">
        <f>2.8%+1.6%</f>
        <v>4.3999999999999997E-2</v>
      </c>
    </row>
    <row r="114" spans="1:9" ht="24" customHeight="1">
      <c r="A114" s="252" t="s">
        <v>84</v>
      </c>
      <c r="B114" s="252"/>
      <c r="C114" s="7"/>
      <c r="D114" s="8"/>
      <c r="E114" s="9">
        <f t="shared" si="8"/>
        <v>30.796460176991154</v>
      </c>
      <c r="F114" s="9"/>
      <c r="G114" s="9"/>
      <c r="H114" s="10">
        <v>1.0999999999999999E-2</v>
      </c>
      <c r="I114" s="3">
        <v>0.03</v>
      </c>
    </row>
    <row r="117" spans="1:9" s="1" customFormat="1" ht="18.75" customHeight="1">
      <c r="G117" s="248" t="s">
        <v>275</v>
      </c>
      <c r="H117" s="248"/>
      <c r="I117" s="16" t="s">
        <v>160</v>
      </c>
    </row>
    <row r="118" spans="1:9" ht="39" customHeight="1">
      <c r="A118" s="255" t="s">
        <v>276</v>
      </c>
      <c r="B118" s="255"/>
      <c r="C118" s="249" t="s">
        <v>277</v>
      </c>
      <c r="D118" s="250"/>
      <c r="E118" s="250"/>
      <c r="F118" s="250"/>
      <c r="G118" s="250"/>
      <c r="H118" s="251"/>
      <c r="I118" s="3" t="s">
        <v>278</v>
      </c>
    </row>
    <row r="119" spans="1:9" ht="34.5" customHeight="1">
      <c r="A119" s="255"/>
      <c r="B119" s="255"/>
      <c r="C119" s="4" t="s">
        <v>279</v>
      </c>
      <c r="D119" s="4" t="s">
        <v>280</v>
      </c>
      <c r="E119" s="4" t="s">
        <v>281</v>
      </c>
      <c r="F119" s="5" t="s">
        <v>282</v>
      </c>
      <c r="G119" s="5" t="s">
        <v>283</v>
      </c>
      <c r="H119" s="5" t="s">
        <v>284</v>
      </c>
      <c r="I119" s="15">
        <f>销量!L8</f>
        <v>61.946902654867266</v>
      </c>
    </row>
    <row r="120" spans="1:9" ht="24" customHeight="1">
      <c r="A120" s="252" t="s">
        <v>285</v>
      </c>
      <c r="B120" s="252"/>
      <c r="C120" s="7"/>
      <c r="D120" s="8"/>
      <c r="E120" s="9">
        <f>I119*I120</f>
        <v>2.6699115044247792</v>
      </c>
      <c r="F120" s="9"/>
      <c r="G120" s="9"/>
      <c r="H120" s="10">
        <v>4.48E-2</v>
      </c>
      <c r="I120" s="3">
        <v>4.3099999999999999E-2</v>
      </c>
    </row>
    <row r="121" spans="1:9" ht="24" customHeight="1">
      <c r="A121" s="252" t="s">
        <v>286</v>
      </c>
      <c r="B121" s="6" t="s">
        <v>287</v>
      </c>
      <c r="C121" s="7"/>
      <c r="D121" s="8"/>
      <c r="E121" s="9">
        <f>$I$119*I121</f>
        <v>2.5398230088495581</v>
      </c>
      <c r="F121" s="9"/>
      <c r="G121" s="9"/>
      <c r="H121" s="10">
        <v>4.0399999999999998E-2</v>
      </c>
      <c r="I121" s="3">
        <v>4.1000000000000002E-2</v>
      </c>
    </row>
    <row r="122" spans="1:9" ht="24" customHeight="1">
      <c r="A122" s="252"/>
      <c r="B122" s="6" t="s">
        <v>288</v>
      </c>
      <c r="C122" s="7"/>
      <c r="D122" s="8"/>
      <c r="E122" s="9">
        <f t="shared" ref="E122:E127" si="9">$I$119*I122</f>
        <v>1.3442477876106198</v>
      </c>
      <c r="F122" s="9"/>
      <c r="G122" s="9"/>
      <c r="H122" s="10">
        <v>1.66E-2</v>
      </c>
      <c r="I122" s="3">
        <v>2.1700000000000001E-2</v>
      </c>
    </row>
    <row r="123" spans="1:9" ht="24" customHeight="1">
      <c r="A123" s="249" t="s">
        <v>289</v>
      </c>
      <c r="B123" s="251"/>
      <c r="C123" s="11"/>
      <c r="D123" s="12"/>
      <c r="E123" s="9">
        <f t="shared" si="9"/>
        <v>6.5539823008849574</v>
      </c>
      <c r="F123" s="9"/>
      <c r="G123" s="9"/>
      <c r="H123" s="13">
        <f>SUM(H120:H122)</f>
        <v>0.1018</v>
      </c>
      <c r="I123" s="3">
        <f>SUM(I120:I122)</f>
        <v>0.10580000000000001</v>
      </c>
    </row>
    <row r="124" spans="1:9" ht="24" customHeight="1">
      <c r="A124" s="252" t="s">
        <v>81</v>
      </c>
      <c r="B124" s="252"/>
      <c r="C124" s="7"/>
      <c r="D124" s="8"/>
      <c r="E124" s="9">
        <f t="shared" si="9"/>
        <v>2.1061946902654873</v>
      </c>
      <c r="F124" s="9"/>
      <c r="G124" s="9"/>
      <c r="H124" s="10">
        <f>1.97%+0.75%</f>
        <v>2.7199999999999998E-2</v>
      </c>
      <c r="I124" s="3">
        <v>3.4000000000000002E-2</v>
      </c>
    </row>
    <row r="125" spans="1:9" ht="24" customHeight="1">
      <c r="A125" s="253" t="s">
        <v>290</v>
      </c>
      <c r="B125" s="6" t="s">
        <v>287</v>
      </c>
      <c r="C125" s="7"/>
      <c r="D125" s="8"/>
      <c r="E125" s="9">
        <f t="shared" si="9"/>
        <v>0.43362831858407086</v>
      </c>
      <c r="F125" s="9"/>
      <c r="G125" s="9"/>
      <c r="H125" s="10">
        <v>5.3E-3</v>
      </c>
      <c r="I125" s="3">
        <v>7.0000000000000001E-3</v>
      </c>
    </row>
    <row r="126" spans="1:9" ht="24" customHeight="1">
      <c r="A126" s="254"/>
      <c r="B126" s="6" t="s">
        <v>288</v>
      </c>
      <c r="C126" s="7"/>
      <c r="D126" s="8"/>
      <c r="E126" s="9">
        <f t="shared" si="9"/>
        <v>2.7256637168141595</v>
      </c>
      <c r="F126" s="9"/>
      <c r="G126" s="9"/>
      <c r="H126" s="10">
        <v>3.4099999999999998E-2</v>
      </c>
      <c r="I126" s="3">
        <f>2.8%+1.6%</f>
        <v>4.3999999999999997E-2</v>
      </c>
    </row>
    <row r="127" spans="1:9" ht="24" customHeight="1">
      <c r="A127" s="252" t="s">
        <v>84</v>
      </c>
      <c r="B127" s="252"/>
      <c r="C127" s="7"/>
      <c r="D127" s="8"/>
      <c r="E127" s="9">
        <f t="shared" si="9"/>
        <v>1.8584070796460179</v>
      </c>
      <c r="F127" s="9"/>
      <c r="G127" s="9"/>
      <c r="H127" s="10">
        <v>1.0999999999999999E-2</v>
      </c>
      <c r="I127" s="3">
        <v>0.03</v>
      </c>
    </row>
    <row r="130" spans="1:9" s="1" customFormat="1" ht="18.75" customHeight="1">
      <c r="G130" s="248" t="s">
        <v>275</v>
      </c>
      <c r="H130" s="248"/>
      <c r="I130" s="16" t="s">
        <v>161</v>
      </c>
    </row>
    <row r="131" spans="1:9" ht="39" customHeight="1">
      <c r="A131" s="255" t="s">
        <v>276</v>
      </c>
      <c r="B131" s="255"/>
      <c r="C131" s="249" t="s">
        <v>277</v>
      </c>
      <c r="D131" s="250"/>
      <c r="E131" s="250"/>
      <c r="F131" s="250"/>
      <c r="G131" s="250"/>
      <c r="H131" s="251"/>
      <c r="I131" s="3" t="s">
        <v>278</v>
      </c>
    </row>
    <row r="132" spans="1:9" ht="34.5" customHeight="1">
      <c r="A132" s="255"/>
      <c r="B132" s="255"/>
      <c r="C132" s="4" t="s">
        <v>279</v>
      </c>
      <c r="D132" s="4" t="s">
        <v>280</v>
      </c>
      <c r="E132" s="4" t="s">
        <v>281</v>
      </c>
      <c r="F132" s="5" t="s">
        <v>282</v>
      </c>
      <c r="G132" s="5" t="s">
        <v>283</v>
      </c>
      <c r="H132" s="5" t="s">
        <v>284</v>
      </c>
      <c r="I132" s="15">
        <f>销量!M8</f>
        <v>61.946902654867266</v>
      </c>
    </row>
    <row r="133" spans="1:9" ht="24" customHeight="1">
      <c r="A133" s="252" t="s">
        <v>285</v>
      </c>
      <c r="B133" s="252"/>
      <c r="C133" s="7"/>
      <c r="D133" s="8"/>
      <c r="E133" s="9">
        <f>I132*I133</f>
        <v>2.6699115044247792</v>
      </c>
      <c r="F133" s="9"/>
      <c r="G133" s="9"/>
      <c r="H133" s="10">
        <v>4.48E-2</v>
      </c>
      <c r="I133" s="3">
        <v>4.3099999999999999E-2</v>
      </c>
    </row>
    <row r="134" spans="1:9" ht="24" customHeight="1">
      <c r="A134" s="252" t="s">
        <v>286</v>
      </c>
      <c r="B134" s="6" t="s">
        <v>287</v>
      </c>
      <c r="C134" s="7"/>
      <c r="D134" s="8"/>
      <c r="E134" s="9">
        <f>$I$132*I134</f>
        <v>2.5398230088495581</v>
      </c>
      <c r="F134" s="9"/>
      <c r="G134" s="9"/>
      <c r="H134" s="10">
        <v>4.0399999999999998E-2</v>
      </c>
      <c r="I134" s="3">
        <v>4.1000000000000002E-2</v>
      </c>
    </row>
    <row r="135" spans="1:9" ht="24" customHeight="1">
      <c r="A135" s="252"/>
      <c r="B135" s="6" t="s">
        <v>288</v>
      </c>
      <c r="C135" s="7"/>
      <c r="D135" s="8"/>
      <c r="E135" s="9">
        <f t="shared" ref="E135:E140" si="10">$I$132*I135</f>
        <v>1.3442477876106198</v>
      </c>
      <c r="F135" s="9"/>
      <c r="G135" s="9"/>
      <c r="H135" s="10">
        <v>1.66E-2</v>
      </c>
      <c r="I135" s="3">
        <v>2.1700000000000001E-2</v>
      </c>
    </row>
    <row r="136" spans="1:9" ht="24" customHeight="1">
      <c r="A136" s="249" t="s">
        <v>289</v>
      </c>
      <c r="B136" s="251"/>
      <c r="C136" s="11"/>
      <c r="D136" s="12"/>
      <c r="E136" s="9">
        <f t="shared" si="10"/>
        <v>6.5539823008849574</v>
      </c>
      <c r="F136" s="9"/>
      <c r="G136" s="9"/>
      <c r="H136" s="13">
        <f>SUM(H133:H135)</f>
        <v>0.1018</v>
      </c>
      <c r="I136" s="3">
        <f>SUM(I133:I135)</f>
        <v>0.10580000000000001</v>
      </c>
    </row>
    <row r="137" spans="1:9" ht="24" customHeight="1">
      <c r="A137" s="252" t="s">
        <v>81</v>
      </c>
      <c r="B137" s="252"/>
      <c r="C137" s="7"/>
      <c r="D137" s="8"/>
      <c r="E137" s="9">
        <f t="shared" si="10"/>
        <v>2.1061946902654873</v>
      </c>
      <c r="F137" s="9"/>
      <c r="G137" s="9"/>
      <c r="H137" s="10">
        <f>1.97%+0.75%</f>
        <v>2.7199999999999998E-2</v>
      </c>
      <c r="I137" s="3">
        <v>3.4000000000000002E-2</v>
      </c>
    </row>
    <row r="138" spans="1:9" ht="24" customHeight="1">
      <c r="A138" s="253" t="s">
        <v>290</v>
      </c>
      <c r="B138" s="6" t="s">
        <v>287</v>
      </c>
      <c r="C138" s="7"/>
      <c r="D138" s="8"/>
      <c r="E138" s="9">
        <f t="shared" si="10"/>
        <v>0.43362831858407086</v>
      </c>
      <c r="F138" s="9"/>
      <c r="G138" s="9"/>
      <c r="H138" s="10">
        <v>5.3E-3</v>
      </c>
      <c r="I138" s="3">
        <v>7.0000000000000001E-3</v>
      </c>
    </row>
    <row r="139" spans="1:9" ht="24" customHeight="1">
      <c r="A139" s="254"/>
      <c r="B139" s="6" t="s">
        <v>288</v>
      </c>
      <c r="C139" s="7"/>
      <c r="D139" s="8"/>
      <c r="E139" s="9">
        <f t="shared" si="10"/>
        <v>2.7256637168141595</v>
      </c>
      <c r="F139" s="9"/>
      <c r="G139" s="9"/>
      <c r="H139" s="10">
        <v>3.4099999999999998E-2</v>
      </c>
      <c r="I139" s="3">
        <f>2.8%+1.6%</f>
        <v>4.3999999999999997E-2</v>
      </c>
    </row>
    <row r="140" spans="1:9" ht="24" customHeight="1">
      <c r="A140" s="252" t="s">
        <v>84</v>
      </c>
      <c r="B140" s="252"/>
      <c r="C140" s="7"/>
      <c r="D140" s="8"/>
      <c r="E140" s="9">
        <f t="shared" si="10"/>
        <v>1.8584070796460179</v>
      </c>
      <c r="F140" s="9"/>
      <c r="G140" s="9"/>
      <c r="H140" s="10">
        <v>1.0999999999999999E-2</v>
      </c>
      <c r="I140" s="3">
        <v>0.03</v>
      </c>
    </row>
  </sheetData>
  <mergeCells count="99"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G130:H130"/>
    <mergeCell ref="C131:H131"/>
    <mergeCell ref="A133:B133"/>
    <mergeCell ref="A136:B136"/>
    <mergeCell ref="A137:B137"/>
    <mergeCell ref="A134:A135"/>
    <mergeCell ref="C118:H118"/>
    <mergeCell ref="A120:B120"/>
    <mergeCell ref="A123:B123"/>
    <mergeCell ref="A124:B124"/>
    <mergeCell ref="A127:B127"/>
    <mergeCell ref="A121:A122"/>
    <mergeCell ref="A125:A126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99:A100"/>
    <mergeCell ref="A85:B85"/>
    <mergeCell ref="A88:B88"/>
    <mergeCell ref="G91:H91"/>
    <mergeCell ref="C92:H92"/>
    <mergeCell ref="A94:B94"/>
    <mergeCell ref="A75:B75"/>
    <mergeCell ref="G78:H78"/>
    <mergeCell ref="C79:H79"/>
    <mergeCell ref="A81:B81"/>
    <mergeCell ref="A84:B84"/>
    <mergeCell ref="G65:H65"/>
    <mergeCell ref="C66:H66"/>
    <mergeCell ref="A68:B68"/>
    <mergeCell ref="A71:B71"/>
    <mergeCell ref="A72:B72"/>
    <mergeCell ref="C53:H53"/>
    <mergeCell ref="A55:B55"/>
    <mergeCell ref="A58:B58"/>
    <mergeCell ref="A59:B59"/>
    <mergeCell ref="A62:B62"/>
    <mergeCell ref="A42:B42"/>
    <mergeCell ref="A45:B45"/>
    <mergeCell ref="A46:B46"/>
    <mergeCell ref="A49:B49"/>
    <mergeCell ref="G52:H52"/>
    <mergeCell ref="A32:B32"/>
    <mergeCell ref="A33:B33"/>
    <mergeCell ref="A36:B36"/>
    <mergeCell ref="G39:H39"/>
    <mergeCell ref="C40:H40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</mergeCells>
  <phoneticPr fontId="4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1" customWidth="1"/>
    <col min="2" max="2" width="28.5" style="141" customWidth="1"/>
    <col min="3" max="4" width="9.125" style="141"/>
    <col min="5" max="5" width="13.875" style="141" customWidth="1"/>
    <col min="6" max="12" width="16.125" style="141" customWidth="1"/>
    <col min="13" max="13" width="10.625" style="141" customWidth="1"/>
    <col min="14" max="254" width="9.125" style="141"/>
    <col min="255" max="255" width="8" style="141" customWidth="1"/>
    <col min="256" max="256" width="28.5" style="141" customWidth="1"/>
    <col min="257" max="268" width="9.125" style="141"/>
    <col min="269" max="269" width="10.625" style="141" customWidth="1"/>
    <col min="270" max="510" width="9.125" style="141"/>
    <col min="511" max="511" width="8" style="141" customWidth="1"/>
    <col min="512" max="512" width="28.5" style="141" customWidth="1"/>
    <col min="513" max="524" width="9.125" style="141"/>
    <col min="525" max="525" width="10.625" style="141" customWidth="1"/>
    <col min="526" max="766" width="9.125" style="141"/>
    <col min="767" max="767" width="8" style="141" customWidth="1"/>
    <col min="768" max="768" width="28.5" style="141" customWidth="1"/>
    <col min="769" max="780" width="9.125" style="141"/>
    <col min="781" max="781" width="10.625" style="141" customWidth="1"/>
    <col min="782" max="1022" width="9.125" style="141"/>
    <col min="1023" max="1023" width="8" style="141" customWidth="1"/>
    <col min="1024" max="1024" width="28.5" style="141" customWidth="1"/>
    <col min="1025" max="1036" width="9.125" style="141"/>
    <col min="1037" max="1037" width="10.625" style="141" customWidth="1"/>
    <col min="1038" max="1278" width="9.125" style="141"/>
    <col min="1279" max="1279" width="8" style="141" customWidth="1"/>
    <col min="1280" max="1280" width="28.5" style="141" customWidth="1"/>
    <col min="1281" max="1292" width="9.125" style="141"/>
    <col min="1293" max="1293" width="10.625" style="141" customWidth="1"/>
    <col min="1294" max="1534" width="9.125" style="141"/>
    <col min="1535" max="1535" width="8" style="141" customWidth="1"/>
    <col min="1536" max="1536" width="28.5" style="141" customWidth="1"/>
    <col min="1537" max="1548" width="9.125" style="141"/>
    <col min="1549" max="1549" width="10.625" style="141" customWidth="1"/>
    <col min="1550" max="1790" width="9.125" style="141"/>
    <col min="1791" max="1791" width="8" style="141" customWidth="1"/>
    <col min="1792" max="1792" width="28.5" style="141" customWidth="1"/>
    <col min="1793" max="1804" width="9.125" style="141"/>
    <col min="1805" max="1805" width="10.625" style="141" customWidth="1"/>
    <col min="1806" max="2046" width="9.125" style="141"/>
    <col min="2047" max="2047" width="8" style="141" customWidth="1"/>
    <col min="2048" max="2048" width="28.5" style="141" customWidth="1"/>
    <col min="2049" max="2060" width="9.125" style="141"/>
    <col min="2061" max="2061" width="10.625" style="141" customWidth="1"/>
    <col min="2062" max="2302" width="9.125" style="141"/>
    <col min="2303" max="2303" width="8" style="141" customWidth="1"/>
    <col min="2304" max="2304" width="28.5" style="141" customWidth="1"/>
    <col min="2305" max="2316" width="9.125" style="141"/>
    <col min="2317" max="2317" width="10.625" style="141" customWidth="1"/>
    <col min="2318" max="2558" width="9.125" style="141"/>
    <col min="2559" max="2559" width="8" style="141" customWidth="1"/>
    <col min="2560" max="2560" width="28.5" style="141" customWidth="1"/>
    <col min="2561" max="2572" width="9.125" style="141"/>
    <col min="2573" max="2573" width="10.625" style="141" customWidth="1"/>
    <col min="2574" max="2814" width="9.125" style="141"/>
    <col min="2815" max="2815" width="8" style="141" customWidth="1"/>
    <col min="2816" max="2816" width="28.5" style="141" customWidth="1"/>
    <col min="2817" max="2828" width="9.125" style="141"/>
    <col min="2829" max="2829" width="10.625" style="141" customWidth="1"/>
    <col min="2830" max="3070" width="9.125" style="141"/>
    <col min="3071" max="3071" width="8" style="141" customWidth="1"/>
    <col min="3072" max="3072" width="28.5" style="141" customWidth="1"/>
    <col min="3073" max="3084" width="9.125" style="141"/>
    <col min="3085" max="3085" width="10.625" style="141" customWidth="1"/>
    <col min="3086" max="3326" width="9.125" style="141"/>
    <col min="3327" max="3327" width="8" style="141" customWidth="1"/>
    <col min="3328" max="3328" width="28.5" style="141" customWidth="1"/>
    <col min="3329" max="3340" width="9.125" style="141"/>
    <col min="3341" max="3341" width="10.625" style="141" customWidth="1"/>
    <col min="3342" max="3582" width="9.125" style="141"/>
    <col min="3583" max="3583" width="8" style="141" customWidth="1"/>
    <col min="3584" max="3584" width="28.5" style="141" customWidth="1"/>
    <col min="3585" max="3596" width="9.125" style="141"/>
    <col min="3597" max="3597" width="10.625" style="141" customWidth="1"/>
    <col min="3598" max="3838" width="9.125" style="141"/>
    <col min="3839" max="3839" width="8" style="141" customWidth="1"/>
    <col min="3840" max="3840" width="28.5" style="141" customWidth="1"/>
    <col min="3841" max="3852" width="9.125" style="141"/>
    <col min="3853" max="3853" width="10.625" style="141" customWidth="1"/>
    <col min="3854" max="4094" width="9.125" style="141"/>
    <col min="4095" max="4095" width="8" style="141" customWidth="1"/>
    <col min="4096" max="4096" width="28.5" style="141" customWidth="1"/>
    <col min="4097" max="4108" width="9.125" style="141"/>
    <col min="4109" max="4109" width="10.625" style="141" customWidth="1"/>
    <col min="4110" max="4350" width="9.125" style="141"/>
    <col min="4351" max="4351" width="8" style="141" customWidth="1"/>
    <col min="4352" max="4352" width="28.5" style="141" customWidth="1"/>
    <col min="4353" max="4364" width="9.125" style="141"/>
    <col min="4365" max="4365" width="10.625" style="141" customWidth="1"/>
    <col min="4366" max="4606" width="9.125" style="141"/>
    <col min="4607" max="4607" width="8" style="141" customWidth="1"/>
    <col min="4608" max="4608" width="28.5" style="141" customWidth="1"/>
    <col min="4609" max="4620" width="9.125" style="141"/>
    <col min="4621" max="4621" width="10.625" style="141" customWidth="1"/>
    <col min="4622" max="4862" width="9.125" style="141"/>
    <col min="4863" max="4863" width="8" style="141" customWidth="1"/>
    <col min="4864" max="4864" width="28.5" style="141" customWidth="1"/>
    <col min="4865" max="4876" width="9.125" style="141"/>
    <col min="4877" max="4877" width="10.625" style="141" customWidth="1"/>
    <col min="4878" max="5118" width="9.125" style="141"/>
    <col min="5119" max="5119" width="8" style="141" customWidth="1"/>
    <col min="5120" max="5120" width="28.5" style="141" customWidth="1"/>
    <col min="5121" max="5132" width="9.125" style="141"/>
    <col min="5133" max="5133" width="10.625" style="141" customWidth="1"/>
    <col min="5134" max="5374" width="9.125" style="141"/>
    <col min="5375" max="5375" width="8" style="141" customWidth="1"/>
    <col min="5376" max="5376" width="28.5" style="141" customWidth="1"/>
    <col min="5377" max="5388" width="9.125" style="141"/>
    <col min="5389" max="5389" width="10.625" style="141" customWidth="1"/>
    <col min="5390" max="5630" width="9.125" style="141"/>
    <col min="5631" max="5631" width="8" style="141" customWidth="1"/>
    <col min="5632" max="5632" width="28.5" style="141" customWidth="1"/>
    <col min="5633" max="5644" width="9.125" style="141"/>
    <col min="5645" max="5645" width="10.625" style="141" customWidth="1"/>
    <col min="5646" max="5886" width="9.125" style="141"/>
    <col min="5887" max="5887" width="8" style="141" customWidth="1"/>
    <col min="5888" max="5888" width="28.5" style="141" customWidth="1"/>
    <col min="5889" max="5900" width="9.125" style="141"/>
    <col min="5901" max="5901" width="10.625" style="141" customWidth="1"/>
    <col min="5902" max="6142" width="9.125" style="141"/>
    <col min="6143" max="6143" width="8" style="141" customWidth="1"/>
    <col min="6144" max="6144" width="28.5" style="141" customWidth="1"/>
    <col min="6145" max="6156" width="9.125" style="141"/>
    <col min="6157" max="6157" width="10.625" style="141" customWidth="1"/>
    <col min="6158" max="6398" width="9.125" style="141"/>
    <col min="6399" max="6399" width="8" style="141" customWidth="1"/>
    <col min="6400" max="6400" width="28.5" style="141" customWidth="1"/>
    <col min="6401" max="6412" width="9.125" style="141"/>
    <col min="6413" max="6413" width="10.625" style="141" customWidth="1"/>
    <col min="6414" max="6654" width="9.125" style="141"/>
    <col min="6655" max="6655" width="8" style="141" customWidth="1"/>
    <col min="6656" max="6656" width="28.5" style="141" customWidth="1"/>
    <col min="6657" max="6668" width="9.125" style="141"/>
    <col min="6669" max="6669" width="10.625" style="141" customWidth="1"/>
    <col min="6670" max="6910" width="9.125" style="141"/>
    <col min="6911" max="6911" width="8" style="141" customWidth="1"/>
    <col min="6912" max="6912" width="28.5" style="141" customWidth="1"/>
    <col min="6913" max="6924" width="9.125" style="141"/>
    <col min="6925" max="6925" width="10.625" style="141" customWidth="1"/>
    <col min="6926" max="7166" width="9.125" style="141"/>
    <col min="7167" max="7167" width="8" style="141" customWidth="1"/>
    <col min="7168" max="7168" width="28.5" style="141" customWidth="1"/>
    <col min="7169" max="7180" width="9.125" style="141"/>
    <col min="7181" max="7181" width="10.625" style="141" customWidth="1"/>
    <col min="7182" max="7422" width="9.125" style="141"/>
    <col min="7423" max="7423" width="8" style="141" customWidth="1"/>
    <col min="7424" max="7424" width="28.5" style="141" customWidth="1"/>
    <col min="7425" max="7436" width="9.125" style="141"/>
    <col min="7437" max="7437" width="10.625" style="141" customWidth="1"/>
    <col min="7438" max="7678" width="9.125" style="141"/>
    <col min="7679" max="7679" width="8" style="141" customWidth="1"/>
    <col min="7680" max="7680" width="28.5" style="141" customWidth="1"/>
    <col min="7681" max="7692" width="9.125" style="141"/>
    <col min="7693" max="7693" width="10.625" style="141" customWidth="1"/>
    <col min="7694" max="7934" width="9.125" style="141"/>
    <col min="7935" max="7935" width="8" style="141" customWidth="1"/>
    <col min="7936" max="7936" width="28.5" style="141" customWidth="1"/>
    <col min="7937" max="7948" width="9.125" style="141"/>
    <col min="7949" max="7949" width="10.625" style="141" customWidth="1"/>
    <col min="7950" max="8190" width="9.125" style="141"/>
    <col min="8191" max="8191" width="8" style="141" customWidth="1"/>
    <col min="8192" max="8192" width="28.5" style="141" customWidth="1"/>
    <col min="8193" max="8204" width="9.125" style="141"/>
    <col min="8205" max="8205" width="10.625" style="141" customWidth="1"/>
    <col min="8206" max="8446" width="9.125" style="141"/>
    <col min="8447" max="8447" width="8" style="141" customWidth="1"/>
    <col min="8448" max="8448" width="28.5" style="141" customWidth="1"/>
    <col min="8449" max="8460" width="9.125" style="141"/>
    <col min="8461" max="8461" width="10.625" style="141" customWidth="1"/>
    <col min="8462" max="8702" width="9.125" style="141"/>
    <col min="8703" max="8703" width="8" style="141" customWidth="1"/>
    <col min="8704" max="8704" width="28.5" style="141" customWidth="1"/>
    <col min="8705" max="8716" width="9.125" style="141"/>
    <col min="8717" max="8717" width="10.625" style="141" customWidth="1"/>
    <col min="8718" max="8958" width="9.125" style="141"/>
    <col min="8959" max="8959" width="8" style="141" customWidth="1"/>
    <col min="8960" max="8960" width="28.5" style="141" customWidth="1"/>
    <col min="8961" max="8972" width="9.125" style="141"/>
    <col min="8973" max="8973" width="10.625" style="141" customWidth="1"/>
    <col min="8974" max="9214" width="9.125" style="141"/>
    <col min="9215" max="9215" width="8" style="141" customWidth="1"/>
    <col min="9216" max="9216" width="28.5" style="141" customWidth="1"/>
    <col min="9217" max="9228" width="9.125" style="141"/>
    <col min="9229" max="9229" width="10.625" style="141" customWidth="1"/>
    <col min="9230" max="9470" width="9.125" style="141"/>
    <col min="9471" max="9471" width="8" style="141" customWidth="1"/>
    <col min="9472" max="9472" width="28.5" style="141" customWidth="1"/>
    <col min="9473" max="9484" width="9.125" style="141"/>
    <col min="9485" max="9485" width="10.625" style="141" customWidth="1"/>
    <col min="9486" max="9726" width="9.125" style="141"/>
    <col min="9727" max="9727" width="8" style="141" customWidth="1"/>
    <col min="9728" max="9728" width="28.5" style="141" customWidth="1"/>
    <col min="9729" max="9740" width="9.125" style="141"/>
    <col min="9741" max="9741" width="10.625" style="141" customWidth="1"/>
    <col min="9742" max="9982" width="9.125" style="141"/>
    <col min="9983" max="9983" width="8" style="141" customWidth="1"/>
    <col min="9984" max="9984" width="28.5" style="141" customWidth="1"/>
    <col min="9985" max="9996" width="9.125" style="141"/>
    <col min="9997" max="9997" width="10.625" style="141" customWidth="1"/>
    <col min="9998" max="10238" width="9.125" style="141"/>
    <col min="10239" max="10239" width="8" style="141" customWidth="1"/>
    <col min="10240" max="10240" width="28.5" style="141" customWidth="1"/>
    <col min="10241" max="10252" width="9.125" style="141"/>
    <col min="10253" max="10253" width="10.625" style="141" customWidth="1"/>
    <col min="10254" max="10494" width="9.125" style="141"/>
    <col min="10495" max="10495" width="8" style="141" customWidth="1"/>
    <col min="10496" max="10496" width="28.5" style="141" customWidth="1"/>
    <col min="10497" max="10508" width="9.125" style="141"/>
    <col min="10509" max="10509" width="10.625" style="141" customWidth="1"/>
    <col min="10510" max="10750" width="9.125" style="141"/>
    <col min="10751" max="10751" width="8" style="141" customWidth="1"/>
    <col min="10752" max="10752" width="28.5" style="141" customWidth="1"/>
    <col min="10753" max="10764" width="9.125" style="141"/>
    <col min="10765" max="10765" width="10.625" style="141" customWidth="1"/>
    <col min="10766" max="11006" width="9.125" style="141"/>
    <col min="11007" max="11007" width="8" style="141" customWidth="1"/>
    <col min="11008" max="11008" width="28.5" style="141" customWidth="1"/>
    <col min="11009" max="11020" width="9.125" style="141"/>
    <col min="11021" max="11021" width="10.625" style="141" customWidth="1"/>
    <col min="11022" max="11262" width="9.125" style="141"/>
    <col min="11263" max="11263" width="8" style="141" customWidth="1"/>
    <col min="11264" max="11264" width="28.5" style="141" customWidth="1"/>
    <col min="11265" max="11276" width="9.125" style="141"/>
    <col min="11277" max="11277" width="10.625" style="141" customWidth="1"/>
    <col min="11278" max="11518" width="9.125" style="141"/>
    <col min="11519" max="11519" width="8" style="141" customWidth="1"/>
    <col min="11520" max="11520" width="28.5" style="141" customWidth="1"/>
    <col min="11521" max="11532" width="9.125" style="141"/>
    <col min="11533" max="11533" width="10.625" style="141" customWidth="1"/>
    <col min="11534" max="11774" width="9.125" style="141"/>
    <col min="11775" max="11775" width="8" style="141" customWidth="1"/>
    <col min="11776" max="11776" width="28.5" style="141" customWidth="1"/>
    <col min="11777" max="11788" width="9.125" style="141"/>
    <col min="11789" max="11789" width="10.625" style="141" customWidth="1"/>
    <col min="11790" max="12030" width="9.125" style="141"/>
    <col min="12031" max="12031" width="8" style="141" customWidth="1"/>
    <col min="12032" max="12032" width="28.5" style="141" customWidth="1"/>
    <col min="12033" max="12044" width="9.125" style="141"/>
    <col min="12045" max="12045" width="10.625" style="141" customWidth="1"/>
    <col min="12046" max="12286" width="9.125" style="141"/>
    <col min="12287" max="12287" width="8" style="141" customWidth="1"/>
    <col min="12288" max="12288" width="28.5" style="141" customWidth="1"/>
    <col min="12289" max="12300" width="9.125" style="141"/>
    <col min="12301" max="12301" width="10.625" style="141" customWidth="1"/>
    <col min="12302" max="12542" width="9.125" style="141"/>
    <col min="12543" max="12543" width="8" style="141" customWidth="1"/>
    <col min="12544" max="12544" width="28.5" style="141" customWidth="1"/>
    <col min="12545" max="12556" width="9.125" style="141"/>
    <col min="12557" max="12557" width="10.625" style="141" customWidth="1"/>
    <col min="12558" max="12798" width="9.125" style="141"/>
    <col min="12799" max="12799" width="8" style="141" customWidth="1"/>
    <col min="12800" max="12800" width="28.5" style="141" customWidth="1"/>
    <col min="12801" max="12812" width="9.125" style="141"/>
    <col min="12813" max="12813" width="10.625" style="141" customWidth="1"/>
    <col min="12814" max="13054" width="9.125" style="141"/>
    <col min="13055" max="13055" width="8" style="141" customWidth="1"/>
    <col min="13056" max="13056" width="28.5" style="141" customWidth="1"/>
    <col min="13057" max="13068" width="9.125" style="141"/>
    <col min="13069" max="13069" width="10.625" style="141" customWidth="1"/>
    <col min="13070" max="13310" width="9.125" style="141"/>
    <col min="13311" max="13311" width="8" style="141" customWidth="1"/>
    <col min="13312" max="13312" width="28.5" style="141" customWidth="1"/>
    <col min="13313" max="13324" width="9.125" style="141"/>
    <col min="13325" max="13325" width="10.625" style="141" customWidth="1"/>
    <col min="13326" max="13566" width="9.125" style="141"/>
    <col min="13567" max="13567" width="8" style="141" customWidth="1"/>
    <col min="13568" max="13568" width="28.5" style="141" customWidth="1"/>
    <col min="13569" max="13580" width="9.125" style="141"/>
    <col min="13581" max="13581" width="10.625" style="141" customWidth="1"/>
    <col min="13582" max="13822" width="9.125" style="141"/>
    <col min="13823" max="13823" width="8" style="141" customWidth="1"/>
    <col min="13824" max="13824" width="28.5" style="141" customWidth="1"/>
    <col min="13825" max="13836" width="9.125" style="141"/>
    <col min="13837" max="13837" width="10.625" style="141" customWidth="1"/>
    <col min="13838" max="14078" width="9.125" style="141"/>
    <col min="14079" max="14079" width="8" style="141" customWidth="1"/>
    <col min="14080" max="14080" width="28.5" style="141" customWidth="1"/>
    <col min="14081" max="14092" width="9.125" style="141"/>
    <col min="14093" max="14093" width="10.625" style="141" customWidth="1"/>
    <col min="14094" max="14334" width="9.125" style="141"/>
    <col min="14335" max="14335" width="8" style="141" customWidth="1"/>
    <col min="14336" max="14336" width="28.5" style="141" customWidth="1"/>
    <col min="14337" max="14348" width="9.125" style="141"/>
    <col min="14349" max="14349" width="10.625" style="141" customWidth="1"/>
    <col min="14350" max="14590" width="9.125" style="141"/>
    <col min="14591" max="14591" width="8" style="141" customWidth="1"/>
    <col min="14592" max="14592" width="28.5" style="141" customWidth="1"/>
    <col min="14593" max="14604" width="9.125" style="141"/>
    <col min="14605" max="14605" width="10.625" style="141" customWidth="1"/>
    <col min="14606" max="14846" width="9.125" style="141"/>
    <col min="14847" max="14847" width="8" style="141" customWidth="1"/>
    <col min="14848" max="14848" width="28.5" style="141" customWidth="1"/>
    <col min="14849" max="14860" width="9.125" style="141"/>
    <col min="14861" max="14861" width="10.625" style="141" customWidth="1"/>
    <col min="14862" max="15102" width="9.125" style="141"/>
    <col min="15103" max="15103" width="8" style="141" customWidth="1"/>
    <col min="15104" max="15104" width="28.5" style="141" customWidth="1"/>
    <col min="15105" max="15116" width="9.125" style="141"/>
    <col min="15117" max="15117" width="10.625" style="141" customWidth="1"/>
    <col min="15118" max="15358" width="9.125" style="141"/>
    <col min="15359" max="15359" width="8" style="141" customWidth="1"/>
    <col min="15360" max="15360" width="28.5" style="141" customWidth="1"/>
    <col min="15361" max="15372" width="9.125" style="141"/>
    <col min="15373" max="15373" width="10.625" style="141" customWidth="1"/>
    <col min="15374" max="15614" width="9.125" style="141"/>
    <col min="15615" max="15615" width="8" style="141" customWidth="1"/>
    <col min="15616" max="15616" width="28.5" style="141" customWidth="1"/>
    <col min="15617" max="15628" width="9.125" style="141"/>
    <col min="15629" max="15629" width="10.625" style="141" customWidth="1"/>
    <col min="15630" max="15870" width="9.125" style="141"/>
    <col min="15871" max="15871" width="8" style="141" customWidth="1"/>
    <col min="15872" max="15872" width="28.5" style="141" customWidth="1"/>
    <col min="15873" max="15884" width="9.125" style="141"/>
    <col min="15885" max="15885" width="10.625" style="141" customWidth="1"/>
    <col min="15886" max="16126" width="9.125" style="141"/>
    <col min="16127" max="16127" width="8" style="141" customWidth="1"/>
    <col min="16128" max="16128" width="28.5" style="141" customWidth="1"/>
    <col min="16129" max="16140" width="9.125" style="141"/>
    <col min="16141" max="16141" width="10.625" style="141" customWidth="1"/>
    <col min="16142" max="16384" width="9.125" style="141"/>
  </cols>
  <sheetData>
    <row r="1" spans="1:13" ht="18.75">
      <c r="A1" s="142" t="s">
        <v>15</v>
      </c>
      <c r="B1" s="143"/>
      <c r="C1" s="144"/>
      <c r="D1" s="144"/>
      <c r="E1" s="143"/>
      <c r="F1" s="144"/>
      <c r="G1" s="144"/>
      <c r="H1" s="143"/>
      <c r="I1" s="144"/>
      <c r="J1" s="144"/>
      <c r="K1" s="144"/>
      <c r="L1" s="144"/>
      <c r="M1" s="144"/>
    </row>
    <row r="2" spans="1:13" ht="12">
      <c r="A2" s="141" t="s">
        <v>16</v>
      </c>
      <c r="B2" s="145"/>
    </row>
    <row r="3" spans="1:13" ht="16.899999999999999" customHeight="1">
      <c r="A3" s="146" t="s">
        <v>17</v>
      </c>
      <c r="B3" s="146" t="s">
        <v>18</v>
      </c>
      <c r="C3" s="198" t="s">
        <v>19</v>
      </c>
      <c r="D3" s="198"/>
      <c r="E3" s="198"/>
      <c r="F3" s="148"/>
      <c r="G3" s="149"/>
      <c r="H3" s="150"/>
      <c r="I3" s="150"/>
      <c r="J3" s="150" t="s">
        <v>20</v>
      </c>
      <c r="K3" s="150"/>
      <c r="L3" s="150"/>
      <c r="M3" s="171"/>
    </row>
    <row r="4" spans="1:13" ht="16.149999999999999" customHeight="1">
      <c r="A4" s="151"/>
      <c r="B4" s="151" t="s">
        <v>21</v>
      </c>
      <c r="C4" s="147">
        <v>2017</v>
      </c>
      <c r="D4" s="147">
        <f t="shared" ref="D4:L4" si="0">C4+1</f>
        <v>2018</v>
      </c>
      <c r="E4" s="147">
        <f t="shared" si="0"/>
        <v>2019</v>
      </c>
      <c r="F4" s="147">
        <f t="shared" si="0"/>
        <v>2020</v>
      </c>
      <c r="G4" s="147">
        <f t="shared" si="0"/>
        <v>2021</v>
      </c>
      <c r="H4" s="152">
        <f t="shared" si="0"/>
        <v>2022</v>
      </c>
      <c r="I4" s="152">
        <f t="shared" si="0"/>
        <v>2023</v>
      </c>
      <c r="J4" s="152">
        <f t="shared" si="0"/>
        <v>2024</v>
      </c>
      <c r="K4" s="152">
        <f t="shared" si="0"/>
        <v>2025</v>
      </c>
      <c r="L4" s="152">
        <f t="shared" si="0"/>
        <v>2026</v>
      </c>
      <c r="M4" s="172" t="s">
        <v>22</v>
      </c>
    </row>
    <row r="5" spans="1:13" ht="15.6" customHeight="1">
      <c r="A5" s="153">
        <v>1</v>
      </c>
      <c r="B5" s="154" t="s">
        <v>23</v>
      </c>
      <c r="C5" s="155">
        <f>SUM(C6:C9)</f>
        <v>0</v>
      </c>
      <c r="D5" s="155">
        <f t="shared" ref="D5:L5" si="1">SUM(D6:D9)</f>
        <v>0</v>
      </c>
      <c r="E5" s="155" t="e">
        <f t="shared" si="1"/>
        <v>#REF!</v>
      </c>
      <c r="F5" s="155" t="e">
        <f t="shared" si="1"/>
        <v>#REF!</v>
      </c>
      <c r="G5" s="155" t="e">
        <f t="shared" si="1"/>
        <v>#REF!</v>
      </c>
      <c r="H5" s="155" t="e">
        <f t="shared" si="1"/>
        <v>#REF!</v>
      </c>
      <c r="I5" s="155" t="e">
        <f t="shared" si="1"/>
        <v>#REF!</v>
      </c>
      <c r="J5" s="155" t="e">
        <f t="shared" si="1"/>
        <v>#REF!</v>
      </c>
      <c r="K5" s="155" t="e">
        <f t="shared" si="1"/>
        <v>#REF!</v>
      </c>
      <c r="L5" s="155" t="e">
        <f t="shared" si="1"/>
        <v>#REF!</v>
      </c>
      <c r="M5" s="159" t="e">
        <f t="shared" ref="M5:M17" si="2">SUM(C5:L5)</f>
        <v>#REF!</v>
      </c>
    </row>
    <row r="6" spans="1:13" ht="15.6" customHeight="1">
      <c r="A6" s="153">
        <v>1.1000000000000001</v>
      </c>
      <c r="B6" s="156" t="s">
        <v>24</v>
      </c>
      <c r="C6" s="157"/>
      <c r="D6" s="157"/>
      <c r="E6" s="157" t="e">
        <f>#REF!</f>
        <v>#REF!</v>
      </c>
      <c r="F6" s="157" t="e">
        <f>#REF!</f>
        <v>#REF!</v>
      </c>
      <c r="G6" s="157" t="e">
        <f>#REF!</f>
        <v>#REF!</v>
      </c>
      <c r="H6" s="157" t="e">
        <f>#REF!</f>
        <v>#REF!</v>
      </c>
      <c r="I6" s="157" t="e">
        <f>#REF!</f>
        <v>#REF!</v>
      </c>
      <c r="J6" s="157" t="e">
        <f>#REF!</f>
        <v>#REF!</v>
      </c>
      <c r="K6" s="157" t="e">
        <f>#REF!</f>
        <v>#REF!</v>
      </c>
      <c r="L6" s="157" t="e">
        <f>#REF!</f>
        <v>#REF!</v>
      </c>
      <c r="M6" s="159" t="e">
        <f t="shared" si="2"/>
        <v>#REF!</v>
      </c>
    </row>
    <row r="7" spans="1:13" ht="15.6" customHeight="1">
      <c r="A7" s="153">
        <v>1.2</v>
      </c>
      <c r="B7" s="156" t="s">
        <v>25</v>
      </c>
      <c r="C7" s="157"/>
      <c r="D7" s="157"/>
      <c r="E7" s="157">
        <f>[1]折、摊!G18</f>
        <v>0</v>
      </c>
      <c r="F7" s="157">
        <f>[1]折、摊!H18</f>
        <v>0</v>
      </c>
      <c r="G7" s="157">
        <f>[1]折、摊!I18</f>
        <v>0</v>
      </c>
      <c r="H7" s="157">
        <f>[1]折、摊!J18</f>
        <v>0</v>
      </c>
      <c r="I7" s="157">
        <f>[1]折、摊!K18</f>
        <v>0</v>
      </c>
      <c r="J7" s="157">
        <f>[1]折、摊!L18</f>
        <v>0</v>
      </c>
      <c r="K7" s="157">
        <f>[1]折、摊!M18</f>
        <v>0</v>
      </c>
      <c r="L7" s="157">
        <f>[1]折、摊!N18</f>
        <v>0</v>
      </c>
      <c r="M7" s="159">
        <f t="shared" si="2"/>
        <v>0</v>
      </c>
    </row>
    <row r="8" spans="1:13" ht="15.6" customHeight="1">
      <c r="A8" s="153">
        <v>1.3</v>
      </c>
      <c r="B8" s="156" t="s">
        <v>26</v>
      </c>
      <c r="C8" s="157" t="s">
        <v>27</v>
      </c>
      <c r="D8" s="157" t="s">
        <v>27</v>
      </c>
      <c r="E8" s="157" t="s">
        <v>27</v>
      </c>
      <c r="F8" s="157" t="s">
        <v>27</v>
      </c>
      <c r="G8" s="157" t="s">
        <v>27</v>
      </c>
      <c r="H8" s="157" t="s">
        <v>27</v>
      </c>
      <c r="I8" s="157" t="s">
        <v>27</v>
      </c>
      <c r="J8" s="157" t="s">
        <v>27</v>
      </c>
      <c r="K8" s="157" t="s">
        <v>27</v>
      </c>
      <c r="L8" s="157"/>
      <c r="M8" s="159">
        <f t="shared" si="2"/>
        <v>0</v>
      </c>
    </row>
    <row r="9" spans="1:13" s="140" customFormat="1" ht="15.6" customHeight="1">
      <c r="A9" s="158">
        <v>1.4</v>
      </c>
      <c r="B9" s="159" t="s">
        <v>28</v>
      </c>
      <c r="C9" s="157" t="s">
        <v>27</v>
      </c>
      <c r="D9" s="157" t="s">
        <v>27</v>
      </c>
      <c r="E9" s="157" t="s">
        <v>27</v>
      </c>
      <c r="F9" s="157" t="s">
        <v>27</v>
      </c>
      <c r="G9" s="157" t="s">
        <v>27</v>
      </c>
      <c r="H9" s="157" t="s">
        <v>27</v>
      </c>
      <c r="I9" s="157" t="s">
        <v>27</v>
      </c>
      <c r="J9" s="157" t="s">
        <v>27</v>
      </c>
      <c r="K9" s="157" t="s">
        <v>27</v>
      </c>
      <c r="L9" s="157" t="s">
        <v>27</v>
      </c>
      <c r="M9" s="159">
        <f t="shared" si="2"/>
        <v>0</v>
      </c>
    </row>
    <row r="10" spans="1:13" ht="15.6" customHeight="1">
      <c r="A10" s="158">
        <v>2</v>
      </c>
      <c r="B10" s="154" t="s">
        <v>29</v>
      </c>
      <c r="C10" s="155">
        <f t="shared" ref="C10:L10" si="3">SUM(C11:C16)</f>
        <v>0</v>
      </c>
      <c r="D10" s="155">
        <f t="shared" si="3"/>
        <v>0</v>
      </c>
      <c r="E10" s="155">
        <f t="shared" si="3"/>
        <v>0</v>
      </c>
      <c r="F10" s="155">
        <f t="shared" si="3"/>
        <v>0</v>
      </c>
      <c r="G10" s="155">
        <f t="shared" si="3"/>
        <v>0</v>
      </c>
      <c r="H10" s="155">
        <f t="shared" si="3"/>
        <v>0</v>
      </c>
      <c r="I10" s="155">
        <f t="shared" si="3"/>
        <v>0</v>
      </c>
      <c r="J10" s="155">
        <f t="shared" si="3"/>
        <v>0</v>
      </c>
      <c r="K10" s="155">
        <f t="shared" si="3"/>
        <v>0</v>
      </c>
      <c r="L10" s="155">
        <f t="shared" si="3"/>
        <v>0</v>
      </c>
      <c r="M10" s="159">
        <f t="shared" si="2"/>
        <v>0</v>
      </c>
    </row>
    <row r="11" spans="1:13" ht="15" customHeight="1">
      <c r="A11" s="153">
        <v>2.1</v>
      </c>
      <c r="B11" s="153" t="s">
        <v>30</v>
      </c>
      <c r="C11" s="157">
        <f>([1]计划!C6-[1]计划!C7)</f>
        <v>0</v>
      </c>
      <c r="D11" s="157">
        <f>([1]计划!D6-[1]计划!D7)</f>
        <v>0</v>
      </c>
      <c r="E11" s="157">
        <f>([1]计划!E6-[1]计划!E7)</f>
        <v>0</v>
      </c>
      <c r="F11" s="157">
        <f>([1]计划!F6-[1]计划!F7)</f>
        <v>0</v>
      </c>
      <c r="G11" s="157">
        <f>([1]计划!G6-[1]计划!G7)</f>
        <v>0</v>
      </c>
      <c r="H11" s="157">
        <f>([1]计划!H6-[1]计划!H7)</f>
        <v>0</v>
      </c>
      <c r="I11" s="157">
        <f>([1]计划!I6-[1]计划!I7)</f>
        <v>0</v>
      </c>
      <c r="J11" s="157">
        <f>([1]计划!J6-[1]计划!J7)</f>
        <v>0</v>
      </c>
      <c r="K11" s="157">
        <f>([1]计划!K6-[1]计划!K7)</f>
        <v>0</v>
      </c>
      <c r="L11" s="157">
        <f>([1]计划!L6-[1]计划!L7)</f>
        <v>0</v>
      </c>
      <c r="M11" s="159">
        <f t="shared" si="2"/>
        <v>0</v>
      </c>
    </row>
    <row r="12" spans="1:13" s="140" customFormat="1" ht="15" customHeight="1">
      <c r="A12" s="153">
        <v>2.2000000000000002</v>
      </c>
      <c r="B12" s="159" t="s">
        <v>31</v>
      </c>
      <c r="C12" s="157">
        <f>[1]计划!C8</f>
        <v>0</v>
      </c>
      <c r="D12" s="157">
        <f>[1]计划!D8</f>
        <v>0</v>
      </c>
      <c r="E12" s="157">
        <f>[1]计划!E8</f>
        <v>0</v>
      </c>
      <c r="F12" s="157">
        <f>[1]计划!F8</f>
        <v>0</v>
      </c>
      <c r="G12" s="157">
        <f>[1]计划!G8</f>
        <v>0</v>
      </c>
      <c r="H12" s="157">
        <f>[1]计划!H8</f>
        <v>0</v>
      </c>
      <c r="I12" s="157">
        <f>[1]计划!I8</f>
        <v>0</v>
      </c>
      <c r="J12" s="157">
        <f>[1]计划!J8</f>
        <v>0</v>
      </c>
      <c r="K12" s="157">
        <f>[1]计划!K8</f>
        <v>0</v>
      </c>
      <c r="L12" s="157">
        <f>[1]计划!L8</f>
        <v>0</v>
      </c>
      <c r="M12" s="159">
        <f t="shared" si="2"/>
        <v>0</v>
      </c>
    </row>
    <row r="13" spans="1:13" ht="15" customHeight="1">
      <c r="A13" s="153">
        <v>2.2999999999999998</v>
      </c>
      <c r="B13" s="156" t="s">
        <v>32</v>
      </c>
      <c r="C13" s="157">
        <f>[1]总成本!C22</f>
        <v>0</v>
      </c>
      <c r="D13" s="157">
        <f>[1]总成本!D22</f>
        <v>0</v>
      </c>
      <c r="E13" s="157">
        <f>[1]总成本!E22</f>
        <v>0</v>
      </c>
      <c r="F13" s="157">
        <f>[1]总成本!F22</f>
        <v>0</v>
      </c>
      <c r="G13" s="157">
        <f>[1]总成本!G22</f>
        <v>0</v>
      </c>
      <c r="H13" s="157">
        <f>[1]总成本!H22</f>
        <v>0</v>
      </c>
      <c r="I13" s="157">
        <f>[1]总成本!I22</f>
        <v>0</v>
      </c>
      <c r="J13" s="157">
        <f>[1]总成本!J22</f>
        <v>0</v>
      </c>
      <c r="K13" s="157">
        <f>[1]总成本!K22</f>
        <v>0</v>
      </c>
      <c r="L13" s="157">
        <f>[1]总成本!L22</f>
        <v>0</v>
      </c>
      <c r="M13" s="159">
        <f t="shared" si="2"/>
        <v>0</v>
      </c>
    </row>
    <row r="14" spans="1:13" ht="15" customHeight="1">
      <c r="A14" s="153">
        <v>2.4</v>
      </c>
      <c r="B14" s="156" t="s">
        <v>33</v>
      </c>
      <c r="C14" s="157">
        <f>[1]价格!D15</f>
        <v>0</v>
      </c>
      <c r="D14" s="157">
        <f>[1]价格!E15</f>
        <v>0</v>
      </c>
      <c r="E14" s="157">
        <f>[1]价格!F15</f>
        <v>0</v>
      </c>
      <c r="F14" s="157">
        <f>[1]价格!G15</f>
        <v>0</v>
      </c>
      <c r="G14" s="157">
        <f>[1]价格!H15</f>
        <v>0</v>
      </c>
      <c r="H14" s="157">
        <f>[1]价格!I15</f>
        <v>0</v>
      </c>
      <c r="I14" s="157">
        <f>[1]价格!J15</f>
        <v>0</v>
      </c>
      <c r="J14" s="157">
        <f>[1]价格!K15</f>
        <v>0</v>
      </c>
      <c r="K14" s="157">
        <f>[1]价格!L15</f>
        <v>0</v>
      </c>
      <c r="L14" s="157">
        <f>[1]价格!M15</f>
        <v>0</v>
      </c>
      <c r="M14" s="159">
        <f t="shared" si="2"/>
        <v>0</v>
      </c>
    </row>
    <row r="15" spans="1:13" ht="15" customHeight="1">
      <c r="A15" s="153">
        <v>2.5</v>
      </c>
      <c r="B15" s="156" t="s">
        <v>34</v>
      </c>
      <c r="C15" s="157">
        <f>[1]利润!C13</f>
        <v>0</v>
      </c>
      <c r="D15" s="157">
        <f>[1]利润!D13</f>
        <v>0</v>
      </c>
      <c r="E15" s="157">
        <f>[1]利润!E13</f>
        <v>0</v>
      </c>
      <c r="F15" s="157">
        <f>[1]利润!F13</f>
        <v>0</v>
      </c>
      <c r="G15" s="157">
        <f>[1]利润!G13</f>
        <v>0</v>
      </c>
      <c r="H15" s="157">
        <f>[1]利润!H13</f>
        <v>0</v>
      </c>
      <c r="I15" s="157">
        <f>[1]利润!I13</f>
        <v>0</v>
      </c>
      <c r="J15" s="157">
        <f>[1]利润!J13</f>
        <v>0</v>
      </c>
      <c r="K15" s="157">
        <f>[1]利润!K13</f>
        <v>0</v>
      </c>
      <c r="L15" s="157">
        <f>[1]利润!L13</f>
        <v>0</v>
      </c>
      <c r="M15" s="159">
        <f t="shared" si="2"/>
        <v>0</v>
      </c>
    </row>
    <row r="16" spans="1:13" ht="15" customHeight="1">
      <c r="A16" s="153">
        <v>2.6</v>
      </c>
      <c r="B16" s="156" t="s">
        <v>35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9">
        <f t="shared" si="2"/>
        <v>0</v>
      </c>
    </row>
    <row r="17" spans="1:18" ht="12">
      <c r="A17" s="153">
        <v>3</v>
      </c>
      <c r="B17" s="154" t="s">
        <v>36</v>
      </c>
      <c r="C17" s="155">
        <f t="shared" ref="C17:L17" si="4">C5-C10</f>
        <v>0</v>
      </c>
      <c r="D17" s="155">
        <f t="shared" si="4"/>
        <v>0</v>
      </c>
      <c r="E17" s="155" t="e">
        <f t="shared" si="4"/>
        <v>#REF!</v>
      </c>
      <c r="F17" s="155" t="e">
        <f t="shared" si="4"/>
        <v>#REF!</v>
      </c>
      <c r="G17" s="155" t="e">
        <f t="shared" si="4"/>
        <v>#REF!</v>
      </c>
      <c r="H17" s="155" t="e">
        <f t="shared" si="4"/>
        <v>#REF!</v>
      </c>
      <c r="I17" s="155" t="e">
        <f t="shared" si="4"/>
        <v>#REF!</v>
      </c>
      <c r="J17" s="155" t="e">
        <f t="shared" si="4"/>
        <v>#REF!</v>
      </c>
      <c r="K17" s="155" t="e">
        <f t="shared" si="4"/>
        <v>#REF!</v>
      </c>
      <c r="L17" s="155" t="e">
        <f t="shared" si="4"/>
        <v>#REF!</v>
      </c>
      <c r="M17" s="159" t="e">
        <f t="shared" si="2"/>
        <v>#REF!</v>
      </c>
    </row>
    <row r="18" spans="1:18" ht="12">
      <c r="A18" s="160">
        <v>4</v>
      </c>
      <c r="B18" s="156" t="s">
        <v>37</v>
      </c>
      <c r="C18" s="157">
        <f>C17</f>
        <v>0</v>
      </c>
      <c r="D18" s="157">
        <f t="shared" ref="D18:L18" si="5">C18+D17</f>
        <v>0</v>
      </c>
      <c r="E18" s="157" t="e">
        <f t="shared" si="5"/>
        <v>#REF!</v>
      </c>
      <c r="F18" s="157" t="e">
        <f t="shared" si="5"/>
        <v>#REF!</v>
      </c>
      <c r="G18" s="157" t="e">
        <f t="shared" si="5"/>
        <v>#REF!</v>
      </c>
      <c r="H18" s="157" t="e">
        <f t="shared" si="5"/>
        <v>#REF!</v>
      </c>
      <c r="I18" s="157" t="e">
        <f t="shared" si="5"/>
        <v>#REF!</v>
      </c>
      <c r="J18" s="157" t="e">
        <f t="shared" si="5"/>
        <v>#REF!</v>
      </c>
      <c r="K18" s="157" t="e">
        <f t="shared" si="5"/>
        <v>#REF!</v>
      </c>
      <c r="L18" s="157" t="e">
        <f t="shared" si="5"/>
        <v>#REF!</v>
      </c>
      <c r="M18" s="156" t="s">
        <v>27</v>
      </c>
    </row>
    <row r="19" spans="1:18" s="140" customFormat="1" ht="12">
      <c r="A19" s="160">
        <v>5</v>
      </c>
      <c r="B19" s="156" t="s">
        <v>38</v>
      </c>
      <c r="C19" s="157">
        <f t="shared" ref="C19:L19" si="6">C17+C15</f>
        <v>0</v>
      </c>
      <c r="D19" s="157">
        <f t="shared" si="6"/>
        <v>0</v>
      </c>
      <c r="E19" s="157" t="e">
        <f t="shared" si="6"/>
        <v>#REF!</v>
      </c>
      <c r="F19" s="157" t="e">
        <f t="shared" si="6"/>
        <v>#REF!</v>
      </c>
      <c r="G19" s="157" t="e">
        <f t="shared" si="6"/>
        <v>#REF!</v>
      </c>
      <c r="H19" s="157" t="e">
        <f t="shared" si="6"/>
        <v>#REF!</v>
      </c>
      <c r="I19" s="157" t="e">
        <f t="shared" si="6"/>
        <v>#REF!</v>
      </c>
      <c r="J19" s="157" t="e">
        <f t="shared" si="6"/>
        <v>#REF!</v>
      </c>
      <c r="K19" s="157" t="e">
        <f t="shared" si="6"/>
        <v>#REF!</v>
      </c>
      <c r="L19" s="157" t="e">
        <f t="shared" si="6"/>
        <v>#REF!</v>
      </c>
      <c r="M19" s="159" t="e">
        <f>SUM(C19:L19)</f>
        <v>#REF!</v>
      </c>
    </row>
    <row r="20" spans="1:18" s="140" customFormat="1" ht="12">
      <c r="A20" s="153">
        <v>6</v>
      </c>
      <c r="B20" s="156" t="s">
        <v>39</v>
      </c>
      <c r="C20" s="157">
        <f>C19</f>
        <v>0</v>
      </c>
      <c r="D20" s="157">
        <f t="shared" ref="D20:L20" si="7">C20+D19</f>
        <v>0</v>
      </c>
      <c r="E20" s="157" t="e">
        <f t="shared" si="7"/>
        <v>#REF!</v>
      </c>
      <c r="F20" s="157" t="e">
        <f t="shared" si="7"/>
        <v>#REF!</v>
      </c>
      <c r="G20" s="157" t="e">
        <f t="shared" si="7"/>
        <v>#REF!</v>
      </c>
      <c r="H20" s="157" t="e">
        <f t="shared" si="7"/>
        <v>#REF!</v>
      </c>
      <c r="I20" s="157" t="e">
        <f t="shared" si="7"/>
        <v>#REF!</v>
      </c>
      <c r="J20" s="157" t="e">
        <f t="shared" si="7"/>
        <v>#REF!</v>
      </c>
      <c r="K20" s="157" t="e">
        <f t="shared" si="7"/>
        <v>#REF!</v>
      </c>
      <c r="L20" s="157" t="e">
        <f t="shared" si="7"/>
        <v>#REF!</v>
      </c>
      <c r="M20" s="156" t="s">
        <v>27</v>
      </c>
    </row>
    <row r="21" spans="1:18" ht="12">
      <c r="A21" s="161"/>
      <c r="B21" s="162" t="s">
        <v>40</v>
      </c>
      <c r="C21" s="162"/>
      <c r="D21" s="162"/>
      <c r="E21" s="162" t="s">
        <v>41</v>
      </c>
      <c r="F21" s="162"/>
      <c r="G21" s="162"/>
      <c r="H21" s="162"/>
      <c r="I21" s="162" t="s">
        <v>42</v>
      </c>
      <c r="J21" s="162"/>
      <c r="K21" s="162"/>
      <c r="L21" s="162"/>
      <c r="M21" s="173"/>
    </row>
    <row r="22" spans="1:18" ht="12">
      <c r="A22" s="163"/>
      <c r="B22" s="164" t="s">
        <v>43</v>
      </c>
      <c r="C22" s="164"/>
      <c r="D22" s="165" t="s">
        <v>44</v>
      </c>
      <c r="E22" s="166" t="e">
        <f>IRR(C17:L17,0.15)</f>
        <v>#VALUE!</v>
      </c>
      <c r="F22" s="164"/>
      <c r="G22" s="164"/>
      <c r="H22" s="164"/>
      <c r="I22" s="166" t="e">
        <f>IRR(C19:L19,0.15)</f>
        <v>#VALUE!</v>
      </c>
      <c r="J22" s="164"/>
      <c r="K22" s="164"/>
      <c r="L22" s="164"/>
      <c r="M22" s="174"/>
    </row>
    <row r="23" spans="1:18" ht="12">
      <c r="A23" s="163"/>
      <c r="B23" s="164" t="s">
        <v>45</v>
      </c>
      <c r="C23" s="164"/>
      <c r="D23" s="164"/>
      <c r="E23" s="167" t="e">
        <f>NPV(0.12,C17:L17)</f>
        <v>#REF!</v>
      </c>
      <c r="F23" s="164"/>
      <c r="G23" s="164"/>
      <c r="H23" s="164"/>
      <c r="I23" s="167" t="e">
        <f>NPV(0.12,C19:L19)</f>
        <v>#REF!</v>
      </c>
      <c r="J23" s="164"/>
      <c r="K23" s="164"/>
      <c r="L23" s="164"/>
      <c r="M23" s="174"/>
      <c r="R23" s="141">
        <f>30.9-29.82</f>
        <v>1.0799999999999983</v>
      </c>
    </row>
    <row r="24" spans="1:18" ht="12">
      <c r="A24" s="168"/>
      <c r="B24" s="169" t="s">
        <v>46</v>
      </c>
      <c r="C24" s="169"/>
      <c r="D24" s="169"/>
      <c r="E24" s="170" t="e">
        <f>6-H18/I17</f>
        <v>#REF!</v>
      </c>
      <c r="F24" s="169"/>
      <c r="G24" s="169"/>
      <c r="H24" s="169"/>
      <c r="I24" s="170" t="e">
        <f>6-H20/I19</f>
        <v>#REF!</v>
      </c>
      <c r="J24" s="169"/>
      <c r="K24" s="169"/>
      <c r="L24" s="169"/>
      <c r="M24" s="175"/>
    </row>
  </sheetData>
  <mergeCells count="1">
    <mergeCell ref="C3:E3"/>
  </mergeCells>
  <phoneticPr fontId="4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E22" sqref="E22"/>
    </sheetView>
  </sheetViews>
  <sheetFormatPr defaultColWidth="9" defaultRowHeight="16.5"/>
  <cols>
    <col min="1" max="1" width="5.125" style="111" customWidth="1"/>
    <col min="2" max="2" width="32.625" style="111" customWidth="1"/>
    <col min="3" max="3" width="14.5" style="114" customWidth="1"/>
    <col min="4" max="5" width="14.75" style="114" customWidth="1"/>
    <col min="6" max="6" width="16.5" style="114" customWidth="1"/>
    <col min="7" max="7" width="15.5" style="111" customWidth="1"/>
    <col min="8" max="33" width="9" style="111"/>
    <col min="34" max="34" width="4.375" style="111" customWidth="1"/>
    <col min="35" max="35" width="13.875" style="111" customWidth="1"/>
    <col min="36" max="16384" width="9" style="111"/>
  </cols>
  <sheetData>
    <row r="1" spans="1:36" ht="27" customHeight="1">
      <c r="A1" s="199" t="s">
        <v>47</v>
      </c>
      <c r="B1" s="199"/>
      <c r="C1" s="199"/>
      <c r="D1" s="199"/>
      <c r="E1" s="199"/>
      <c r="F1" s="199"/>
      <c r="G1" s="190" t="s">
        <v>300</v>
      </c>
    </row>
    <row r="2" spans="1:36" ht="15.75" customHeight="1">
      <c r="A2" s="200" t="s">
        <v>17</v>
      </c>
      <c r="B2" s="115" t="s">
        <v>1</v>
      </c>
      <c r="C2" s="115" t="s">
        <v>48</v>
      </c>
      <c r="D2" s="115" t="s">
        <v>49</v>
      </c>
      <c r="E2" s="115" t="s">
        <v>50</v>
      </c>
      <c r="F2" s="116" t="s">
        <v>51</v>
      </c>
      <c r="AJ2" s="111" t="s">
        <v>52</v>
      </c>
    </row>
    <row r="3" spans="1:36" s="87" customFormat="1" ht="15.75" customHeight="1">
      <c r="A3" s="201"/>
      <c r="B3" s="91" t="s">
        <v>3</v>
      </c>
      <c r="C3" s="117">
        <f>'2025年'!N6</f>
        <v>17550</v>
      </c>
      <c r="D3" s="117">
        <f>'2026年'!N6</f>
        <v>85500</v>
      </c>
      <c r="E3" s="117">
        <f>'2027年'!N6</f>
        <v>86000</v>
      </c>
      <c r="F3" s="117">
        <f t="shared" ref="F3:F7" si="0">SUM(C3:E3)</f>
        <v>189050</v>
      </c>
      <c r="G3" s="106"/>
      <c r="AH3" s="90" t="s">
        <v>17</v>
      </c>
      <c r="AI3" s="91" t="s">
        <v>3</v>
      </c>
      <c r="AJ3" s="87" t="s">
        <v>53</v>
      </c>
    </row>
    <row r="4" spans="1:36" s="87" customFormat="1" ht="15.75" customHeight="1">
      <c r="A4" s="89">
        <v>1</v>
      </c>
      <c r="B4" s="91" t="s">
        <v>54</v>
      </c>
      <c r="C4" s="117">
        <f>'2025年'!N7</f>
        <v>15907522.123893807</v>
      </c>
      <c r="D4" s="117">
        <f>'2026年'!N7</f>
        <v>79517699.115044266</v>
      </c>
      <c r="E4" s="117">
        <f>'2027年'!N7</f>
        <v>80030973.451327443</v>
      </c>
      <c r="F4" s="117">
        <f t="shared" si="0"/>
        <v>175456194.69026554</v>
      </c>
      <c r="G4" s="106"/>
      <c r="AH4" s="90" t="s">
        <v>55</v>
      </c>
      <c r="AI4" s="91" t="s">
        <v>54</v>
      </c>
      <c r="AJ4" s="87" t="s">
        <v>53</v>
      </c>
    </row>
    <row r="5" spans="1:36" s="87" customFormat="1" ht="15.75" customHeight="1">
      <c r="A5" s="89">
        <v>2</v>
      </c>
      <c r="B5" s="89" t="s">
        <v>56</v>
      </c>
      <c r="C5" s="117">
        <f>'2025年'!N8</f>
        <v>0</v>
      </c>
      <c r="D5" s="117">
        <f>'2026年'!N8</f>
        <v>3975884.9557522163</v>
      </c>
      <c r="E5" s="117">
        <f>'2027年'!N8</f>
        <v>7803019.9115044288</v>
      </c>
      <c r="F5" s="117">
        <f t="shared" si="0"/>
        <v>11778904.867256645</v>
      </c>
      <c r="G5" s="106"/>
      <c r="AH5" s="90" t="s">
        <v>57</v>
      </c>
      <c r="AI5" s="89" t="s">
        <v>58</v>
      </c>
      <c r="AJ5" s="87" t="s">
        <v>53</v>
      </c>
    </row>
    <row r="6" spans="1:36" s="87" customFormat="1" ht="15.75" customHeight="1">
      <c r="A6" s="89">
        <v>3</v>
      </c>
      <c r="B6" s="91" t="s">
        <v>59</v>
      </c>
      <c r="C6" s="118">
        <f>C4-C5</f>
        <v>15907522.123893807</v>
      </c>
      <c r="D6" s="118">
        <f>'2026年'!N9</f>
        <v>75541814.159292042</v>
      </c>
      <c r="E6" s="117">
        <f>'2027年'!N9</f>
        <v>72227953.539823011</v>
      </c>
      <c r="F6" s="117">
        <f t="shared" si="0"/>
        <v>163677289.82300887</v>
      </c>
      <c r="G6" s="106"/>
      <c r="AH6" s="90" t="s">
        <v>60</v>
      </c>
      <c r="AI6" s="91" t="s">
        <v>59</v>
      </c>
      <c r="AJ6" s="87" t="s">
        <v>61</v>
      </c>
    </row>
    <row r="7" spans="1:36" s="87" customFormat="1" ht="15.75" customHeight="1">
      <c r="A7" s="89">
        <v>4</v>
      </c>
      <c r="B7" s="90" t="s">
        <v>301</v>
      </c>
      <c r="C7" s="117">
        <f>'2025年'!N10</f>
        <v>12074118.73285548</v>
      </c>
      <c r="D7" s="118">
        <f>'2026年'!N10</f>
        <v>57193328.758392349</v>
      </c>
      <c r="E7" s="117">
        <f>'2027年'!N10</f>
        <v>54724698.398072824</v>
      </c>
      <c r="F7" s="117">
        <f t="shared" si="0"/>
        <v>123992145.88932066</v>
      </c>
      <c r="G7" s="106"/>
      <c r="AH7" s="90" t="s">
        <v>63</v>
      </c>
      <c r="AI7" s="90" t="s">
        <v>62</v>
      </c>
      <c r="AJ7" s="87" t="s">
        <v>64</v>
      </c>
    </row>
    <row r="8" spans="1:36" s="87" customFormat="1" ht="15.75" customHeight="1">
      <c r="A8" s="89">
        <v>5</v>
      </c>
      <c r="B8" s="90" t="s">
        <v>65</v>
      </c>
      <c r="C8" s="117">
        <f>'2025年'!N11</f>
        <v>685614.20353982307</v>
      </c>
      <c r="D8" s="118">
        <f>'2026年'!N11</f>
        <v>3427212.8318584077</v>
      </c>
      <c r="E8" s="117">
        <f>'2027年'!N11</f>
        <v>3449334.955752213</v>
      </c>
      <c r="F8" s="117">
        <f t="shared" ref="F8:F19" si="1">SUM(C8:E8)</f>
        <v>7562161.9911504444</v>
      </c>
      <c r="G8" s="106"/>
      <c r="AH8" s="90" t="s">
        <v>66</v>
      </c>
      <c r="AI8" s="90" t="s">
        <v>65</v>
      </c>
    </row>
    <row r="9" spans="1:36" s="87" customFormat="1" ht="15.75" customHeight="1">
      <c r="A9" s="89">
        <v>6</v>
      </c>
      <c r="B9" s="90" t="s">
        <v>67</v>
      </c>
      <c r="C9" s="117">
        <f>'2025年'!N12</f>
        <v>345193.23008849571</v>
      </c>
      <c r="D9" s="118">
        <f>'2026年'!N12</f>
        <v>1725534.0707964604</v>
      </c>
      <c r="E9" s="117">
        <f>'2027年'!N12</f>
        <v>1736672.1238938055</v>
      </c>
      <c r="F9" s="117">
        <f t="shared" si="1"/>
        <v>3807399.4247787613</v>
      </c>
      <c r="G9" s="106"/>
      <c r="AH9" s="90" t="s">
        <v>68</v>
      </c>
      <c r="AI9" s="90" t="s">
        <v>67</v>
      </c>
    </row>
    <row r="10" spans="1:36" s="87" customFormat="1" ht="15.75" customHeight="1">
      <c r="A10" s="89">
        <v>7</v>
      </c>
      <c r="B10" s="90" t="s">
        <v>69</v>
      </c>
      <c r="C10" s="117">
        <f>'2025年'!N13</f>
        <v>699930.97345132753</v>
      </c>
      <c r="D10" s="118">
        <f>'2026年'!N13</f>
        <v>3498778.7610619473</v>
      </c>
      <c r="E10" s="117">
        <f>'2027年'!N13</f>
        <v>3521362.8318584072</v>
      </c>
      <c r="F10" s="117">
        <f t="shared" si="1"/>
        <v>7720072.566371683</v>
      </c>
      <c r="G10" s="106"/>
      <c r="AH10" s="90" t="s">
        <v>70</v>
      </c>
      <c r="AI10" s="90" t="s">
        <v>69</v>
      </c>
      <c r="AJ10" s="87" t="s">
        <v>53</v>
      </c>
    </row>
    <row r="11" spans="1:36" s="87" customFormat="1" ht="15.75" customHeight="1">
      <c r="A11" s="89">
        <v>8</v>
      </c>
      <c r="B11" s="119" t="s">
        <v>71</v>
      </c>
      <c r="C11" s="120">
        <f>SUM(C8:C10)</f>
        <v>1730738.4070796464</v>
      </c>
      <c r="D11" s="120">
        <f>SUM(D8:D10)</f>
        <v>8651525.6637168154</v>
      </c>
      <c r="E11" s="120">
        <f>SUM(E8:E10)</f>
        <v>8707369.9115044251</v>
      </c>
      <c r="F11" s="120">
        <f>SUM(F8:F10)</f>
        <v>19089633.982300889</v>
      </c>
      <c r="G11" s="106"/>
      <c r="AH11" s="90" t="s">
        <v>72</v>
      </c>
      <c r="AI11" s="94" t="s">
        <v>71</v>
      </c>
    </row>
    <row r="12" spans="1:36" s="87" customFormat="1" ht="15.75" customHeight="1">
      <c r="A12" s="89">
        <v>9</v>
      </c>
      <c r="B12" s="121" t="s">
        <v>73</v>
      </c>
      <c r="C12" s="117">
        <f>'2025年'!N15</f>
        <v>2102664.9839586811</v>
      </c>
      <c r="D12" s="118">
        <f>'2026年'!N15</f>
        <v>9696959.7371828873</v>
      </c>
      <c r="E12" s="117">
        <f>'2027年'!N15</f>
        <v>8795885.2302457653</v>
      </c>
      <c r="F12" s="117">
        <f>SUM(C12:E12)</f>
        <v>20595509.951387335</v>
      </c>
      <c r="G12" s="106"/>
      <c r="I12" s="111"/>
      <c r="J12" s="111"/>
      <c r="K12" s="111"/>
      <c r="L12" s="111"/>
      <c r="M12" s="111"/>
      <c r="N12" s="111"/>
      <c r="AH12" s="90" t="s">
        <v>74</v>
      </c>
      <c r="AI12" s="94" t="s">
        <v>73</v>
      </c>
    </row>
    <row r="13" spans="1:36" ht="15.75" customHeight="1">
      <c r="A13" s="89">
        <v>10</v>
      </c>
      <c r="B13" s="122" t="s">
        <v>75</v>
      </c>
      <c r="C13" s="123">
        <f t="shared" ref="C13:F13" si="2">+C12/C6</f>
        <v>0.13218054751596947</v>
      </c>
      <c r="D13" s="123">
        <f t="shared" si="2"/>
        <v>0.12836546017726408</v>
      </c>
      <c r="E13" s="123">
        <f t="shared" si="2"/>
        <v>0.12177951608993239</v>
      </c>
      <c r="F13" s="123">
        <f t="shared" si="2"/>
        <v>0.12582997906220297</v>
      </c>
      <c r="G13" s="106"/>
      <c r="AH13" s="122" t="s">
        <v>76</v>
      </c>
      <c r="AI13" s="122" t="s">
        <v>75</v>
      </c>
    </row>
    <row r="14" spans="1:36" ht="15.75" customHeight="1">
      <c r="A14" s="89">
        <v>11</v>
      </c>
      <c r="B14" s="122" t="s">
        <v>77</v>
      </c>
      <c r="C14" s="117">
        <f>'2025年'!N17</f>
        <v>2487545.0737463129</v>
      </c>
      <c r="D14" s="118">
        <f>'2026年'!N17</f>
        <v>5095562.3303834805</v>
      </c>
      <c r="E14" s="117">
        <f>'2027年'!N17</f>
        <v>5116606.5781710912</v>
      </c>
      <c r="F14" s="117">
        <f t="shared" si="1"/>
        <v>12699713.982300885</v>
      </c>
      <c r="G14" s="106"/>
      <c r="AH14" s="122" t="s">
        <v>78</v>
      </c>
      <c r="AI14" s="122" t="s">
        <v>77</v>
      </c>
    </row>
    <row r="15" spans="1:36" ht="15.75" customHeight="1">
      <c r="A15" s="89"/>
      <c r="B15" s="122"/>
      <c r="C15" s="117"/>
      <c r="D15" s="117"/>
      <c r="E15" s="117"/>
      <c r="F15" s="117">
        <f t="shared" si="1"/>
        <v>0</v>
      </c>
      <c r="G15" s="106"/>
      <c r="AH15" s="122"/>
      <c r="AI15" s="122"/>
    </row>
    <row r="16" spans="1:36" ht="15.75" customHeight="1">
      <c r="A16" s="89">
        <v>12</v>
      </c>
      <c r="B16" s="122" t="s">
        <v>79</v>
      </c>
      <c r="C16" s="124">
        <f>'2025年'!N19</f>
        <v>111352.65486725664</v>
      </c>
      <c r="D16" s="124">
        <f>'2026年'!N19</f>
        <v>556623.89380530966</v>
      </c>
      <c r="E16" s="117">
        <f>'2027年'!N19</f>
        <v>560216.81415929203</v>
      </c>
      <c r="F16" s="117">
        <f t="shared" si="1"/>
        <v>1228193.3628318585</v>
      </c>
      <c r="G16" s="106"/>
      <c r="O16" s="106"/>
      <c r="AH16" s="122" t="s">
        <v>80</v>
      </c>
      <c r="AI16" s="122" t="s">
        <v>79</v>
      </c>
      <c r="AJ16" s="111" t="s">
        <v>53</v>
      </c>
    </row>
    <row r="17" spans="1:36" ht="15.75" customHeight="1">
      <c r="A17" s="89">
        <v>13</v>
      </c>
      <c r="B17" s="122" t="s">
        <v>81</v>
      </c>
      <c r="C17" s="124">
        <f>'2025年'!N20</f>
        <v>540855.75221238949</v>
      </c>
      <c r="D17" s="124">
        <f>'2026年'!N20</f>
        <v>2703601.7699115053</v>
      </c>
      <c r="E17" s="117">
        <f>'2027年'!N20</f>
        <v>2721053.0973451333</v>
      </c>
      <c r="F17" s="117">
        <f t="shared" si="1"/>
        <v>5965510.619469028</v>
      </c>
      <c r="G17" s="106"/>
      <c r="AH17" s="122" t="s">
        <v>82</v>
      </c>
      <c r="AI17" s="122" t="s">
        <v>81</v>
      </c>
    </row>
    <row r="18" spans="1:36" s="86" customFormat="1" ht="15.75" customHeight="1">
      <c r="A18" s="89">
        <v>14</v>
      </c>
      <c r="B18" s="99" t="s">
        <v>83</v>
      </c>
      <c r="C18" s="125">
        <f>'2025年'!N21</f>
        <v>394933.33333333331</v>
      </c>
      <c r="D18" s="125">
        <f>'2026年'!N21</f>
        <v>394933.33333333331</v>
      </c>
      <c r="E18" s="125">
        <f>'2027年'!N21</f>
        <v>394933.33333333331</v>
      </c>
      <c r="F18" s="117">
        <f t="shared" si="1"/>
        <v>1184800</v>
      </c>
      <c r="G18" s="106"/>
      <c r="AH18" s="99"/>
      <c r="AI18" s="99"/>
    </row>
    <row r="19" spans="1:36" s="87" customFormat="1" ht="15.75" customHeight="1">
      <c r="A19" s="89">
        <v>15</v>
      </c>
      <c r="B19" s="90" t="s">
        <v>84</v>
      </c>
      <c r="C19" s="124">
        <f>'2025年'!N22</f>
        <v>477225.66371681413</v>
      </c>
      <c r="D19" s="124">
        <f>'2026年'!N22</f>
        <v>2385530.9734513275</v>
      </c>
      <c r="E19" s="117">
        <f>'2027年'!N22</f>
        <v>2400929.2035398232</v>
      </c>
      <c r="F19" s="117">
        <f t="shared" si="1"/>
        <v>5263685.8407079652</v>
      </c>
      <c r="G19" s="106"/>
      <c r="AH19" s="90" t="s">
        <v>85</v>
      </c>
      <c r="AI19" s="90" t="s">
        <v>84</v>
      </c>
    </row>
    <row r="20" spans="1:36" s="112" customFormat="1" ht="15.75" customHeight="1">
      <c r="A20" s="89">
        <v>16</v>
      </c>
      <c r="B20" s="126" t="s">
        <v>86</v>
      </c>
      <c r="C20" s="120">
        <f t="shared" ref="C20:F20" si="3">+C19+C18+C17+C16+C14</f>
        <v>4011912.4778761063</v>
      </c>
      <c r="D20" s="120">
        <f t="shared" si="3"/>
        <v>11136252.300884958</v>
      </c>
      <c r="E20" s="120">
        <f t="shared" si="3"/>
        <v>11193739.026548672</v>
      </c>
      <c r="F20" s="120">
        <f t="shared" si="3"/>
        <v>26341903.805309735</v>
      </c>
      <c r="G20" s="106"/>
      <c r="AH20" s="137" t="s">
        <v>87</v>
      </c>
      <c r="AI20" s="138" t="s">
        <v>86</v>
      </c>
    </row>
    <row r="21" spans="1:36" ht="15.75" customHeight="1">
      <c r="A21" s="89">
        <v>17</v>
      </c>
      <c r="B21" s="122" t="s">
        <v>88</v>
      </c>
      <c r="C21" s="127">
        <f>'2025年'!N24</f>
        <v>-1909247.4939174252</v>
      </c>
      <c r="D21" s="127">
        <f>'2026年'!N24</f>
        <v>-1439292.5637020711</v>
      </c>
      <c r="E21" s="117">
        <f>'2027年'!N24</f>
        <v>-2397853.7963029072</v>
      </c>
      <c r="F21" s="117">
        <f>SUM(C21:E21)</f>
        <v>-5746393.8539224034</v>
      </c>
      <c r="G21" s="192" t="s">
        <v>299</v>
      </c>
      <c r="AH21" s="122" t="s">
        <v>89</v>
      </c>
      <c r="AI21" s="122" t="s">
        <v>88</v>
      </c>
    </row>
    <row r="22" spans="1:36" ht="15.75" customHeight="1">
      <c r="A22" s="89">
        <v>18</v>
      </c>
      <c r="B22" s="122" t="s">
        <v>34</v>
      </c>
      <c r="C22" s="127">
        <f>'2025年'!N25</f>
        <v>0</v>
      </c>
      <c r="D22" s="127">
        <f>'2026年'!N25</f>
        <v>0</v>
      </c>
      <c r="E22" s="117">
        <f>'2027年'!N25</f>
        <v>0</v>
      </c>
      <c r="F22" s="127"/>
      <c r="G22" s="106"/>
      <c r="AH22" s="122" t="s">
        <v>90</v>
      </c>
      <c r="AI22" s="122" t="s">
        <v>34</v>
      </c>
    </row>
    <row r="23" spans="1:36" ht="15.75" customHeight="1">
      <c r="A23" s="89">
        <v>19</v>
      </c>
      <c r="B23" s="122" t="s">
        <v>91</v>
      </c>
      <c r="C23" s="127">
        <f>'2025年'!N26</f>
        <v>-1909247.4939174252</v>
      </c>
      <c r="D23" s="127">
        <f>'2026年'!N26</f>
        <v>-1439292.5637020706</v>
      </c>
      <c r="E23" s="117">
        <f>'2027年'!N26</f>
        <v>-2397853.796302909</v>
      </c>
      <c r="F23" s="117">
        <f>SUM(C23:E23)</f>
        <v>-5746393.8539224043</v>
      </c>
      <c r="G23" s="192" t="s">
        <v>299</v>
      </c>
      <c r="AH23" s="122" t="s">
        <v>92</v>
      </c>
      <c r="AI23" s="122" t="s">
        <v>91</v>
      </c>
    </row>
    <row r="24" spans="1:36" ht="15.75" customHeight="1">
      <c r="A24" s="89">
        <v>20</v>
      </c>
      <c r="B24" s="122" t="s">
        <v>93</v>
      </c>
      <c r="C24" s="128">
        <f t="shared" ref="C24:F24" si="4">C23/C4</f>
        <v>-0.12002167773506663</v>
      </c>
      <c r="D24" s="128">
        <f t="shared" si="4"/>
        <v>-1.8100279305362409E-2</v>
      </c>
      <c r="E24" s="128">
        <f t="shared" si="4"/>
        <v>-2.9961572287524597E-2</v>
      </c>
      <c r="F24" s="128">
        <f t="shared" si="4"/>
        <v>-3.2751159707222463E-2</v>
      </c>
      <c r="G24" s="192" t="s">
        <v>299</v>
      </c>
      <c r="AH24" s="139" t="s">
        <v>94</v>
      </c>
      <c r="AI24" s="139" t="s">
        <v>95</v>
      </c>
    </row>
    <row r="25" spans="1:36" s="113" customFormat="1" ht="15.75" customHeight="1">
      <c r="C25" s="129"/>
      <c r="D25" s="129"/>
      <c r="E25" s="129"/>
      <c r="F25" s="129"/>
      <c r="G25" s="130"/>
    </row>
    <row r="26" spans="1:36" s="113" customFormat="1" ht="15.75" customHeight="1">
      <c r="A26" s="113" t="s">
        <v>96</v>
      </c>
      <c r="C26" s="131"/>
      <c r="D26" s="131"/>
      <c r="E26" s="131"/>
      <c r="F26" s="131"/>
      <c r="G26" s="130"/>
      <c r="AH26" s="113" t="s">
        <v>96</v>
      </c>
    </row>
    <row r="27" spans="1:36" ht="15.75" customHeight="1">
      <c r="A27" s="122" t="s">
        <v>17</v>
      </c>
      <c r="B27" s="132" t="s">
        <v>1</v>
      </c>
      <c r="C27" s="115" t="s">
        <v>48</v>
      </c>
      <c r="D27" s="115" t="s">
        <v>49</v>
      </c>
      <c r="E27" s="115" t="s">
        <v>50</v>
      </c>
      <c r="F27" s="116" t="s">
        <v>51</v>
      </c>
      <c r="AJ27" s="111" t="s">
        <v>52</v>
      </c>
    </row>
    <row r="28" spans="1:36" s="87" customFormat="1" ht="15.75" customHeight="1">
      <c r="A28" s="90" t="s">
        <v>97</v>
      </c>
      <c r="B28" s="94" t="s">
        <v>98</v>
      </c>
      <c r="C28" s="98"/>
      <c r="D28" s="98"/>
      <c r="E28" s="98"/>
      <c r="F28" s="98"/>
      <c r="G28" s="106"/>
      <c r="AH28" s="90" t="s">
        <v>99</v>
      </c>
      <c r="AI28" s="94" t="s">
        <v>98</v>
      </c>
    </row>
    <row r="29" spans="1:36" s="87" customFormat="1" ht="15.75" customHeight="1">
      <c r="A29" s="90" t="s">
        <v>55</v>
      </c>
      <c r="B29" s="90" t="s">
        <v>100</v>
      </c>
      <c r="C29" s="93">
        <f t="shared" ref="C29:F29" si="5">+C6/C3</f>
        <v>906.41151703098615</v>
      </c>
      <c r="D29" s="93">
        <f t="shared" si="5"/>
        <v>883.52999016715842</v>
      </c>
      <c r="E29" s="93">
        <f t="shared" si="5"/>
        <v>839.85992488166289</v>
      </c>
      <c r="F29" s="93">
        <f t="shared" si="5"/>
        <v>865.78836193075301</v>
      </c>
      <c r="G29" s="106"/>
      <c r="AH29" s="90" t="s">
        <v>55</v>
      </c>
      <c r="AI29" s="90" t="s">
        <v>100</v>
      </c>
    </row>
    <row r="30" spans="1:36" s="87" customFormat="1" ht="15.75" customHeight="1">
      <c r="A30" s="90" t="s">
        <v>57</v>
      </c>
      <c r="B30" s="90" t="s">
        <v>101</v>
      </c>
      <c r="C30" s="93">
        <f t="shared" ref="C30:F30" si="6">+C7/C3</f>
        <v>687.9839733820786</v>
      </c>
      <c r="D30" s="93">
        <f t="shared" si="6"/>
        <v>668.92782173558305</v>
      </c>
      <c r="E30" s="93">
        <f t="shared" si="6"/>
        <v>636.33370230317234</v>
      </c>
      <c r="F30" s="93">
        <f t="shared" si="6"/>
        <v>655.86958947009077</v>
      </c>
      <c r="G30" s="106"/>
      <c r="AH30" s="90" t="s">
        <v>57</v>
      </c>
      <c r="AI30" s="90" t="s">
        <v>101</v>
      </c>
    </row>
    <row r="31" spans="1:36" s="87" customFormat="1" ht="15.75" customHeight="1">
      <c r="A31" s="90" t="s">
        <v>102</v>
      </c>
      <c r="B31" s="90" t="s">
        <v>103</v>
      </c>
      <c r="C31" s="98">
        <f t="shared" ref="C31:F31" si="7">C29-C30</f>
        <v>218.42754364890754</v>
      </c>
      <c r="D31" s="98">
        <f t="shared" si="7"/>
        <v>214.60216843157536</v>
      </c>
      <c r="E31" s="98">
        <f t="shared" si="7"/>
        <v>203.52622257849055</v>
      </c>
      <c r="F31" s="98">
        <f t="shared" si="7"/>
        <v>209.91877246066224</v>
      </c>
      <c r="G31" s="106"/>
      <c r="AH31" s="90" t="s">
        <v>102</v>
      </c>
      <c r="AI31" s="90" t="s">
        <v>103</v>
      </c>
    </row>
    <row r="32" spans="1:36" s="87" customFormat="1" ht="15.75" customHeight="1">
      <c r="A32" s="90">
        <v>3.1</v>
      </c>
      <c r="B32" s="90" t="s">
        <v>104</v>
      </c>
      <c r="C32" s="95">
        <f t="shared" ref="C32:F32" si="8">C31/C29</f>
        <v>0.24098054751596948</v>
      </c>
      <c r="D32" s="95">
        <f t="shared" si="8"/>
        <v>0.24289177596673767</v>
      </c>
      <c r="E32" s="95">
        <f t="shared" si="8"/>
        <v>0.24233353271043095</v>
      </c>
      <c r="F32" s="95">
        <f t="shared" si="8"/>
        <v>0.24245968378753957</v>
      </c>
      <c r="G32" s="106"/>
      <c r="AH32" s="90"/>
      <c r="AI32" s="90"/>
    </row>
    <row r="33" spans="1:35" s="87" customFormat="1" ht="15.75" customHeight="1">
      <c r="A33" s="90" t="s">
        <v>99</v>
      </c>
      <c r="B33" s="94" t="s">
        <v>8</v>
      </c>
      <c r="C33" s="98"/>
      <c r="D33" s="98"/>
      <c r="E33" s="98"/>
      <c r="F33" s="98"/>
      <c r="G33" s="106"/>
      <c r="AH33" s="90" t="s">
        <v>105</v>
      </c>
      <c r="AI33" s="94" t="s">
        <v>8</v>
      </c>
    </row>
    <row r="34" spans="1:35" s="87" customFormat="1" ht="15.75" customHeight="1">
      <c r="A34" s="90" t="s">
        <v>55</v>
      </c>
      <c r="B34" s="99" t="s">
        <v>106</v>
      </c>
      <c r="C34" s="93">
        <f t="shared" ref="C34:F34" si="9">+C8/C3</f>
        <v>39.066336384035502</v>
      </c>
      <c r="D34" s="93">
        <f t="shared" si="9"/>
        <v>40.084360606531085</v>
      </c>
      <c r="E34" s="93">
        <f t="shared" si="9"/>
        <v>40.108545997118753</v>
      </c>
      <c r="F34" s="93">
        <f t="shared" si="9"/>
        <v>40.000856869349086</v>
      </c>
      <c r="G34" s="106"/>
      <c r="AH34" s="90" t="s">
        <v>102</v>
      </c>
      <c r="AI34" s="90" t="s">
        <v>106</v>
      </c>
    </row>
    <row r="35" spans="1:35" s="87" customFormat="1" ht="15.75" customHeight="1">
      <c r="A35" s="90" t="s">
        <v>57</v>
      </c>
      <c r="B35" s="99" t="s">
        <v>107</v>
      </c>
      <c r="C35" s="93">
        <f t="shared" ref="C35:F35" si="10">+C9/C3</f>
        <v>19.669129919572406</v>
      </c>
      <c r="D35" s="93">
        <f t="shared" si="10"/>
        <v>20.181685038555091</v>
      </c>
      <c r="E35" s="93">
        <f t="shared" si="10"/>
        <v>20.193861905741926</v>
      </c>
      <c r="F35" s="93">
        <f t="shared" si="10"/>
        <v>20.139642553709397</v>
      </c>
      <c r="G35" s="106"/>
      <c r="AH35" s="90" t="s">
        <v>60</v>
      </c>
      <c r="AI35" s="90" t="s">
        <v>107</v>
      </c>
    </row>
    <row r="36" spans="1:35" s="87" customFormat="1" ht="15.75" customHeight="1">
      <c r="A36" s="90" t="s">
        <v>102</v>
      </c>
      <c r="B36" s="99" t="s">
        <v>108</v>
      </c>
      <c r="C36" s="93">
        <f t="shared" ref="C36:F36" si="11">+C10/C3</f>
        <v>39.882106749363395</v>
      </c>
      <c r="D36" s="93">
        <f t="shared" si="11"/>
        <v>40.921389018268393</v>
      </c>
      <c r="E36" s="93">
        <f t="shared" si="11"/>
        <v>40.946079440214035</v>
      </c>
      <c r="F36" s="93">
        <f t="shared" si="11"/>
        <v>40.836141583558231</v>
      </c>
      <c r="G36" s="106"/>
      <c r="AH36" s="90" t="s">
        <v>66</v>
      </c>
      <c r="AI36" s="90" t="s">
        <v>108</v>
      </c>
    </row>
    <row r="37" spans="1:35" s="87" customFormat="1" ht="15.75" customHeight="1">
      <c r="A37" s="90" t="s">
        <v>109</v>
      </c>
      <c r="B37" s="121" t="s">
        <v>110</v>
      </c>
      <c r="C37" s="93"/>
      <c r="D37" s="93"/>
      <c r="E37" s="93"/>
      <c r="F37" s="93"/>
      <c r="G37" s="106"/>
      <c r="AH37" s="90" t="s">
        <v>109</v>
      </c>
      <c r="AI37" s="94" t="s">
        <v>110</v>
      </c>
    </row>
    <row r="38" spans="1:35" s="87" customFormat="1">
      <c r="A38" s="90" t="s">
        <v>55</v>
      </c>
      <c r="B38" s="99" t="s">
        <v>111</v>
      </c>
      <c r="C38" s="93">
        <f t="shared" ref="C38:F38" si="12">+C12/C3</f>
        <v>119.80997059593625</v>
      </c>
      <c r="D38" s="93">
        <f t="shared" si="12"/>
        <v>113.4147337682209</v>
      </c>
      <c r="E38" s="93">
        <f t="shared" si="12"/>
        <v>102.27773523541588</v>
      </c>
      <c r="F38" s="93">
        <f t="shared" si="12"/>
        <v>108.94213145404568</v>
      </c>
      <c r="G38" s="106"/>
      <c r="AH38" s="90" t="s">
        <v>55</v>
      </c>
      <c r="AI38" s="90" t="s">
        <v>112</v>
      </c>
    </row>
    <row r="39" spans="1:35" s="87" customFormat="1" ht="15.75" customHeight="1">
      <c r="A39" s="90" t="s">
        <v>57</v>
      </c>
      <c r="B39" s="99" t="s">
        <v>113</v>
      </c>
      <c r="C39" s="117">
        <f>+C20/C38</f>
        <v>33485.631103328087</v>
      </c>
      <c r="D39" s="117">
        <f t="shared" ref="D39:F39" si="13">+D20/D38</f>
        <v>98190.525435993797</v>
      </c>
      <c r="E39" s="117">
        <f t="shared" si="13"/>
        <v>109444.5335613239</v>
      </c>
      <c r="F39" s="117">
        <f t="shared" si="13"/>
        <v>241797.21338040245</v>
      </c>
      <c r="G39" s="106"/>
      <c r="AH39" s="90" t="s">
        <v>57</v>
      </c>
      <c r="AI39" s="90" t="s">
        <v>113</v>
      </c>
    </row>
    <row r="40" spans="1:35" s="87" customFormat="1" ht="15.75" customHeight="1">
      <c r="A40" s="90" t="s">
        <v>114</v>
      </c>
      <c r="B40" s="94" t="s">
        <v>115</v>
      </c>
      <c r="C40" s="98"/>
      <c r="D40" s="98"/>
      <c r="E40" s="98"/>
      <c r="F40" s="98"/>
      <c r="G40" s="106"/>
      <c r="AH40" s="90" t="s">
        <v>114</v>
      </c>
      <c r="AI40" s="94" t="s">
        <v>115</v>
      </c>
    </row>
    <row r="41" spans="1:35" s="87" customFormat="1" ht="15.75" customHeight="1">
      <c r="A41" s="90" t="s">
        <v>55</v>
      </c>
      <c r="B41" s="90" t="s">
        <v>116</v>
      </c>
      <c r="C41" s="98">
        <f t="shared" ref="C41:F41" si="14">+C14/C3</f>
        <v>141.74046004252494</v>
      </c>
      <c r="D41" s="98">
        <f t="shared" si="14"/>
        <v>59.597220238403281</v>
      </c>
      <c r="E41" s="98">
        <f t="shared" si="14"/>
        <v>59.495425327570828</v>
      </c>
      <c r="F41" s="98">
        <f t="shared" si="14"/>
        <v>67.176482318438957</v>
      </c>
      <c r="G41" s="106"/>
      <c r="AH41" s="90" t="s">
        <v>55</v>
      </c>
      <c r="AI41" s="90" t="s">
        <v>116</v>
      </c>
    </row>
    <row r="42" spans="1:35" s="87" customFormat="1" ht="15.75" customHeight="1">
      <c r="A42" s="90" t="s">
        <v>57</v>
      </c>
      <c r="B42" s="90" t="s">
        <v>117</v>
      </c>
      <c r="C42" s="98">
        <f t="shared" ref="C42:F42" si="15">+C16/C3</f>
        <v>6.3448806192169025</v>
      </c>
      <c r="D42" s="98">
        <f t="shared" si="15"/>
        <v>6.51022098017906</v>
      </c>
      <c r="E42" s="98">
        <f t="shared" si="15"/>
        <v>6.5141490018522328</v>
      </c>
      <c r="F42" s="98">
        <f t="shared" si="15"/>
        <v>6.4966588882933536</v>
      </c>
      <c r="G42" s="106"/>
      <c r="AH42" s="90" t="s">
        <v>57</v>
      </c>
      <c r="AI42" s="90" t="s">
        <v>117</v>
      </c>
    </row>
    <row r="43" spans="1:35" s="87" customFormat="1" ht="15.75" customHeight="1">
      <c r="A43" s="90" t="s">
        <v>102</v>
      </c>
      <c r="B43" s="90" t="s">
        <v>118</v>
      </c>
      <c r="C43" s="98">
        <f>+C17/C3</f>
        <v>30.817991579053533</v>
      </c>
      <c r="D43" s="98">
        <f t="shared" ref="D43:F43" si="16">+D17/D3</f>
        <v>31.621073332298309</v>
      </c>
      <c r="E43" s="98">
        <f t="shared" si="16"/>
        <v>31.640152294710852</v>
      </c>
      <c r="F43" s="98">
        <f t="shared" si="16"/>
        <v>31.555200314567724</v>
      </c>
      <c r="G43" s="106"/>
      <c r="AH43" s="90" t="s">
        <v>102</v>
      </c>
      <c r="AI43" s="90" t="s">
        <v>118</v>
      </c>
    </row>
    <row r="44" spans="1:35" s="87" customFormat="1" ht="15.75" customHeight="1">
      <c r="A44" s="90" t="s">
        <v>60</v>
      </c>
      <c r="B44" s="90" t="s">
        <v>119</v>
      </c>
      <c r="C44" s="98">
        <f t="shared" ref="C44:F44" si="17">C18/C3</f>
        <v>22.50332383665717</v>
      </c>
      <c r="D44" s="98">
        <f t="shared" si="17"/>
        <v>4.6191033138401556</v>
      </c>
      <c r="E44" s="98">
        <f t="shared" si="17"/>
        <v>4.5922480620155035</v>
      </c>
      <c r="F44" s="98">
        <f t="shared" si="17"/>
        <v>6.2671250991801113</v>
      </c>
      <c r="G44" s="106"/>
      <c r="AH44" s="90" t="s">
        <v>60</v>
      </c>
      <c r="AI44" s="90" t="s">
        <v>120</v>
      </c>
    </row>
    <row r="45" spans="1:35" s="87" customFormat="1" ht="15.75" customHeight="1">
      <c r="A45" s="90" t="s">
        <v>63</v>
      </c>
      <c r="B45" s="90" t="s">
        <v>121</v>
      </c>
      <c r="C45" s="98">
        <f>C19/C3</f>
        <v>27.192345510929581</v>
      </c>
      <c r="D45" s="98">
        <f>D19/D3</f>
        <v>27.900947057910262</v>
      </c>
      <c r="E45" s="98">
        <f t="shared" ref="E45:F45" si="18">E19/E3</f>
        <v>27.917781436509571</v>
      </c>
      <c r="F45" s="98">
        <f t="shared" si="18"/>
        <v>27.842823806971516</v>
      </c>
      <c r="G45" s="106"/>
      <c r="AH45" s="90" t="s">
        <v>63</v>
      </c>
      <c r="AI45" s="90" t="s">
        <v>121</v>
      </c>
    </row>
    <row r="46" spans="1:35" s="87" customFormat="1" ht="15.75" customHeight="1">
      <c r="A46" s="90" t="s">
        <v>122</v>
      </c>
      <c r="B46" s="94" t="s">
        <v>123</v>
      </c>
      <c r="C46" s="98"/>
      <c r="D46" s="98"/>
      <c r="E46" s="98"/>
      <c r="F46" s="98"/>
      <c r="G46" s="106"/>
      <c r="AH46" s="90" t="s">
        <v>122</v>
      </c>
      <c r="AI46" s="94" t="s">
        <v>123</v>
      </c>
    </row>
    <row r="47" spans="1:35" s="87" customFormat="1" ht="15.75" customHeight="1">
      <c r="A47" s="90" t="s">
        <v>55</v>
      </c>
      <c r="B47" s="90" t="s">
        <v>124</v>
      </c>
      <c r="C47" s="110">
        <f t="shared" ref="C47:F47" si="19">+(C10+C16)/C6</f>
        <v>5.1000000000000004E-2</v>
      </c>
      <c r="D47" s="110">
        <f t="shared" si="19"/>
        <v>5.3684210526315793E-2</v>
      </c>
      <c r="E47" s="110">
        <f t="shared" si="19"/>
        <v>5.6509695290858732E-2</v>
      </c>
      <c r="F47" s="110">
        <f t="shared" si="19"/>
        <v>5.4670174090001598E-2</v>
      </c>
      <c r="G47" s="106"/>
      <c r="AH47" s="90" t="s">
        <v>55</v>
      </c>
      <c r="AI47" s="90" t="s">
        <v>124</v>
      </c>
    </row>
    <row r="48" spans="1:35" s="87" customFormat="1" ht="15.75" customHeight="1">
      <c r="A48" s="90" t="s">
        <v>57</v>
      </c>
      <c r="B48" s="90" t="s">
        <v>125</v>
      </c>
      <c r="C48" s="110">
        <f t="shared" ref="C48:F48" si="20">+(C8+C9+C14)/C6</f>
        <v>0.22117539614104384</v>
      </c>
      <c r="D48" s="110">
        <f t="shared" si="20"/>
        <v>0.13566406032330838</v>
      </c>
      <c r="E48" s="110">
        <f t="shared" si="20"/>
        <v>0.14264025426300839</v>
      </c>
      <c r="F48" s="110">
        <f t="shared" si="20"/>
        <v>0.14705323764987319</v>
      </c>
      <c r="G48" s="106"/>
      <c r="AH48" s="90" t="s">
        <v>57</v>
      </c>
      <c r="AI48" s="90" t="s">
        <v>125</v>
      </c>
    </row>
    <row r="49" spans="1:35" s="87" customFormat="1" ht="15.75" customHeight="1">
      <c r="A49" s="90" t="s">
        <v>102</v>
      </c>
      <c r="B49" s="90" t="s">
        <v>126</v>
      </c>
      <c r="C49" s="110">
        <f t="shared" ref="C49:F49" si="21">+C17/C6</f>
        <v>3.4000000000000002E-2</v>
      </c>
      <c r="D49" s="110">
        <f t="shared" si="21"/>
        <v>3.5789473684210538E-2</v>
      </c>
      <c r="E49" s="110">
        <f t="shared" si="21"/>
        <v>3.7673130193905821E-2</v>
      </c>
      <c r="F49" s="110">
        <f t="shared" si="21"/>
        <v>3.6446782726667737E-2</v>
      </c>
      <c r="G49" s="106"/>
      <c r="AH49" s="90" t="s">
        <v>102</v>
      </c>
      <c r="AI49" s="90" t="s">
        <v>126</v>
      </c>
    </row>
    <row r="50" spans="1:35" s="87" customFormat="1" ht="15.75" customHeight="1">
      <c r="A50" s="90" t="s">
        <v>60</v>
      </c>
      <c r="B50" s="90" t="s">
        <v>127</v>
      </c>
      <c r="C50" s="110">
        <f t="shared" ref="C50:F50" si="22">+C18/C6</f>
        <v>2.4826829109992302E-2</v>
      </c>
      <c r="D50" s="110">
        <f t="shared" si="22"/>
        <v>5.2280096490739947E-3</v>
      </c>
      <c r="E50" s="110">
        <f t="shared" si="22"/>
        <v>5.4678737798598449E-3</v>
      </c>
      <c r="F50" s="110">
        <f t="shared" si="22"/>
        <v>7.2386340296883827E-3</v>
      </c>
      <c r="G50" s="106"/>
      <c r="AH50" s="90" t="s">
        <v>60</v>
      </c>
      <c r="AI50" s="90" t="s">
        <v>127</v>
      </c>
    </row>
    <row r="51" spans="1:35" s="87" customFormat="1" ht="15.75" customHeight="1">
      <c r="A51" s="90" t="s">
        <v>63</v>
      </c>
      <c r="B51" s="90" t="s">
        <v>128</v>
      </c>
      <c r="C51" s="110">
        <f t="shared" ref="C51:F51" si="23">+C19/C6</f>
        <v>2.9999999999999995E-2</v>
      </c>
      <c r="D51" s="110">
        <f t="shared" si="23"/>
        <v>3.1578947368421054E-2</v>
      </c>
      <c r="E51" s="110">
        <f t="shared" si="23"/>
        <v>3.3240997229916899E-2</v>
      </c>
      <c r="F51" s="110">
        <f t="shared" si="23"/>
        <v>3.2158925935295055E-2</v>
      </c>
      <c r="G51" s="106"/>
      <c r="AH51" s="90" t="s">
        <v>63</v>
      </c>
      <c r="AI51" s="90" t="s">
        <v>128</v>
      </c>
    </row>
    <row r="52" spans="1:35" s="87" customFormat="1" ht="15.75" customHeight="1">
      <c r="A52" s="90" t="s">
        <v>66</v>
      </c>
      <c r="B52" s="90" t="s">
        <v>129</v>
      </c>
      <c r="C52" s="110">
        <f t="shared" ref="C52:F52" si="24">+C23/C6</f>
        <v>-0.12002167773506663</v>
      </c>
      <c r="D52" s="110">
        <f t="shared" si="24"/>
        <v>-1.9052925584592015E-2</v>
      </c>
      <c r="E52" s="110">
        <f t="shared" si="24"/>
        <v>-3.319841804711867E-2</v>
      </c>
      <c r="F52" s="110">
        <f t="shared" si="24"/>
        <v>-3.5108070643986238E-2</v>
      </c>
      <c r="G52" s="106"/>
      <c r="AH52" s="90" t="s">
        <v>66</v>
      </c>
      <c r="AI52" s="90" t="s">
        <v>130</v>
      </c>
    </row>
    <row r="53" spans="1:35" s="87" customFormat="1" ht="15.75" customHeight="1">
      <c r="A53" s="90" t="s">
        <v>131</v>
      </c>
      <c r="B53" s="94" t="s">
        <v>132</v>
      </c>
      <c r="C53" s="98">
        <f>+C21/C3</f>
        <v>-108.78903099244587</v>
      </c>
      <c r="D53" s="98">
        <f t="shared" ref="D53:F53" si="25">+D21/D3</f>
        <v>-16.833831154410188</v>
      </c>
      <c r="E53" s="98">
        <f t="shared" si="25"/>
        <v>-27.882020887243108</v>
      </c>
      <c r="F53" s="98">
        <f t="shared" si="25"/>
        <v>-30.396158973405996</v>
      </c>
      <c r="G53" s="106"/>
      <c r="AH53" s="90" t="s">
        <v>131</v>
      </c>
      <c r="AI53" s="94" t="s">
        <v>132</v>
      </c>
    </row>
    <row r="54" spans="1:35" s="87" customFormat="1" ht="15.75" customHeight="1">
      <c r="A54" s="90" t="s">
        <v>133</v>
      </c>
      <c r="B54" s="133" t="s">
        <v>134</v>
      </c>
      <c r="C54" s="98"/>
      <c r="D54" s="98"/>
      <c r="E54" s="98"/>
      <c r="F54" s="98"/>
      <c r="G54" s="106"/>
      <c r="AH54" s="90"/>
      <c r="AI54" s="94"/>
    </row>
    <row r="55" spans="1:35" s="87" customFormat="1" ht="15.75" customHeight="1">
      <c r="A55" s="90" t="s">
        <v>55</v>
      </c>
      <c r="B55" s="90" t="s">
        <v>135</v>
      </c>
      <c r="C55" s="98">
        <f>C56+C57</f>
        <v>6980599.9999999991</v>
      </c>
      <c r="D55" s="98"/>
      <c r="E55" s="98"/>
      <c r="F55" s="98"/>
      <c r="G55" s="106"/>
    </row>
    <row r="56" spans="1:35" s="87" customFormat="1" ht="15.75" customHeight="1">
      <c r="A56" s="90">
        <v>1.1000000000000001</v>
      </c>
      <c r="B56" s="134" t="s">
        <v>136</v>
      </c>
      <c r="C56" s="98">
        <f>项目投资!B27</f>
        <v>1184800</v>
      </c>
      <c r="D56" s="98"/>
      <c r="E56" s="98"/>
      <c r="F56" s="98"/>
      <c r="G56" s="106"/>
    </row>
    <row r="57" spans="1:35" s="87" customFormat="1" ht="15.75" customHeight="1">
      <c r="A57" s="90">
        <v>1.2</v>
      </c>
      <c r="B57" s="90" t="s">
        <v>137</v>
      </c>
      <c r="C57" s="98">
        <f>项目投资!B26</f>
        <v>5795799.9999999991</v>
      </c>
      <c r="D57" s="98"/>
      <c r="E57" s="98"/>
      <c r="F57" s="98"/>
      <c r="G57" s="106"/>
    </row>
    <row r="58" spans="1:35" ht="15.75" customHeight="1">
      <c r="A58" s="122" t="s">
        <v>57</v>
      </c>
      <c r="B58" s="122" t="s">
        <v>138</v>
      </c>
      <c r="C58" s="135">
        <f>C59+C60</f>
        <v>-1909247.4939174252</v>
      </c>
      <c r="D58" s="135">
        <f t="shared" ref="D58:F58" si="26">D59+D60</f>
        <v>-1439292.5637020706</v>
      </c>
      <c r="E58" s="135">
        <f t="shared" si="26"/>
        <v>-2397853.796302909</v>
      </c>
      <c r="F58" s="135">
        <f t="shared" si="26"/>
        <v>-5746393.8539224043</v>
      </c>
      <c r="G58" s="106"/>
    </row>
    <row r="59" spans="1:35" ht="15.75" customHeight="1">
      <c r="A59" s="122" t="s">
        <v>102</v>
      </c>
      <c r="B59" s="122" t="s">
        <v>139</v>
      </c>
      <c r="C59" s="135">
        <f t="shared" ref="C59:F59" si="27">C23</f>
        <v>-1909247.4939174252</v>
      </c>
      <c r="D59" s="135">
        <f t="shared" si="27"/>
        <v>-1439292.5637020706</v>
      </c>
      <c r="E59" s="135">
        <f t="shared" si="27"/>
        <v>-2397853.796302909</v>
      </c>
      <c r="F59" s="135">
        <f t="shared" si="27"/>
        <v>-5746393.8539224043</v>
      </c>
      <c r="G59" s="106"/>
    </row>
    <row r="60" spans="1:35" ht="15.75" customHeight="1">
      <c r="A60" s="122" t="s">
        <v>60</v>
      </c>
      <c r="B60" s="122" t="s">
        <v>140</v>
      </c>
      <c r="C60" s="135">
        <f>'[2]2023年'!I18</f>
        <v>0</v>
      </c>
      <c r="D60" s="135"/>
      <c r="E60" s="135"/>
      <c r="F60" s="135">
        <f>[2]项目投资!G26</f>
        <v>0</v>
      </c>
      <c r="G60" s="106"/>
    </row>
    <row r="61" spans="1:35" ht="15.75" customHeight="1">
      <c r="A61" s="122" t="s">
        <v>63</v>
      </c>
      <c r="B61" s="122" t="s">
        <v>141</v>
      </c>
      <c r="C61" s="136"/>
      <c r="D61" s="136"/>
      <c r="E61" s="136"/>
      <c r="F61" s="135"/>
      <c r="G61" s="106"/>
    </row>
    <row r="63" spans="1:35">
      <c r="B63"/>
    </row>
  </sheetData>
  <mergeCells count="2">
    <mergeCell ref="A1:F1"/>
    <mergeCell ref="A2:A3"/>
  </mergeCells>
  <phoneticPr fontId="4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0" activePane="bottomRight" state="frozen"/>
      <selection pane="topRight"/>
      <selection pane="bottomLeft"/>
      <selection pane="bottomRight" activeCell="C6" sqref="C6:M6"/>
    </sheetView>
  </sheetViews>
  <sheetFormatPr defaultColWidth="9" defaultRowHeight="16.5"/>
  <cols>
    <col min="1" max="1" width="5.125" style="87" customWidth="1"/>
    <col min="2" max="2" width="17.5" style="87" customWidth="1"/>
    <col min="3" max="7" width="12" style="88" customWidth="1"/>
    <col min="8" max="8" width="7.125" style="88" customWidth="1"/>
    <col min="9" max="13" width="12" style="88" customWidth="1"/>
    <col min="14" max="14" width="18.75" style="88" customWidth="1"/>
    <col min="15" max="15" width="12.375" style="87" customWidth="1"/>
    <col min="16" max="16" width="10.125" style="87" customWidth="1"/>
    <col min="17" max="23" width="9" style="87" customWidth="1"/>
    <col min="24" max="40" width="9" style="87"/>
    <col min="41" max="41" width="4.375" style="87" customWidth="1"/>
    <col min="42" max="42" width="13.875" style="87" customWidth="1"/>
    <col min="43" max="16384" width="9" style="87"/>
  </cols>
  <sheetData>
    <row r="1" spans="1:43">
      <c r="A1" s="202" t="s">
        <v>142</v>
      </c>
      <c r="B1" s="202"/>
      <c r="C1" s="206" t="s">
        <v>143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2" spans="1:43">
      <c r="A2" s="202" t="s">
        <v>144</v>
      </c>
      <c r="B2" s="202"/>
      <c r="C2" s="209" t="s">
        <v>145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43" ht="33">
      <c r="A3" s="202" t="s">
        <v>146</v>
      </c>
      <c r="B3" s="202"/>
      <c r="C3" s="14" t="s">
        <v>147</v>
      </c>
      <c r="D3" s="14" t="s">
        <v>147</v>
      </c>
      <c r="E3" s="14" t="s">
        <v>147</v>
      </c>
      <c r="F3" s="14" t="s">
        <v>147</v>
      </c>
      <c r="G3" s="14" t="s">
        <v>148</v>
      </c>
      <c r="H3" s="14" t="s">
        <v>148</v>
      </c>
      <c r="I3" s="14" t="s">
        <v>148</v>
      </c>
      <c r="J3" s="14" t="s">
        <v>148</v>
      </c>
      <c r="K3" s="14" t="s">
        <v>148</v>
      </c>
      <c r="L3" s="14" t="s">
        <v>149</v>
      </c>
      <c r="M3" s="14" t="s">
        <v>149</v>
      </c>
      <c r="N3" s="203" t="s">
        <v>51</v>
      </c>
    </row>
    <row r="4" spans="1:43" ht="49.5">
      <c r="A4" s="202" t="s">
        <v>150</v>
      </c>
      <c r="B4" s="202"/>
      <c r="C4" s="14" t="s">
        <v>151</v>
      </c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204"/>
    </row>
    <row r="5" spans="1:43">
      <c r="A5" s="202" t="s">
        <v>162</v>
      </c>
      <c r="B5" s="202"/>
      <c r="C5" s="48" t="s">
        <v>163</v>
      </c>
      <c r="D5" s="48" t="s">
        <v>163</v>
      </c>
      <c r="E5" s="16" t="s">
        <v>164</v>
      </c>
      <c r="F5" s="16" t="s">
        <v>164</v>
      </c>
      <c r="G5" s="48" t="s">
        <v>163</v>
      </c>
      <c r="H5" s="48" t="s">
        <v>163</v>
      </c>
      <c r="I5" s="16" t="s">
        <v>164</v>
      </c>
      <c r="J5" s="16" t="s">
        <v>164</v>
      </c>
      <c r="K5" s="16" t="s">
        <v>165</v>
      </c>
      <c r="L5" s="16" t="s">
        <v>166</v>
      </c>
      <c r="M5" s="16" t="s">
        <v>166</v>
      </c>
      <c r="N5" s="205"/>
      <c r="AQ5" s="87" t="s">
        <v>52</v>
      </c>
    </row>
    <row r="6" spans="1:43" ht="17.25">
      <c r="A6" s="90" t="s">
        <v>17</v>
      </c>
      <c r="B6" s="91" t="s">
        <v>167</v>
      </c>
      <c r="C6" s="92">
        <f>销量!C9</f>
        <v>2000</v>
      </c>
      <c r="D6" s="92">
        <f>销量!D9</f>
        <v>500</v>
      </c>
      <c r="E6" s="92">
        <f>销量!E9</f>
        <v>3000</v>
      </c>
      <c r="F6" s="92">
        <f>销量!F9</f>
        <v>500</v>
      </c>
      <c r="G6" s="92">
        <f>销量!G9</f>
        <v>2000</v>
      </c>
      <c r="H6" s="92">
        <f>销量!H9</f>
        <v>0</v>
      </c>
      <c r="I6" s="92">
        <f>销量!I9</f>
        <v>3000</v>
      </c>
      <c r="J6" s="92">
        <f>销量!J9</f>
        <v>500</v>
      </c>
      <c r="K6" s="92">
        <f>销量!K9</f>
        <v>50</v>
      </c>
      <c r="L6" s="92">
        <f>销量!L9</f>
        <v>5000</v>
      </c>
      <c r="M6" s="92">
        <f>销量!M9</f>
        <v>1000</v>
      </c>
      <c r="N6" s="93">
        <f>+SUM(C6:M6)</f>
        <v>17550</v>
      </c>
      <c r="Y6" s="91" t="s">
        <v>3</v>
      </c>
      <c r="AO6" s="90" t="s">
        <v>17</v>
      </c>
      <c r="AP6" s="91" t="s">
        <v>3</v>
      </c>
      <c r="AQ6" s="87" t="s">
        <v>53</v>
      </c>
    </row>
    <row r="7" spans="1:43">
      <c r="A7" s="89">
        <v>1</v>
      </c>
      <c r="B7" s="91" t="s">
        <v>54</v>
      </c>
      <c r="C7" s="93">
        <f>C6*销量!C8</f>
        <v>4566371.6814159295</v>
      </c>
      <c r="D7" s="93">
        <f>D6*销量!D8</f>
        <v>1141592.9203539824</v>
      </c>
      <c r="E7" s="93">
        <f>E6*销量!E8</f>
        <v>5455752.2123893807</v>
      </c>
      <c r="F7" s="93">
        <f>F6*销量!F8</f>
        <v>909292.03539823019</v>
      </c>
      <c r="G7" s="93">
        <f>G6*销量!G8</f>
        <v>1398230.0884955754</v>
      </c>
      <c r="H7" s="93">
        <f>H6*销量!H8</f>
        <v>0</v>
      </c>
      <c r="I7" s="93">
        <f>I6*销量!I8</f>
        <v>1725663.7168141594</v>
      </c>
      <c r="J7" s="93">
        <f>J6*销量!J8</f>
        <v>287610.61946902657</v>
      </c>
      <c r="K7" s="93">
        <f>K6*销量!K8</f>
        <v>51327.433628318591</v>
      </c>
      <c r="L7" s="93">
        <f>L6*销量!L8</f>
        <v>309734.51327433635</v>
      </c>
      <c r="M7" s="93">
        <f>M6*销量!M8</f>
        <v>61946.902654867263</v>
      </c>
      <c r="N7" s="93">
        <f t="shared" ref="N7:N15" si="0">+SUM(C7:M7)</f>
        <v>15907522.123893807</v>
      </c>
      <c r="O7" s="88"/>
      <c r="Y7" s="91" t="s">
        <v>54</v>
      </c>
      <c r="AO7" s="90" t="s">
        <v>55</v>
      </c>
      <c r="AP7" s="91" t="s">
        <v>54</v>
      </c>
      <c r="AQ7" s="87" t="s">
        <v>53</v>
      </c>
    </row>
    <row r="8" spans="1:43">
      <c r="A8" s="89">
        <v>2</v>
      </c>
      <c r="B8" s="89" t="s">
        <v>56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>
        <f t="shared" si="0"/>
        <v>0</v>
      </c>
      <c r="O8" s="106"/>
      <c r="Y8" s="89" t="s">
        <v>58</v>
      </c>
      <c r="AO8" s="90" t="s">
        <v>57</v>
      </c>
      <c r="AP8" s="89" t="s">
        <v>58</v>
      </c>
      <c r="AQ8" s="87" t="s">
        <v>53</v>
      </c>
    </row>
    <row r="9" spans="1:43">
      <c r="A9" s="89">
        <v>3</v>
      </c>
      <c r="B9" s="91" t="s">
        <v>59</v>
      </c>
      <c r="C9" s="93">
        <f t="shared" ref="C9:M9" si="1">+C7-C8</f>
        <v>4566371.6814159295</v>
      </c>
      <c r="D9" s="93">
        <f t="shared" ref="D9:E9" si="2">+D7-D8</f>
        <v>1141592.9203539824</v>
      </c>
      <c r="E9" s="93">
        <f t="shared" si="2"/>
        <v>5455752.2123893807</v>
      </c>
      <c r="F9" s="93">
        <f t="shared" si="1"/>
        <v>909292.03539823019</v>
      </c>
      <c r="G9" s="93">
        <f t="shared" si="1"/>
        <v>1398230.0884955754</v>
      </c>
      <c r="H9" s="93">
        <f t="shared" si="1"/>
        <v>0</v>
      </c>
      <c r="I9" s="93">
        <f t="shared" si="1"/>
        <v>1725663.7168141594</v>
      </c>
      <c r="J9" s="93">
        <f t="shared" si="1"/>
        <v>287610.61946902657</v>
      </c>
      <c r="K9" s="93">
        <f t="shared" si="1"/>
        <v>51327.433628318591</v>
      </c>
      <c r="L9" s="93">
        <f t="shared" si="1"/>
        <v>309734.51327433635</v>
      </c>
      <c r="M9" s="93">
        <f t="shared" si="1"/>
        <v>61946.902654867263</v>
      </c>
      <c r="N9" s="93">
        <f t="shared" si="0"/>
        <v>15907522.123893807</v>
      </c>
      <c r="Y9" s="91" t="s">
        <v>59</v>
      </c>
      <c r="AO9" s="90" t="s">
        <v>60</v>
      </c>
      <c r="AP9" s="91" t="s">
        <v>59</v>
      </c>
      <c r="AQ9" s="87" t="s">
        <v>61</v>
      </c>
    </row>
    <row r="10" spans="1:43">
      <c r="A10" s="89">
        <v>4</v>
      </c>
      <c r="B10" s="90" t="s">
        <v>62</v>
      </c>
      <c r="C10" s="93">
        <f t="shared" ref="C10:M10" si="3">C6*C33</f>
        <v>3378019.4763122001</v>
      </c>
      <c r="D10" s="93">
        <f t="shared" si="3"/>
        <v>837813.1766970983</v>
      </c>
      <c r="E10" s="93">
        <f t="shared" si="3"/>
        <v>3961233.6343083004</v>
      </c>
      <c r="F10" s="93">
        <f t="shared" si="3"/>
        <v>653513.91333710006</v>
      </c>
      <c r="G10" s="93">
        <f t="shared" si="3"/>
        <v>1240486.8384935851</v>
      </c>
      <c r="H10" s="93">
        <f t="shared" si="3"/>
        <v>0</v>
      </c>
      <c r="I10" s="93">
        <f t="shared" si="3"/>
        <v>1470585.9790116376</v>
      </c>
      <c r="J10" s="93">
        <f t="shared" si="3"/>
        <v>242533.40888312052</v>
      </c>
      <c r="K10" s="93">
        <f t="shared" si="3"/>
        <v>43328.097241008494</v>
      </c>
      <c r="L10" s="93">
        <f t="shared" si="3"/>
        <v>205503.50714285715</v>
      </c>
      <c r="M10" s="93">
        <f t="shared" si="3"/>
        <v>41100.701428571432</v>
      </c>
      <c r="N10" s="93">
        <f t="shared" si="0"/>
        <v>12074118.73285548</v>
      </c>
      <c r="Y10" s="90" t="s">
        <v>62</v>
      </c>
      <c r="AO10" s="90" t="s">
        <v>63</v>
      </c>
      <c r="AP10" s="90" t="s">
        <v>62</v>
      </c>
      <c r="AQ10" s="87" t="s">
        <v>64</v>
      </c>
    </row>
    <row r="11" spans="1:43">
      <c r="A11" s="89">
        <v>5</v>
      </c>
      <c r="B11" s="90" t="s">
        <v>65</v>
      </c>
      <c r="C11" s="93">
        <f t="shared" ref="C11:M11" si="4">+C6*C36</f>
        <v>196810.61946902657</v>
      </c>
      <c r="D11" s="93">
        <f t="shared" si="4"/>
        <v>49202.654867256642</v>
      </c>
      <c r="E11" s="93">
        <f t="shared" si="4"/>
        <v>235142.92035398231</v>
      </c>
      <c r="F11" s="93">
        <f t="shared" si="4"/>
        <v>39190.486725663715</v>
      </c>
      <c r="G11" s="93">
        <f t="shared" si="4"/>
        <v>60263.716814159292</v>
      </c>
      <c r="H11" s="93">
        <f t="shared" si="4"/>
        <v>0</v>
      </c>
      <c r="I11" s="93">
        <f t="shared" si="4"/>
        <v>74376.106194690277</v>
      </c>
      <c r="J11" s="93">
        <f t="shared" si="4"/>
        <v>12396.017699115046</v>
      </c>
      <c r="K11" s="93">
        <f t="shared" si="4"/>
        <v>2212.2123893805315</v>
      </c>
      <c r="L11" s="93">
        <f t="shared" si="4"/>
        <v>13349.557522123896</v>
      </c>
      <c r="M11" s="93">
        <f t="shared" si="4"/>
        <v>2669.9115044247792</v>
      </c>
      <c r="N11" s="93">
        <f t="shared" si="0"/>
        <v>685614.20353982307</v>
      </c>
      <c r="Y11" s="90" t="s">
        <v>65</v>
      </c>
      <c r="AO11" s="90" t="s">
        <v>66</v>
      </c>
      <c r="AP11" s="90" t="s">
        <v>65</v>
      </c>
    </row>
    <row r="12" spans="1:43">
      <c r="A12" s="89">
        <v>6</v>
      </c>
      <c r="B12" s="90" t="s">
        <v>67</v>
      </c>
      <c r="C12" s="93">
        <f>+C6*C37</f>
        <v>99090.265486725679</v>
      </c>
      <c r="D12" s="93">
        <f t="shared" ref="D12:M12" si="5">+D6*D37</f>
        <v>24772.56637168142</v>
      </c>
      <c r="E12" s="93">
        <f t="shared" si="5"/>
        <v>118389.82300884958</v>
      </c>
      <c r="F12" s="93">
        <f t="shared" si="5"/>
        <v>19731.637168141595</v>
      </c>
      <c r="G12" s="93">
        <f t="shared" si="5"/>
        <v>30341.592920353985</v>
      </c>
      <c r="H12" s="93">
        <f t="shared" si="5"/>
        <v>0</v>
      </c>
      <c r="I12" s="93">
        <f t="shared" si="5"/>
        <v>37446.902654867263</v>
      </c>
      <c r="J12" s="93">
        <f t="shared" si="5"/>
        <v>6241.1504424778768</v>
      </c>
      <c r="K12" s="93">
        <f t="shared" si="5"/>
        <v>1113.8053097345135</v>
      </c>
      <c r="L12" s="93">
        <f t="shared" si="5"/>
        <v>6721.2389380530994</v>
      </c>
      <c r="M12" s="93">
        <f t="shared" si="5"/>
        <v>1344.2477876106198</v>
      </c>
      <c r="N12" s="93">
        <f t="shared" si="0"/>
        <v>345193.23008849571</v>
      </c>
      <c r="Y12" s="90" t="s">
        <v>67</v>
      </c>
      <c r="AO12" s="90" t="s">
        <v>68</v>
      </c>
      <c r="AP12" s="90" t="s">
        <v>67</v>
      </c>
    </row>
    <row r="13" spans="1:43">
      <c r="A13" s="89">
        <v>7</v>
      </c>
      <c r="B13" s="90" t="s">
        <v>69</v>
      </c>
      <c r="C13" s="93">
        <f>+C6*C38</f>
        <v>200920.35398230091</v>
      </c>
      <c r="D13" s="93">
        <f t="shared" ref="D13:M13" si="6">+D6*D38</f>
        <v>50230.088495575226</v>
      </c>
      <c r="E13" s="93">
        <f t="shared" si="6"/>
        <v>240053.09734513276</v>
      </c>
      <c r="F13" s="93">
        <f t="shared" si="6"/>
        <v>40008.849557522124</v>
      </c>
      <c r="G13" s="93">
        <f t="shared" si="6"/>
        <v>61522.123893805307</v>
      </c>
      <c r="H13" s="93">
        <f t="shared" si="6"/>
        <v>0</v>
      </c>
      <c r="I13" s="93">
        <f t="shared" si="6"/>
        <v>75929.203539823007</v>
      </c>
      <c r="J13" s="93">
        <f t="shared" si="6"/>
        <v>12654.867256637168</v>
      </c>
      <c r="K13" s="93">
        <f t="shared" si="6"/>
        <v>2258.4070796460178</v>
      </c>
      <c r="L13" s="93">
        <f t="shared" si="6"/>
        <v>13628.318584070797</v>
      </c>
      <c r="M13" s="93">
        <f t="shared" si="6"/>
        <v>2725.6637168141597</v>
      </c>
      <c r="N13" s="93">
        <f t="shared" si="0"/>
        <v>699930.97345132753</v>
      </c>
      <c r="Y13" s="90" t="s">
        <v>69</v>
      </c>
      <c r="AO13" s="90" t="s">
        <v>70</v>
      </c>
      <c r="AP13" s="90" t="s">
        <v>69</v>
      </c>
      <c r="AQ13" s="87" t="s">
        <v>53</v>
      </c>
    </row>
    <row r="14" spans="1:43">
      <c r="A14" s="89">
        <v>8</v>
      </c>
      <c r="B14" s="94" t="s">
        <v>71</v>
      </c>
      <c r="C14" s="93">
        <f>SUM(C11:C13)</f>
        <v>496821.23893805314</v>
      </c>
      <c r="D14" s="93">
        <f t="shared" ref="D14:M14" si="7">SUM(D11:D13)</f>
        <v>124205.30973451328</v>
      </c>
      <c r="E14" s="93">
        <f t="shared" si="7"/>
        <v>593585.84070796461</v>
      </c>
      <c r="F14" s="93">
        <f t="shared" si="7"/>
        <v>98930.973451327445</v>
      </c>
      <c r="G14" s="93">
        <f t="shared" si="7"/>
        <v>152127.4336283186</v>
      </c>
      <c r="H14" s="93">
        <f t="shared" si="7"/>
        <v>0</v>
      </c>
      <c r="I14" s="93">
        <f t="shared" si="7"/>
        <v>187752.21238938055</v>
      </c>
      <c r="J14" s="93">
        <f t="shared" si="7"/>
        <v>31292.035398230091</v>
      </c>
      <c r="K14" s="93">
        <f t="shared" si="7"/>
        <v>5584.424778761062</v>
      </c>
      <c r="L14" s="93">
        <f t="shared" si="7"/>
        <v>33699.115044247796</v>
      </c>
      <c r="M14" s="93">
        <f t="shared" si="7"/>
        <v>6739.8230088495584</v>
      </c>
      <c r="N14" s="93">
        <f t="shared" si="0"/>
        <v>1730738.4070796461</v>
      </c>
      <c r="Y14" s="94" t="s">
        <v>71</v>
      </c>
      <c r="AO14" s="90" t="s">
        <v>72</v>
      </c>
      <c r="AP14" s="94" t="s">
        <v>71</v>
      </c>
    </row>
    <row r="15" spans="1:43">
      <c r="A15" s="89">
        <v>9</v>
      </c>
      <c r="B15" s="94" t="s">
        <v>73</v>
      </c>
      <c r="C15" s="93">
        <f>+C9-C10-C14</f>
        <v>691530.96616567625</v>
      </c>
      <c r="D15" s="93">
        <f t="shared" ref="D15:M15" si="8">+D9-D10-D14</f>
        <v>179574.43392237078</v>
      </c>
      <c r="E15" s="93">
        <f t="shared" si="8"/>
        <v>900932.73737311561</v>
      </c>
      <c r="F15" s="93">
        <f t="shared" si="8"/>
        <v>156847.14860980268</v>
      </c>
      <c r="G15" s="93">
        <f t="shared" si="8"/>
        <v>5615.8163736716378</v>
      </c>
      <c r="H15" s="93">
        <f t="shared" si="8"/>
        <v>0</v>
      </c>
      <c r="I15" s="93">
        <f t="shared" si="8"/>
        <v>67325.525413141237</v>
      </c>
      <c r="J15" s="93">
        <f t="shared" si="8"/>
        <v>13785.175187675963</v>
      </c>
      <c r="K15" s="93">
        <f t="shared" si="8"/>
        <v>2414.911608549035</v>
      </c>
      <c r="L15" s="93">
        <f t="shared" si="8"/>
        <v>70531.891087231401</v>
      </c>
      <c r="M15" s="93">
        <f t="shared" si="8"/>
        <v>14106.378217446272</v>
      </c>
      <c r="N15" s="93">
        <f t="shared" si="0"/>
        <v>2102664.9839586811</v>
      </c>
      <c r="Y15" s="94" t="s">
        <v>73</v>
      </c>
      <c r="AO15" s="90" t="s">
        <v>74</v>
      </c>
      <c r="AP15" s="94" t="s">
        <v>73</v>
      </c>
    </row>
    <row r="16" spans="1:43">
      <c r="A16" s="89">
        <v>10</v>
      </c>
      <c r="B16" s="90" t="s">
        <v>75</v>
      </c>
      <c r="C16" s="95">
        <f>+C15/C9</f>
        <v>0.15143992088511901</v>
      </c>
      <c r="D16" s="95">
        <f t="shared" ref="D16:N16" si="9">+D15/D9</f>
        <v>0.15730163591649532</v>
      </c>
      <c r="E16" s="95">
        <f t="shared" si="9"/>
        <v>0.16513446767747292</v>
      </c>
      <c r="F16" s="95">
        <f t="shared" si="9"/>
        <v>0.17249370114752019</v>
      </c>
      <c r="G16" s="95">
        <f t="shared" si="9"/>
        <v>4.0163750014233866E-3</v>
      </c>
      <c r="H16" s="95" t="e">
        <f t="shared" si="9"/>
        <v>#DIV/0!</v>
      </c>
      <c r="I16" s="95">
        <f t="shared" si="9"/>
        <v>3.9014278829153634E-2</v>
      </c>
      <c r="J16" s="95">
        <f t="shared" si="9"/>
        <v>4.7929993729457956E-2</v>
      </c>
      <c r="K16" s="95">
        <f t="shared" si="9"/>
        <v>4.7049139959662228E-2</v>
      </c>
      <c r="L16" s="95">
        <f t="shared" si="9"/>
        <v>0.22771724836734705</v>
      </c>
      <c r="M16" s="95">
        <f t="shared" si="9"/>
        <v>0.22771724836734694</v>
      </c>
      <c r="N16" s="95">
        <f t="shared" si="9"/>
        <v>0.13218054751596947</v>
      </c>
      <c r="Y16" s="90" t="s">
        <v>75</v>
      </c>
      <c r="AO16" s="90" t="s">
        <v>76</v>
      </c>
      <c r="AP16" s="90" t="s">
        <v>75</v>
      </c>
    </row>
    <row r="17" spans="1:43">
      <c r="A17" s="89">
        <v>11</v>
      </c>
      <c r="B17" s="90" t="s">
        <v>77</v>
      </c>
      <c r="C17" s="93">
        <f>C6*C43+C18</f>
        <v>396376.41462656209</v>
      </c>
      <c r="D17" s="93">
        <f>D6*D43+D18</f>
        <v>99094.103656640524</v>
      </c>
      <c r="E17" s="93">
        <f t="shared" ref="E17:M17" si="10">E6*E43+E18</f>
        <v>537418.60424072808</v>
      </c>
      <c r="F17" s="93">
        <f t="shared" si="10"/>
        <v>89569.767373454684</v>
      </c>
      <c r="G17" s="93">
        <f t="shared" si="10"/>
        <v>266482.60931682755</v>
      </c>
      <c r="H17" s="93">
        <f t="shared" si="10"/>
        <v>0</v>
      </c>
      <c r="I17" s="93">
        <f t="shared" si="10"/>
        <v>384484.97592214402</v>
      </c>
      <c r="J17" s="93">
        <f t="shared" si="10"/>
        <v>64080.829320357334</v>
      </c>
      <c r="K17" s="93">
        <f t="shared" si="10"/>
        <v>7333.3041709737872</v>
      </c>
      <c r="L17" s="93">
        <f t="shared" si="10"/>
        <v>535587.0542655203</v>
      </c>
      <c r="M17" s="93">
        <f t="shared" si="10"/>
        <v>107117.41085310405</v>
      </c>
      <c r="N17" s="93">
        <f>+SUM(C17:M17)</f>
        <v>2487545.0737463129</v>
      </c>
      <c r="O17" s="106"/>
      <c r="Y17" s="90" t="s">
        <v>77</v>
      </c>
      <c r="AO17" s="90" t="s">
        <v>78</v>
      </c>
      <c r="AP17" s="90" t="s">
        <v>77</v>
      </c>
    </row>
    <row r="18" spans="1:43" s="85" customFormat="1">
      <c r="A18" s="89">
        <v>12</v>
      </c>
      <c r="B18" s="96" t="s">
        <v>168</v>
      </c>
      <c r="C18" s="97">
        <f>$N$18/$N$6*C6</f>
        <v>209155.17568850899</v>
      </c>
      <c r="D18" s="97">
        <f>$N$18/$N$6*D6</f>
        <v>52288.793922127246</v>
      </c>
      <c r="E18" s="97">
        <f t="shared" ref="E18:M18" si="11">$N$18/$N$6*E6</f>
        <v>313732.76353276346</v>
      </c>
      <c r="F18" s="97">
        <f t="shared" si="11"/>
        <v>52288.793922127246</v>
      </c>
      <c r="G18" s="97">
        <f t="shared" si="11"/>
        <v>209155.17568850899</v>
      </c>
      <c r="H18" s="97">
        <f t="shared" si="11"/>
        <v>0</v>
      </c>
      <c r="I18" s="97">
        <f t="shared" si="11"/>
        <v>313732.76353276346</v>
      </c>
      <c r="J18" s="97">
        <f t="shared" si="11"/>
        <v>52288.793922127246</v>
      </c>
      <c r="K18" s="97">
        <f t="shared" si="11"/>
        <v>5228.8793922127252</v>
      </c>
      <c r="L18" s="97">
        <f t="shared" si="11"/>
        <v>522887.93922127248</v>
      </c>
      <c r="M18" s="97">
        <f t="shared" si="11"/>
        <v>104577.58784425449</v>
      </c>
      <c r="N18" s="93">
        <f>项目投资!D26</f>
        <v>1835336.6666666663</v>
      </c>
      <c r="O18" s="108" t="s">
        <v>169</v>
      </c>
      <c r="P18" s="108"/>
      <c r="Q18" s="108"/>
    </row>
    <row r="19" spans="1:43">
      <c r="A19" s="89">
        <v>13</v>
      </c>
      <c r="B19" s="90" t="s">
        <v>79</v>
      </c>
      <c r="C19" s="93">
        <f>C6*C44</f>
        <v>31964.601769911511</v>
      </c>
      <c r="D19" s="93">
        <f t="shared" ref="D19:M19" si="12">D6*D44</f>
        <v>7991.1504424778777</v>
      </c>
      <c r="E19" s="93">
        <f t="shared" si="12"/>
        <v>38190.265486725664</v>
      </c>
      <c r="F19" s="93">
        <f t="shared" si="12"/>
        <v>6365.0442477876113</v>
      </c>
      <c r="G19" s="93">
        <f t="shared" si="12"/>
        <v>9787.6106194690274</v>
      </c>
      <c r="H19" s="93">
        <f t="shared" si="12"/>
        <v>0</v>
      </c>
      <c r="I19" s="93">
        <f t="shared" si="12"/>
        <v>12079.646017699117</v>
      </c>
      <c r="J19" s="93">
        <f t="shared" si="12"/>
        <v>2013.2743362831861</v>
      </c>
      <c r="K19" s="93">
        <f t="shared" si="12"/>
        <v>359.29203539823015</v>
      </c>
      <c r="L19" s="93">
        <f t="shared" si="12"/>
        <v>2168.1415929203545</v>
      </c>
      <c r="M19" s="93">
        <f t="shared" si="12"/>
        <v>433.62831858407088</v>
      </c>
      <c r="N19" s="93">
        <f t="shared" ref="N19:N20" si="13">+SUM(C19:M19)</f>
        <v>111352.65486725664</v>
      </c>
      <c r="O19" s="85"/>
      <c r="Y19" s="90" t="s">
        <v>79</v>
      </c>
      <c r="AO19" s="90" t="s">
        <v>80</v>
      </c>
      <c r="AP19" s="90" t="s">
        <v>79</v>
      </c>
      <c r="AQ19" s="87" t="s">
        <v>53</v>
      </c>
    </row>
    <row r="20" spans="1:43">
      <c r="A20" s="89">
        <v>14</v>
      </c>
      <c r="B20" s="90" t="s">
        <v>81</v>
      </c>
      <c r="C20" s="93">
        <f>C6*C45</f>
        <v>155256.63716814163</v>
      </c>
      <c r="D20" s="93">
        <f t="shared" ref="D20:M20" si="14">D6*D45</f>
        <v>38814.159292035409</v>
      </c>
      <c r="E20" s="93">
        <f t="shared" si="14"/>
        <v>185495.57522123898</v>
      </c>
      <c r="F20" s="93">
        <f t="shared" si="14"/>
        <v>30915.929203539828</v>
      </c>
      <c r="G20" s="93">
        <f t="shared" si="14"/>
        <v>47539.823008849562</v>
      </c>
      <c r="H20" s="93">
        <f t="shared" si="14"/>
        <v>0</v>
      </c>
      <c r="I20" s="93">
        <f t="shared" si="14"/>
        <v>58672.566371681423</v>
      </c>
      <c r="J20" s="93">
        <f t="shared" si="14"/>
        <v>9778.7610619469033</v>
      </c>
      <c r="K20" s="93">
        <f t="shared" si="14"/>
        <v>1745.1327433628321</v>
      </c>
      <c r="L20" s="93">
        <f t="shared" si="14"/>
        <v>10530.973451327436</v>
      </c>
      <c r="M20" s="93">
        <f t="shared" si="14"/>
        <v>2106.1946902654872</v>
      </c>
      <c r="N20" s="93">
        <f t="shared" si="13"/>
        <v>540855.75221238949</v>
      </c>
      <c r="Y20" s="90" t="s">
        <v>81</v>
      </c>
      <c r="AO20" s="90" t="s">
        <v>82</v>
      </c>
      <c r="AP20" s="90" t="s">
        <v>81</v>
      </c>
    </row>
    <row r="21" spans="1:43">
      <c r="A21" s="89">
        <v>15</v>
      </c>
      <c r="B21" s="90" t="s">
        <v>83</v>
      </c>
      <c r="C21" s="98">
        <f>$N$21/$N$6*C6</f>
        <v>45006.647673314343</v>
      </c>
      <c r="D21" s="98">
        <f t="shared" ref="D21:M21" si="15">$N$21/$N$6*D6</f>
        <v>11251.661918328586</v>
      </c>
      <c r="E21" s="98">
        <f t="shared" si="15"/>
        <v>67509.97150997151</v>
      </c>
      <c r="F21" s="98">
        <f t="shared" si="15"/>
        <v>11251.661918328586</v>
      </c>
      <c r="G21" s="98">
        <f t="shared" si="15"/>
        <v>45006.647673314343</v>
      </c>
      <c r="H21" s="98">
        <f t="shared" si="15"/>
        <v>0</v>
      </c>
      <c r="I21" s="98">
        <f t="shared" si="15"/>
        <v>67509.97150997151</v>
      </c>
      <c r="J21" s="98">
        <f t="shared" si="15"/>
        <v>11251.661918328586</v>
      </c>
      <c r="K21" s="98">
        <f t="shared" si="15"/>
        <v>1125.1661918328584</v>
      </c>
      <c r="L21" s="98">
        <f t="shared" si="15"/>
        <v>112516.61918328585</v>
      </c>
      <c r="M21" s="98">
        <f t="shared" si="15"/>
        <v>22503.323836657171</v>
      </c>
      <c r="N21" s="93">
        <f>项目投资!D27</f>
        <v>394933.33333333331</v>
      </c>
      <c r="Y21" s="90" t="s">
        <v>83</v>
      </c>
      <c r="AO21" s="90"/>
      <c r="AP21" s="90"/>
    </row>
    <row r="22" spans="1:43">
      <c r="A22" s="89">
        <v>16</v>
      </c>
      <c r="B22" s="90" t="s">
        <v>84</v>
      </c>
      <c r="C22" s="93">
        <f>C6*C47</f>
        <v>136991.15044247787</v>
      </c>
      <c r="D22" s="93">
        <f t="shared" ref="D22:M22" si="16">D6*D47</f>
        <v>34247.787610619467</v>
      </c>
      <c r="E22" s="93">
        <f t="shared" si="16"/>
        <v>163672.5663716814</v>
      </c>
      <c r="F22" s="93">
        <f t="shared" si="16"/>
        <v>27278.761061946901</v>
      </c>
      <c r="G22" s="93">
        <f t="shared" si="16"/>
        <v>41946.902654867255</v>
      </c>
      <c r="H22" s="93">
        <f t="shared" si="16"/>
        <v>0</v>
      </c>
      <c r="I22" s="93">
        <f t="shared" si="16"/>
        <v>51769.911504424781</v>
      </c>
      <c r="J22" s="93">
        <f t="shared" si="16"/>
        <v>8628.3185840707974</v>
      </c>
      <c r="K22" s="93">
        <f t="shared" si="16"/>
        <v>1539.8230088495577</v>
      </c>
      <c r="L22" s="93">
        <f t="shared" si="16"/>
        <v>9292.0353982300894</v>
      </c>
      <c r="M22" s="93">
        <f t="shared" si="16"/>
        <v>1858.407079646018</v>
      </c>
      <c r="N22" s="93">
        <f>+SUM(C22:M22)</f>
        <v>477225.66371681413</v>
      </c>
      <c r="Y22" s="90" t="s">
        <v>84</v>
      </c>
      <c r="AO22" s="90" t="s">
        <v>85</v>
      </c>
      <c r="AP22" s="90" t="s">
        <v>84</v>
      </c>
    </row>
    <row r="23" spans="1:43">
      <c r="A23" s="89">
        <v>17</v>
      </c>
      <c r="B23" s="94" t="s">
        <v>86</v>
      </c>
      <c r="C23" s="98">
        <f t="shared" ref="C23:N23" si="17">+C22+C21+C20+C19+C17</f>
        <v>765595.45168040751</v>
      </c>
      <c r="D23" s="98">
        <f t="shared" si="17"/>
        <v>191398.86292010188</v>
      </c>
      <c r="E23" s="98">
        <f t="shared" si="17"/>
        <v>992286.98283034563</v>
      </c>
      <c r="F23" s="98">
        <f t="shared" si="17"/>
        <v>165381.16380505759</v>
      </c>
      <c r="G23" s="98">
        <f t="shared" si="17"/>
        <v>410763.59327332774</v>
      </c>
      <c r="H23" s="98">
        <f t="shared" si="17"/>
        <v>0</v>
      </c>
      <c r="I23" s="98">
        <f t="shared" si="17"/>
        <v>574517.07132592087</v>
      </c>
      <c r="J23" s="98">
        <f t="shared" si="17"/>
        <v>95752.845220986812</v>
      </c>
      <c r="K23" s="98">
        <f t="shared" si="17"/>
        <v>12102.718150417266</v>
      </c>
      <c r="L23" s="98">
        <f t="shared" si="17"/>
        <v>670094.82389128406</v>
      </c>
      <c r="M23" s="98">
        <f t="shared" si="17"/>
        <v>134018.96477825681</v>
      </c>
      <c r="N23" s="98">
        <f t="shared" si="17"/>
        <v>4011912.4778761063</v>
      </c>
      <c r="Y23" s="94" t="s">
        <v>86</v>
      </c>
      <c r="AO23" s="90" t="s">
        <v>87</v>
      </c>
      <c r="AP23" s="94" t="s">
        <v>86</v>
      </c>
    </row>
    <row r="24" spans="1:43">
      <c r="A24" s="89">
        <v>18</v>
      </c>
      <c r="B24" s="99" t="s">
        <v>88</v>
      </c>
      <c r="C24" s="98">
        <f>+C15-C23</f>
        <v>-74064.485514731263</v>
      </c>
      <c r="D24" s="98">
        <f t="shared" ref="D24:N24" si="18">+D15-D23</f>
        <v>-11824.428997731098</v>
      </c>
      <c r="E24" s="98">
        <f t="shared" si="18"/>
        <v>-91354.245457230019</v>
      </c>
      <c r="F24" s="98">
        <f t="shared" si="18"/>
        <v>-8534.0151952549058</v>
      </c>
      <c r="G24" s="98">
        <f t="shared" si="18"/>
        <v>-405147.77689965611</v>
      </c>
      <c r="H24" s="98">
        <f t="shared" si="18"/>
        <v>0</v>
      </c>
      <c r="I24" s="98">
        <f t="shared" si="18"/>
        <v>-507191.54591277963</v>
      </c>
      <c r="J24" s="98">
        <f t="shared" si="18"/>
        <v>-81967.670033310846</v>
      </c>
      <c r="K24" s="98">
        <f t="shared" si="18"/>
        <v>-9687.8065418682309</v>
      </c>
      <c r="L24" s="98">
        <f t="shared" si="18"/>
        <v>-599562.93280405272</v>
      </c>
      <c r="M24" s="98">
        <f t="shared" si="18"/>
        <v>-119912.58656081054</v>
      </c>
      <c r="N24" s="98">
        <f t="shared" si="18"/>
        <v>-1909247.4939174252</v>
      </c>
      <c r="P24" s="109"/>
      <c r="Y24" s="90" t="s">
        <v>88</v>
      </c>
      <c r="AO24" s="90" t="s">
        <v>89</v>
      </c>
      <c r="AP24" s="90" t="s">
        <v>88</v>
      </c>
    </row>
    <row r="25" spans="1:43">
      <c r="A25" s="89">
        <v>19</v>
      </c>
      <c r="B25" s="90" t="s">
        <v>170</v>
      </c>
      <c r="C25" s="98">
        <f>IF(C24&lt;0,0,C24*0.25)</f>
        <v>0</v>
      </c>
      <c r="D25" s="98">
        <f t="shared" ref="D25:N25" si="19">IF(D24&lt;0,0,D24*0.25)</f>
        <v>0</v>
      </c>
      <c r="E25" s="98">
        <f t="shared" si="19"/>
        <v>0</v>
      </c>
      <c r="F25" s="98">
        <f t="shared" si="19"/>
        <v>0</v>
      </c>
      <c r="G25" s="98">
        <f t="shared" si="19"/>
        <v>0</v>
      </c>
      <c r="H25" s="98">
        <f t="shared" si="19"/>
        <v>0</v>
      </c>
      <c r="I25" s="98">
        <f t="shared" si="19"/>
        <v>0</v>
      </c>
      <c r="J25" s="98">
        <f t="shared" si="19"/>
        <v>0</v>
      </c>
      <c r="K25" s="98">
        <f t="shared" si="19"/>
        <v>0</v>
      </c>
      <c r="L25" s="98">
        <f t="shared" si="19"/>
        <v>0</v>
      </c>
      <c r="M25" s="98">
        <f t="shared" si="19"/>
        <v>0</v>
      </c>
      <c r="N25" s="98">
        <f t="shared" si="19"/>
        <v>0</v>
      </c>
      <c r="O25" s="2"/>
      <c r="P25" s="2"/>
      <c r="Q25" s="2"/>
      <c r="Y25" s="90" t="s">
        <v>34</v>
      </c>
      <c r="AO25" s="90" t="s">
        <v>90</v>
      </c>
      <c r="AP25" s="90" t="s">
        <v>34</v>
      </c>
    </row>
    <row r="26" spans="1:43">
      <c r="A26" s="89">
        <v>20</v>
      </c>
      <c r="B26" s="90" t="s">
        <v>91</v>
      </c>
      <c r="C26" s="98">
        <f>C24-C25</f>
        <v>-74064.485514731263</v>
      </c>
      <c r="D26" s="98">
        <f t="shared" ref="D26:M26" si="20">D24-D25</f>
        <v>-11824.428997731098</v>
      </c>
      <c r="E26" s="98">
        <f t="shared" si="20"/>
        <v>-91354.245457230019</v>
      </c>
      <c r="F26" s="98">
        <f t="shared" si="20"/>
        <v>-8534.0151952549058</v>
      </c>
      <c r="G26" s="98">
        <f t="shared" si="20"/>
        <v>-405147.77689965611</v>
      </c>
      <c r="H26" s="98">
        <f t="shared" si="20"/>
        <v>0</v>
      </c>
      <c r="I26" s="98">
        <f t="shared" si="20"/>
        <v>-507191.54591277963</v>
      </c>
      <c r="J26" s="98">
        <f t="shared" si="20"/>
        <v>-81967.670033310846</v>
      </c>
      <c r="K26" s="98">
        <f t="shared" si="20"/>
        <v>-9687.8065418682309</v>
      </c>
      <c r="L26" s="98">
        <f t="shared" si="20"/>
        <v>-599562.93280405272</v>
      </c>
      <c r="M26" s="98">
        <f t="shared" si="20"/>
        <v>-119912.58656081054</v>
      </c>
      <c r="N26" s="93">
        <f>+SUM(C26:M26)</f>
        <v>-1909247.4939174252</v>
      </c>
      <c r="O26" s="2"/>
      <c r="P26" s="2"/>
      <c r="Q26" s="2"/>
      <c r="Y26" s="90" t="s">
        <v>91</v>
      </c>
      <c r="AO26" s="90" t="s">
        <v>92</v>
      </c>
      <c r="AP26" s="90" t="s">
        <v>91</v>
      </c>
    </row>
    <row r="27" spans="1:43">
      <c r="A27" s="89">
        <v>21</v>
      </c>
      <c r="B27" s="90" t="s">
        <v>95</v>
      </c>
      <c r="C27" s="100">
        <f>C26/C7</f>
        <v>-1.6219548184427581E-2</v>
      </c>
      <c r="D27" s="100">
        <f t="shared" ref="D27:N27" si="21">D26/D7</f>
        <v>-1.0357833153051272E-2</v>
      </c>
      <c r="E27" s="100">
        <f t="shared" si="21"/>
        <v>-1.6744573782103797E-2</v>
      </c>
      <c r="F27" s="100">
        <f t="shared" si="21"/>
        <v>-9.385340312056489E-3</v>
      </c>
      <c r="G27" s="100">
        <f t="shared" si="21"/>
        <v>-0.28975758727633633</v>
      </c>
      <c r="H27" s="100" t="e">
        <f t="shared" si="21"/>
        <v>#DIV/0!</v>
      </c>
      <c r="I27" s="100">
        <f t="shared" si="21"/>
        <v>-0.29391099840073892</v>
      </c>
      <c r="J27" s="100">
        <f t="shared" si="21"/>
        <v>-0.28499528350043463</v>
      </c>
      <c r="K27" s="100">
        <f t="shared" si="21"/>
        <v>-0.18874519641915688</v>
      </c>
      <c r="L27" s="100">
        <f t="shared" si="21"/>
        <v>-1.9357317544816555</v>
      </c>
      <c r="M27" s="100">
        <f t="shared" si="21"/>
        <v>-1.9357317544816557</v>
      </c>
      <c r="N27" s="100">
        <f t="shared" si="21"/>
        <v>-0.12002167773506663</v>
      </c>
      <c r="O27" s="2"/>
      <c r="P27" s="2"/>
      <c r="Q27" s="2"/>
      <c r="Y27" s="90" t="s">
        <v>95</v>
      </c>
      <c r="AO27" s="90" t="s">
        <v>94</v>
      </c>
      <c r="AP27" s="90" t="s">
        <v>95</v>
      </c>
    </row>
    <row r="28" spans="1:43">
      <c r="O28" s="2"/>
      <c r="P28" s="2"/>
      <c r="Q28" s="2"/>
      <c r="Y28" s="90"/>
    </row>
    <row r="29" spans="1:43">
      <c r="A29" s="87" t="s">
        <v>96</v>
      </c>
      <c r="N29" s="88" t="s">
        <v>171</v>
      </c>
      <c r="O29" s="2"/>
      <c r="P29" s="2"/>
      <c r="Q29" s="2"/>
      <c r="Y29" s="90"/>
      <c r="AO29" s="87" t="s">
        <v>96</v>
      </c>
    </row>
    <row r="30" spans="1:43">
      <c r="A30" s="90" t="s">
        <v>97</v>
      </c>
      <c r="B30" s="94" t="s">
        <v>98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2"/>
      <c r="P30" s="2"/>
      <c r="Q30" s="2"/>
      <c r="S30" s="2"/>
      <c r="Y30" s="94" t="s">
        <v>98</v>
      </c>
      <c r="AO30" s="90" t="s">
        <v>99</v>
      </c>
      <c r="AP30" s="94" t="s">
        <v>98</v>
      </c>
    </row>
    <row r="31" spans="1:43">
      <c r="A31" s="89">
        <v>1</v>
      </c>
      <c r="B31" s="96" t="s">
        <v>100</v>
      </c>
      <c r="C31" s="101">
        <f>销量!C8</f>
        <v>2283.1858407079649</v>
      </c>
      <c r="D31" s="101">
        <f>销量!D8</f>
        <v>2283.1858407079649</v>
      </c>
      <c r="E31" s="101">
        <f>销量!E8</f>
        <v>1818.5840707964603</v>
      </c>
      <c r="F31" s="101">
        <f>销量!F8</f>
        <v>1818.5840707964603</v>
      </c>
      <c r="G31" s="101">
        <f>销量!G8</f>
        <v>699.11504424778764</v>
      </c>
      <c r="H31" s="101">
        <f>销量!H8</f>
        <v>0</v>
      </c>
      <c r="I31" s="101">
        <f>销量!I8</f>
        <v>575.22123893805315</v>
      </c>
      <c r="J31" s="101">
        <f>销量!J8</f>
        <v>575.22123893805315</v>
      </c>
      <c r="K31" s="101">
        <f>销量!K8</f>
        <v>1026.5486725663718</v>
      </c>
      <c r="L31" s="101">
        <f>销量!L8</f>
        <v>61.946902654867266</v>
      </c>
      <c r="M31" s="101">
        <f>销量!M8</f>
        <v>61.946902654867266</v>
      </c>
      <c r="N31" s="98"/>
      <c r="O31" s="2"/>
      <c r="P31" s="2"/>
      <c r="Q31" s="2"/>
      <c r="S31" s="2"/>
      <c r="Y31" s="90" t="s">
        <v>100</v>
      </c>
      <c r="AO31" s="90" t="s">
        <v>55</v>
      </c>
      <c r="AP31" s="90" t="s">
        <v>100</v>
      </c>
    </row>
    <row r="32" spans="1:43">
      <c r="A32" s="89">
        <v>2</v>
      </c>
      <c r="B32" s="90" t="s">
        <v>172</v>
      </c>
      <c r="C32" s="93">
        <f t="shared" ref="C32:M32" si="22">C31*1</f>
        <v>2283.1858407079649</v>
      </c>
      <c r="D32" s="93">
        <f t="shared" ref="D32:F32" si="23">D31*1</f>
        <v>2283.1858407079649</v>
      </c>
      <c r="E32" s="93">
        <f t="shared" si="23"/>
        <v>1818.5840707964603</v>
      </c>
      <c r="F32" s="93">
        <f t="shared" si="23"/>
        <v>1818.5840707964603</v>
      </c>
      <c r="G32" s="93">
        <f t="shared" si="22"/>
        <v>699.11504424778764</v>
      </c>
      <c r="H32" s="93">
        <f t="shared" si="22"/>
        <v>0</v>
      </c>
      <c r="I32" s="93">
        <f t="shared" si="22"/>
        <v>575.22123893805315</v>
      </c>
      <c r="J32" s="93">
        <f t="shared" si="22"/>
        <v>575.22123893805315</v>
      </c>
      <c r="K32" s="93">
        <f t="shared" si="22"/>
        <v>1026.5486725663718</v>
      </c>
      <c r="L32" s="93">
        <f t="shared" si="22"/>
        <v>61.946902654867266</v>
      </c>
      <c r="M32" s="93">
        <f t="shared" si="22"/>
        <v>61.946902654867266</v>
      </c>
      <c r="N32" s="98"/>
      <c r="O32" s="2"/>
      <c r="P32" s="2"/>
      <c r="Q32" s="2"/>
      <c r="R32" s="2"/>
      <c r="S32" s="2"/>
      <c r="T32" s="2"/>
      <c r="U32" s="2"/>
      <c r="AO32" s="90"/>
      <c r="AP32" s="90"/>
    </row>
    <row r="33" spans="1:42">
      <c r="A33" s="89">
        <v>3</v>
      </c>
      <c r="B33" s="96" t="s">
        <v>101</v>
      </c>
      <c r="C33" s="93">
        <f>材料成本!D24</f>
        <v>1689.0097381561</v>
      </c>
      <c r="D33" s="93">
        <f>材料成本!E24</f>
        <v>1675.6263533941967</v>
      </c>
      <c r="E33" s="93">
        <f>材料成本!F24</f>
        <v>1320.4112114361001</v>
      </c>
      <c r="F33" s="93">
        <f>材料成本!G24</f>
        <v>1307.0278266742</v>
      </c>
      <c r="G33" s="93">
        <f>材料成本!H24</f>
        <v>620.24341924679254</v>
      </c>
      <c r="H33" s="93">
        <f>材料成本!I24</f>
        <v>0</v>
      </c>
      <c r="I33" s="93">
        <f>材料成本!J24</f>
        <v>490.19532633721252</v>
      </c>
      <c r="J33" s="93">
        <f>材料成本!K24</f>
        <v>485.06681776624106</v>
      </c>
      <c r="K33" s="93">
        <f>材料成本!L24</f>
        <v>866.56194482016986</v>
      </c>
      <c r="L33" s="93">
        <f>材料成本!M24</f>
        <v>41.100701428571433</v>
      </c>
      <c r="M33" s="93">
        <f>材料成本!N24</f>
        <v>41.100701428571433</v>
      </c>
      <c r="N33" s="98"/>
      <c r="P33" s="2"/>
      <c r="Q33" s="2"/>
      <c r="R33" s="2"/>
      <c r="S33" s="2"/>
      <c r="T33" s="2"/>
      <c r="U33" s="2"/>
      <c r="Y33" s="90" t="s">
        <v>101</v>
      </c>
      <c r="AO33" s="90" t="s">
        <v>57</v>
      </c>
      <c r="AP33" s="90" t="s">
        <v>101</v>
      </c>
    </row>
    <row r="34" spans="1:42" ht="17.25" customHeight="1">
      <c r="A34" s="89">
        <v>4</v>
      </c>
      <c r="B34" s="90" t="s">
        <v>103</v>
      </c>
      <c r="C34" s="102">
        <f>C32-C33</f>
        <v>594.17610255186491</v>
      </c>
      <c r="D34" s="102">
        <f t="shared" ref="D34:M34" si="24">D32-D33</f>
        <v>607.55948731376816</v>
      </c>
      <c r="E34" s="102">
        <f t="shared" si="24"/>
        <v>498.17285936036023</v>
      </c>
      <c r="F34" s="102">
        <f t="shared" si="24"/>
        <v>511.5562441222603</v>
      </c>
      <c r="G34" s="102">
        <f t="shared" si="24"/>
        <v>78.871625000995095</v>
      </c>
      <c r="H34" s="102">
        <f t="shared" si="24"/>
        <v>0</v>
      </c>
      <c r="I34" s="102">
        <f t="shared" si="24"/>
        <v>85.025912600840627</v>
      </c>
      <c r="J34" s="102">
        <f t="shared" si="24"/>
        <v>90.154421171812089</v>
      </c>
      <c r="K34" s="102">
        <f t="shared" si="24"/>
        <v>159.98672774620195</v>
      </c>
      <c r="L34" s="102">
        <f t="shared" si="24"/>
        <v>20.846201226295832</v>
      </c>
      <c r="M34" s="102">
        <f t="shared" si="24"/>
        <v>20.846201226295832</v>
      </c>
      <c r="N34" s="98"/>
      <c r="P34" s="2"/>
      <c r="Q34" s="2"/>
      <c r="R34" s="2"/>
      <c r="S34" s="2"/>
      <c r="T34" s="2"/>
      <c r="U34" s="2"/>
      <c r="Y34" s="90" t="s">
        <v>103</v>
      </c>
      <c r="AO34" s="90" t="s">
        <v>102</v>
      </c>
      <c r="AP34" s="90" t="s">
        <v>103</v>
      </c>
    </row>
    <row r="35" spans="1:42">
      <c r="A35" s="90" t="s">
        <v>99</v>
      </c>
      <c r="B35" s="94" t="s">
        <v>8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2"/>
      <c r="P35" s="2"/>
      <c r="Q35" s="2"/>
      <c r="R35" s="2"/>
      <c r="S35" s="2"/>
      <c r="T35" s="2"/>
      <c r="U35" s="2"/>
      <c r="V35" s="2"/>
      <c r="W35" s="2"/>
      <c r="X35" s="2"/>
      <c r="Y35" s="94" t="s">
        <v>8</v>
      </c>
      <c r="AO35" s="90" t="s">
        <v>105</v>
      </c>
      <c r="AP35" s="94" t="s">
        <v>8</v>
      </c>
    </row>
    <row r="36" spans="1:42">
      <c r="A36" s="89">
        <v>1</v>
      </c>
      <c r="B36" s="90" t="s">
        <v>106</v>
      </c>
      <c r="C36" s="97">
        <f>标准成本!E4</f>
        <v>98.405309734513281</v>
      </c>
      <c r="D36" s="97">
        <f>标准成本!E16</f>
        <v>98.405309734513281</v>
      </c>
      <c r="E36" s="97">
        <f>标准成本!E29</f>
        <v>78.380973451327435</v>
      </c>
      <c r="F36" s="97">
        <f>标准成本!E42</f>
        <v>78.380973451327435</v>
      </c>
      <c r="G36" s="97">
        <f>标准成本!E55</f>
        <v>30.131858407079648</v>
      </c>
      <c r="H36" s="97">
        <f>标准成本!E68</f>
        <v>0</v>
      </c>
      <c r="I36" s="97">
        <f>标准成本!E81</f>
        <v>24.792035398230091</v>
      </c>
      <c r="J36" s="97">
        <f>标准成本!E94</f>
        <v>24.792035398230091</v>
      </c>
      <c r="K36" s="97">
        <f>标准成本!E107</f>
        <v>44.244247787610625</v>
      </c>
      <c r="L36" s="97">
        <f>标准成本!E120</f>
        <v>2.6699115044247792</v>
      </c>
      <c r="M36" s="97">
        <f>标准成本!E133</f>
        <v>2.6699115044247792</v>
      </c>
      <c r="N36" s="101"/>
      <c r="O36" s="2"/>
      <c r="P36" s="2"/>
      <c r="Q36" s="2"/>
      <c r="R36" s="2"/>
      <c r="S36" s="2"/>
      <c r="T36" s="2"/>
      <c r="U36" s="2"/>
      <c r="V36" s="2"/>
      <c r="W36" s="2"/>
      <c r="X36" s="2"/>
      <c r="Y36" s="90" t="s">
        <v>106</v>
      </c>
      <c r="AO36" s="90" t="s">
        <v>102</v>
      </c>
      <c r="AP36" s="90" t="s">
        <v>106</v>
      </c>
    </row>
    <row r="37" spans="1:42">
      <c r="A37" s="89">
        <v>2</v>
      </c>
      <c r="B37" s="90" t="s">
        <v>107</v>
      </c>
      <c r="C37" s="97">
        <f>标准成本!E6</f>
        <v>49.545132743362842</v>
      </c>
      <c r="D37" s="97">
        <f>标准成本!E18</f>
        <v>49.545132743362842</v>
      </c>
      <c r="E37" s="97">
        <f>标准成本!E31</f>
        <v>39.463274336283192</v>
      </c>
      <c r="F37" s="97">
        <f>标准成本!E44</f>
        <v>39.463274336283192</v>
      </c>
      <c r="G37" s="97">
        <f>标准成本!E57</f>
        <v>15.170796460176993</v>
      </c>
      <c r="H37" s="97">
        <f>标准成本!E70</f>
        <v>0</v>
      </c>
      <c r="I37" s="97">
        <f>标准成本!E83</f>
        <v>12.482300884955754</v>
      </c>
      <c r="J37" s="97">
        <f>标准成本!E96</f>
        <v>12.482300884955754</v>
      </c>
      <c r="K37" s="97">
        <f>标准成本!E109</f>
        <v>22.276106194690268</v>
      </c>
      <c r="L37" s="97">
        <f>标准成本!E122</f>
        <v>1.3442477876106198</v>
      </c>
      <c r="M37" s="97">
        <f>标准成本!E135</f>
        <v>1.3442477876106198</v>
      </c>
      <c r="N37" s="101"/>
      <c r="O37" s="2"/>
      <c r="P37" s="2"/>
      <c r="Q37" s="2"/>
      <c r="R37" s="2"/>
      <c r="S37" s="2"/>
      <c r="T37" s="2"/>
      <c r="U37" s="2"/>
      <c r="V37" s="2"/>
      <c r="W37" s="2"/>
      <c r="X37" s="2"/>
      <c r="Y37" s="90" t="s">
        <v>107</v>
      </c>
      <c r="AO37" s="90" t="s">
        <v>60</v>
      </c>
      <c r="AP37" s="90" t="s">
        <v>107</v>
      </c>
    </row>
    <row r="38" spans="1:42">
      <c r="A38" s="89">
        <v>3</v>
      </c>
      <c r="B38" s="90" t="s">
        <v>108</v>
      </c>
      <c r="C38" s="97">
        <f>标准成本!E10</f>
        <v>100.46017699115045</v>
      </c>
      <c r="D38" s="97">
        <f>标准成本!E22</f>
        <v>100.46017699115045</v>
      </c>
      <c r="E38" s="97">
        <f>标准成本!E35</f>
        <v>80.017699115044252</v>
      </c>
      <c r="F38" s="97">
        <f>标准成本!E48</f>
        <v>80.017699115044252</v>
      </c>
      <c r="G38" s="97">
        <f>标准成本!E61</f>
        <v>30.761061946902654</v>
      </c>
      <c r="H38" s="97">
        <f>标准成本!E74</f>
        <v>0</v>
      </c>
      <c r="I38" s="97">
        <f>标准成本!E87</f>
        <v>25.309734513274336</v>
      </c>
      <c r="J38" s="97">
        <f>标准成本!E100</f>
        <v>25.309734513274336</v>
      </c>
      <c r="K38" s="97">
        <f>标准成本!E113</f>
        <v>45.168141592920357</v>
      </c>
      <c r="L38" s="97">
        <f>标准成本!E126</f>
        <v>2.7256637168141595</v>
      </c>
      <c r="M38" s="97">
        <f>标准成本!E139</f>
        <v>2.7256637168141595</v>
      </c>
      <c r="N38" s="101"/>
      <c r="O38" s="2"/>
      <c r="P38" s="2"/>
      <c r="Q38" s="2"/>
      <c r="R38" s="2"/>
      <c r="S38" s="2"/>
      <c r="T38" s="2"/>
      <c r="U38" s="2"/>
      <c r="V38" s="2"/>
      <c r="W38" s="2"/>
      <c r="X38" s="2"/>
      <c r="Y38" s="90" t="s">
        <v>108</v>
      </c>
      <c r="AO38" s="90" t="s">
        <v>66</v>
      </c>
      <c r="AP38" s="90" t="s">
        <v>108</v>
      </c>
    </row>
    <row r="39" spans="1:42">
      <c r="A39" s="90" t="s">
        <v>105</v>
      </c>
      <c r="B39" s="94" t="s">
        <v>110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Y39" s="94" t="s">
        <v>110</v>
      </c>
      <c r="AO39" s="90" t="s">
        <v>109</v>
      </c>
      <c r="AP39" s="94" t="s">
        <v>110</v>
      </c>
    </row>
    <row r="40" spans="1:42">
      <c r="A40" s="89">
        <v>1</v>
      </c>
      <c r="B40" s="90" t="s">
        <v>112</v>
      </c>
      <c r="C40" s="98">
        <f>C34-C36-C37-C38</f>
        <v>345.76548308283839</v>
      </c>
      <c r="D40" s="98">
        <f t="shared" ref="D40:G40" si="25">D34-D36-D37-D38</f>
        <v>359.14886784474163</v>
      </c>
      <c r="E40" s="98">
        <f t="shared" si="25"/>
        <v>300.31091245770534</v>
      </c>
      <c r="F40" s="98">
        <f t="shared" si="25"/>
        <v>313.6942972196054</v>
      </c>
      <c r="G40" s="98">
        <f t="shared" si="25"/>
        <v>2.8079081868357996</v>
      </c>
      <c r="H40" s="98">
        <f t="shared" ref="H40:M40" si="26">H34-H36-H37-H38</f>
        <v>0</v>
      </c>
      <c r="I40" s="98">
        <f t="shared" si="26"/>
        <v>22.441841804380445</v>
      </c>
      <c r="J40" s="98">
        <f t="shared" si="26"/>
        <v>27.5703503753519</v>
      </c>
      <c r="K40" s="98">
        <f t="shared" si="26"/>
        <v>48.298232170980704</v>
      </c>
      <c r="L40" s="98">
        <f t="shared" si="26"/>
        <v>14.106378217446276</v>
      </c>
      <c r="M40" s="98">
        <f t="shared" si="26"/>
        <v>14.106378217446276</v>
      </c>
      <c r="N40" s="98"/>
      <c r="Y40" s="90" t="s">
        <v>112</v>
      </c>
      <c r="AO40" s="90" t="s">
        <v>55</v>
      </c>
      <c r="AP40" s="90" t="s">
        <v>112</v>
      </c>
    </row>
    <row r="41" spans="1:42">
      <c r="A41" s="89">
        <v>2</v>
      </c>
      <c r="B41" s="90" t="s">
        <v>113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Y41" s="90" t="s">
        <v>113</v>
      </c>
      <c r="AO41" s="90" t="s">
        <v>57</v>
      </c>
      <c r="AP41" s="90" t="s">
        <v>113</v>
      </c>
    </row>
    <row r="42" spans="1:42">
      <c r="A42" s="90" t="s">
        <v>109</v>
      </c>
      <c r="B42" s="94" t="s">
        <v>115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Y42" s="94" t="s">
        <v>115</v>
      </c>
      <c r="AO42" s="90" t="s">
        <v>114</v>
      </c>
      <c r="AP42" s="94" t="s">
        <v>115</v>
      </c>
    </row>
    <row r="43" spans="1:42">
      <c r="A43" s="89">
        <v>1</v>
      </c>
      <c r="B43" s="99" t="s">
        <v>116</v>
      </c>
      <c r="C43" s="97">
        <f>标准成本!E5</f>
        <v>93.61061946902656</v>
      </c>
      <c r="D43" s="97">
        <f>标准成本!E17</f>
        <v>93.61061946902656</v>
      </c>
      <c r="E43" s="97">
        <f>标准成本!E30</f>
        <v>74.561946902654881</v>
      </c>
      <c r="F43" s="97">
        <f>标准成本!E43</f>
        <v>74.561946902654881</v>
      </c>
      <c r="G43" s="97">
        <f>标准成本!E56</f>
        <v>28.663716814159294</v>
      </c>
      <c r="H43" s="97">
        <f>标准成本!E69</f>
        <v>0</v>
      </c>
      <c r="I43" s="97">
        <f>标准成本!E82</f>
        <v>23.584070796460178</v>
      </c>
      <c r="J43" s="97">
        <f>标准成本!E95</f>
        <v>23.584070796460178</v>
      </c>
      <c r="K43" s="97">
        <f>标准成本!E108</f>
        <v>42.088495575221245</v>
      </c>
      <c r="L43" s="97">
        <f>标准成本!E121</f>
        <v>2.5398230088495581</v>
      </c>
      <c r="M43" s="97">
        <f>标准成本!E134</f>
        <v>2.5398230088495581</v>
      </c>
      <c r="N43" s="98"/>
      <c r="Y43" s="90" t="s">
        <v>116</v>
      </c>
      <c r="AO43" s="90" t="s">
        <v>55</v>
      </c>
      <c r="AP43" s="90" t="s">
        <v>116</v>
      </c>
    </row>
    <row r="44" spans="1:42">
      <c r="A44" s="89">
        <v>2</v>
      </c>
      <c r="B44" s="99" t="s">
        <v>117</v>
      </c>
      <c r="C44" s="97">
        <f>标准成本!E9</f>
        <v>15.982300884955755</v>
      </c>
      <c r="D44" s="97">
        <f>标准成本!E21</f>
        <v>15.982300884955755</v>
      </c>
      <c r="E44" s="97">
        <f>标准成本!E34</f>
        <v>12.730088495575222</v>
      </c>
      <c r="F44" s="97">
        <f>标准成本!E47</f>
        <v>12.730088495575222</v>
      </c>
      <c r="G44" s="97">
        <f>标准成本!E60</f>
        <v>4.893805309734514</v>
      </c>
      <c r="H44" s="97">
        <f>标准成本!E73</f>
        <v>0</v>
      </c>
      <c r="I44" s="97">
        <f>标准成本!E86</f>
        <v>4.0265486725663724</v>
      </c>
      <c r="J44" s="97">
        <f>标准成本!E99</f>
        <v>4.0265486725663724</v>
      </c>
      <c r="K44" s="97">
        <f>标准成本!E112</f>
        <v>7.1858407079646032</v>
      </c>
      <c r="L44" s="97">
        <f>标准成本!E125</f>
        <v>0.43362831858407086</v>
      </c>
      <c r="M44" s="97">
        <f>标准成本!E138</f>
        <v>0.43362831858407086</v>
      </c>
      <c r="N44" s="98"/>
      <c r="Y44" s="90" t="s">
        <v>117</v>
      </c>
      <c r="AO44" s="90" t="s">
        <v>57</v>
      </c>
      <c r="AP44" s="90" t="s">
        <v>117</v>
      </c>
    </row>
    <row r="45" spans="1:42">
      <c r="A45" s="89">
        <v>3</v>
      </c>
      <c r="B45" s="99" t="s">
        <v>118</v>
      </c>
      <c r="C45" s="97">
        <f>标准成本!E8</f>
        <v>77.628318584070811</v>
      </c>
      <c r="D45" s="97">
        <f>标准成本!E20</f>
        <v>77.628318584070811</v>
      </c>
      <c r="E45" s="97">
        <f>标准成本!E33</f>
        <v>61.831858407079658</v>
      </c>
      <c r="F45" s="97">
        <f>标准成本!E46</f>
        <v>61.831858407079658</v>
      </c>
      <c r="G45" s="97">
        <f>标准成本!E59</f>
        <v>23.76991150442478</v>
      </c>
      <c r="H45" s="97">
        <f>标准成本!E72</f>
        <v>0</v>
      </c>
      <c r="I45" s="97">
        <f>标准成本!E85</f>
        <v>19.557522123893808</v>
      </c>
      <c r="J45" s="97">
        <f>标准成本!E98</f>
        <v>19.557522123893808</v>
      </c>
      <c r="K45" s="97">
        <f>标准成本!E111</f>
        <v>34.902654867256643</v>
      </c>
      <c r="L45" s="97">
        <f>标准成本!E124</f>
        <v>2.1061946902654873</v>
      </c>
      <c r="M45" s="97">
        <f>标准成本!E137</f>
        <v>2.1061946902654873</v>
      </c>
      <c r="N45" s="98"/>
      <c r="Y45" s="90" t="s">
        <v>118</v>
      </c>
      <c r="AO45" s="90" t="s">
        <v>102</v>
      </c>
      <c r="AP45" s="90" t="s">
        <v>118</v>
      </c>
    </row>
    <row r="46" spans="1:42" s="86" customFormat="1">
      <c r="A46" s="89">
        <v>4</v>
      </c>
      <c r="B46" s="99" t="s">
        <v>119</v>
      </c>
      <c r="C46" s="103">
        <f>C21/C6</f>
        <v>22.50332383665717</v>
      </c>
      <c r="D46" s="103">
        <f>D21/D6</f>
        <v>22.50332383665717</v>
      </c>
      <c r="E46" s="103">
        <f>E21/E6</f>
        <v>22.50332383665717</v>
      </c>
      <c r="F46" s="103">
        <f>F21/F6</f>
        <v>22.50332383665717</v>
      </c>
      <c r="G46" s="103">
        <f>G21/G6</f>
        <v>22.50332383665717</v>
      </c>
      <c r="H46" s="103" t="e">
        <f t="shared" ref="H46:M46" si="27">H21/H6</f>
        <v>#DIV/0!</v>
      </c>
      <c r="I46" s="103">
        <f t="shared" si="27"/>
        <v>22.50332383665717</v>
      </c>
      <c r="J46" s="103">
        <f t="shared" si="27"/>
        <v>22.50332383665717</v>
      </c>
      <c r="K46" s="103">
        <f t="shared" si="27"/>
        <v>22.50332383665717</v>
      </c>
      <c r="L46" s="103">
        <f t="shared" si="27"/>
        <v>22.50332383665717</v>
      </c>
      <c r="M46" s="103">
        <f t="shared" si="27"/>
        <v>22.50332383665717</v>
      </c>
      <c r="N46" s="103"/>
      <c r="Y46" s="99" t="s">
        <v>121</v>
      </c>
      <c r="AO46" s="99" t="s">
        <v>63</v>
      </c>
      <c r="AP46" s="99" t="s">
        <v>121</v>
      </c>
    </row>
    <row r="47" spans="1:42" s="86" customFormat="1">
      <c r="A47" s="89">
        <v>5</v>
      </c>
      <c r="B47" s="99" t="s">
        <v>121</v>
      </c>
      <c r="C47" s="103">
        <f>标准成本!E11</f>
        <v>68.495575221238937</v>
      </c>
      <c r="D47" s="103">
        <f>标准成本!E23</f>
        <v>68.495575221238937</v>
      </c>
      <c r="E47" s="103">
        <f>标准成本!E36</f>
        <v>54.557522123893804</v>
      </c>
      <c r="F47" s="103">
        <f>标准成本!E49</f>
        <v>54.557522123893804</v>
      </c>
      <c r="G47" s="103">
        <f>标准成本!E62</f>
        <v>20.973451327433629</v>
      </c>
      <c r="H47" s="103">
        <f>标准成本!E75</f>
        <v>0</v>
      </c>
      <c r="I47" s="103">
        <f>标准成本!E88</f>
        <v>17.256637168141594</v>
      </c>
      <c r="J47" s="103">
        <f>标准成本!E101</f>
        <v>17.256637168141594</v>
      </c>
      <c r="K47" s="103">
        <f>标准成本!E114</f>
        <v>30.796460176991154</v>
      </c>
      <c r="L47" s="103">
        <f>标准成本!E127</f>
        <v>1.8584070796460179</v>
      </c>
      <c r="M47" s="103">
        <f>标准成本!E140</f>
        <v>1.8584070796460179</v>
      </c>
      <c r="N47" s="103"/>
      <c r="Y47" s="99" t="s">
        <v>121</v>
      </c>
      <c r="AO47" s="99" t="s">
        <v>63</v>
      </c>
      <c r="AP47" s="99" t="s">
        <v>121</v>
      </c>
    </row>
    <row r="48" spans="1:42">
      <c r="A48" s="90" t="s">
        <v>114</v>
      </c>
      <c r="B48" s="94" t="s">
        <v>132</v>
      </c>
      <c r="C48" s="98">
        <f>C40-C43-C44-C45-C47-C46</f>
        <v>67.545345086889128</v>
      </c>
      <c r="D48" s="98">
        <f>D40-D43-D44-D45-D47-D46</f>
        <v>80.928729848792372</v>
      </c>
      <c r="E48" s="98">
        <f t="shared" ref="E48:M48" si="28">E40-E43-E44-E45-E47-E46</f>
        <v>74.126172691844602</v>
      </c>
      <c r="F48" s="98">
        <f t="shared" si="28"/>
        <v>87.509557453744662</v>
      </c>
      <c r="G48" s="98">
        <f t="shared" si="28"/>
        <v>-97.99630060557358</v>
      </c>
      <c r="H48" s="98" t="e">
        <f t="shared" si="28"/>
        <v>#DIV/0!</v>
      </c>
      <c r="I48" s="98">
        <f t="shared" si="28"/>
        <v>-64.486260793338673</v>
      </c>
      <c r="J48" s="98">
        <f t="shared" si="28"/>
        <v>-59.357752222367225</v>
      </c>
      <c r="K48" s="98">
        <f t="shared" si="28"/>
        <v>-89.178542993110113</v>
      </c>
      <c r="L48" s="98">
        <f t="shared" si="28"/>
        <v>-15.334998716556029</v>
      </c>
      <c r="M48" s="98">
        <f t="shared" si="28"/>
        <v>-15.334998716556029</v>
      </c>
      <c r="N48" s="98"/>
      <c r="Y48" s="94" t="s">
        <v>132</v>
      </c>
      <c r="AO48" s="90" t="s">
        <v>131</v>
      </c>
      <c r="AP48" s="94" t="s">
        <v>132</v>
      </c>
    </row>
    <row r="51" spans="2:19"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4" spans="2:19">
      <c r="B54" s="2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2"/>
      <c r="P54" s="2"/>
      <c r="Q54" s="2"/>
      <c r="R54" s="2"/>
      <c r="S54" s="2"/>
    </row>
    <row r="55" spans="2:19">
      <c r="B55" s="2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2"/>
      <c r="P55" s="2"/>
      <c r="Q55" s="2"/>
      <c r="R55" s="2"/>
      <c r="S55" s="2"/>
    </row>
    <row r="56" spans="2:19">
      <c r="B56" s="2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2"/>
      <c r="P56" s="2"/>
      <c r="Q56" s="2"/>
      <c r="R56" s="2"/>
      <c r="S56" s="2"/>
    </row>
    <row r="57" spans="2:19">
      <c r="B57" s="2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2"/>
      <c r="P57" s="2"/>
      <c r="Q57" s="2"/>
      <c r="R57" s="2"/>
      <c r="S57" s="2"/>
    </row>
    <row r="58" spans="2:19">
      <c r="B58" s="2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2"/>
      <c r="P58" s="2"/>
      <c r="Q58" s="2"/>
      <c r="R58" s="2"/>
      <c r="S58" s="2"/>
    </row>
    <row r="59" spans="2:19">
      <c r="B59" s="2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2"/>
      <c r="P59" s="2"/>
      <c r="Q59" s="2"/>
      <c r="R59" s="2"/>
      <c r="S59" s="2"/>
    </row>
    <row r="60" spans="2:19">
      <c r="B60" s="2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2"/>
      <c r="P60" s="2"/>
      <c r="Q60" s="2"/>
      <c r="R60" s="2"/>
      <c r="S60" s="2"/>
    </row>
    <row r="61" spans="2:19">
      <c r="B61" s="2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2"/>
      <c r="P61" s="2"/>
      <c r="Q61" s="2"/>
      <c r="R61" s="2"/>
      <c r="S61" s="2"/>
    </row>
    <row r="62" spans="2:19">
      <c r="B62" s="2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2"/>
      <c r="P62" s="2"/>
      <c r="Q62" s="2"/>
      <c r="R62" s="2"/>
      <c r="S62" s="2"/>
    </row>
    <row r="63" spans="2:19">
      <c r="B63" s="2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2"/>
      <c r="P63" s="2"/>
      <c r="Q63" s="2"/>
      <c r="R63" s="2"/>
      <c r="S63" s="2"/>
    </row>
    <row r="64" spans="2:19">
      <c r="B64" s="2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2"/>
      <c r="P64" s="2"/>
      <c r="Q64" s="2"/>
      <c r="R64" s="2"/>
      <c r="S64" s="2"/>
    </row>
    <row r="65" spans="2:19">
      <c r="B65" s="2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2"/>
      <c r="P65" s="2"/>
      <c r="Q65" s="2"/>
      <c r="R65" s="2"/>
      <c r="S65" s="2"/>
    </row>
    <row r="66" spans="2:19">
      <c r="B66" s="2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2"/>
      <c r="P66" s="2"/>
      <c r="Q66" s="2"/>
      <c r="R66" s="2"/>
      <c r="S66" s="2"/>
    </row>
    <row r="67" spans="2:19">
      <c r="B67" s="2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2"/>
    </row>
    <row r="68" spans="2:19">
      <c r="B68" s="2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2"/>
    </row>
    <row r="69" spans="2:19">
      <c r="B69" s="2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2"/>
    </row>
    <row r="70" spans="2:19">
      <c r="B70" s="2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2"/>
    </row>
    <row r="71" spans="2:19">
      <c r="B71" s="2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2"/>
    </row>
    <row r="72" spans="2:19">
      <c r="B72" s="2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2"/>
    </row>
    <row r="73" spans="2:19">
      <c r="B73" s="2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2"/>
    </row>
    <row r="74" spans="2:19">
      <c r="B74" s="2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  <ignoredErrors>
    <ignoredError sqref="N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0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87" customWidth="1"/>
    <col min="2" max="2" width="17.5" style="87" customWidth="1"/>
    <col min="3" max="3" width="15.5" style="88" bestFit="1" customWidth="1"/>
    <col min="4" max="7" width="12" style="88" customWidth="1"/>
    <col min="8" max="8" width="7.5" style="88" customWidth="1"/>
    <col min="9" max="13" width="12" style="88" customWidth="1"/>
    <col min="14" max="14" width="18.75" style="88" customWidth="1"/>
    <col min="15" max="15" width="12.375" style="87" customWidth="1"/>
    <col min="16" max="16" width="10.125" style="87" customWidth="1"/>
    <col min="17" max="23" width="9" style="87" customWidth="1"/>
    <col min="24" max="40" width="9" style="87"/>
    <col min="41" max="41" width="4.375" style="87" customWidth="1"/>
    <col min="42" max="42" width="13.875" style="87" customWidth="1"/>
    <col min="43" max="16384" width="9" style="87"/>
  </cols>
  <sheetData>
    <row r="1" spans="1:43">
      <c r="A1" s="202" t="s">
        <v>142</v>
      </c>
      <c r="B1" s="202"/>
      <c r="C1" s="206" t="s">
        <v>173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2" spans="1:43">
      <c r="A2" s="202" t="s">
        <v>144</v>
      </c>
      <c r="B2" s="202"/>
      <c r="C2" s="209" t="s">
        <v>145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43" ht="33">
      <c r="A3" s="202" t="s">
        <v>146</v>
      </c>
      <c r="B3" s="202"/>
      <c r="C3" s="14" t="s">
        <v>147</v>
      </c>
      <c r="D3" s="14" t="s">
        <v>147</v>
      </c>
      <c r="E3" s="14" t="s">
        <v>147</v>
      </c>
      <c r="F3" s="14" t="s">
        <v>147</v>
      </c>
      <c r="G3" s="14" t="s">
        <v>148</v>
      </c>
      <c r="H3" s="14" t="s">
        <v>148</v>
      </c>
      <c r="I3" s="14" t="s">
        <v>148</v>
      </c>
      <c r="J3" s="14" t="s">
        <v>148</v>
      </c>
      <c r="K3" s="14" t="s">
        <v>148</v>
      </c>
      <c r="L3" s="14" t="s">
        <v>149</v>
      </c>
      <c r="M3" s="14" t="s">
        <v>149</v>
      </c>
      <c r="N3" s="203" t="s">
        <v>51</v>
      </c>
    </row>
    <row r="4" spans="1:43" ht="49.5">
      <c r="A4" s="202" t="s">
        <v>150</v>
      </c>
      <c r="B4" s="202"/>
      <c r="C4" s="14" t="s">
        <v>151</v>
      </c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204"/>
    </row>
    <row r="5" spans="1:43">
      <c r="A5" s="202" t="s">
        <v>162</v>
      </c>
      <c r="B5" s="202"/>
      <c r="C5" s="48" t="s">
        <v>163</v>
      </c>
      <c r="D5" s="48" t="s">
        <v>163</v>
      </c>
      <c r="E5" s="16" t="s">
        <v>164</v>
      </c>
      <c r="F5" s="16" t="s">
        <v>164</v>
      </c>
      <c r="G5" s="48" t="s">
        <v>163</v>
      </c>
      <c r="H5" s="48" t="s">
        <v>163</v>
      </c>
      <c r="I5" s="16" t="s">
        <v>164</v>
      </c>
      <c r="J5" s="16" t="s">
        <v>164</v>
      </c>
      <c r="K5" s="16" t="s">
        <v>165</v>
      </c>
      <c r="L5" s="16" t="s">
        <v>166</v>
      </c>
      <c r="M5" s="16" t="s">
        <v>166</v>
      </c>
      <c r="N5" s="205"/>
      <c r="AQ5" s="87" t="s">
        <v>52</v>
      </c>
    </row>
    <row r="6" spans="1:43" ht="17.25">
      <c r="A6" s="90" t="s">
        <v>17</v>
      </c>
      <c r="B6" s="91" t="s">
        <v>167</v>
      </c>
      <c r="C6" s="92">
        <f>销量!C10</f>
        <v>10000</v>
      </c>
      <c r="D6" s="92">
        <f>销量!D10</f>
        <v>5000</v>
      </c>
      <c r="E6" s="92">
        <f>销量!E10</f>
        <v>10000</v>
      </c>
      <c r="F6" s="92">
        <f>销量!F10</f>
        <v>5000</v>
      </c>
      <c r="G6" s="92">
        <f>销量!G10</f>
        <v>10000</v>
      </c>
      <c r="H6" s="92">
        <f>销量!H10</f>
        <v>0</v>
      </c>
      <c r="I6" s="92">
        <f>销量!I10</f>
        <v>10000</v>
      </c>
      <c r="J6" s="92">
        <f>销量!J10</f>
        <v>5000</v>
      </c>
      <c r="K6" s="92">
        <f>销量!K10</f>
        <v>500</v>
      </c>
      <c r="L6" s="92">
        <f>销量!L10</f>
        <v>20000</v>
      </c>
      <c r="M6" s="92">
        <f>销量!M10</f>
        <v>10000</v>
      </c>
      <c r="N6" s="93">
        <f t="shared" ref="N6:N15" si="0">+SUM(C6:M6)</f>
        <v>85500</v>
      </c>
      <c r="Y6" s="91" t="s">
        <v>3</v>
      </c>
      <c r="AO6" s="90" t="s">
        <v>17</v>
      </c>
      <c r="AP6" s="91" t="s">
        <v>3</v>
      </c>
      <c r="AQ6" s="87" t="s">
        <v>53</v>
      </c>
    </row>
    <row r="7" spans="1:43">
      <c r="A7" s="89">
        <v>1</v>
      </c>
      <c r="B7" s="91" t="s">
        <v>54</v>
      </c>
      <c r="C7" s="93">
        <f>C6*销量!C8</f>
        <v>22831858.407079648</v>
      </c>
      <c r="D7" s="93">
        <f>D6*销量!D8</f>
        <v>11415929.203539824</v>
      </c>
      <c r="E7" s="93">
        <f>E6*销量!E8</f>
        <v>18185840.707964603</v>
      </c>
      <c r="F7" s="93">
        <f>F6*销量!F8</f>
        <v>9092920.3539823014</v>
      </c>
      <c r="G7" s="93">
        <f>G6*销量!G8</f>
        <v>6991150.4424778763</v>
      </c>
      <c r="H7" s="93">
        <f>H6*销量!H8</f>
        <v>0</v>
      </c>
      <c r="I7" s="93">
        <f>I6*销量!I8</f>
        <v>5752212.3893805314</v>
      </c>
      <c r="J7" s="93">
        <f>J6*销量!J8</f>
        <v>2876106.1946902657</v>
      </c>
      <c r="K7" s="93">
        <f>K6*销量!K8</f>
        <v>513274.33628318593</v>
      </c>
      <c r="L7" s="93">
        <f>L6*销量!L8</f>
        <v>1238938.0530973454</v>
      </c>
      <c r="M7" s="93">
        <f>M6*销量!M8</f>
        <v>619469.0265486727</v>
      </c>
      <c r="N7" s="93">
        <f t="shared" si="0"/>
        <v>79517699.115044266</v>
      </c>
      <c r="O7" s="88"/>
      <c r="Y7" s="91" t="s">
        <v>54</v>
      </c>
      <c r="AO7" s="90" t="s">
        <v>55</v>
      </c>
      <c r="AP7" s="91" t="s">
        <v>54</v>
      </c>
      <c r="AQ7" s="87" t="s">
        <v>53</v>
      </c>
    </row>
    <row r="8" spans="1:43">
      <c r="A8" s="89">
        <v>2</v>
      </c>
      <c r="B8" s="89" t="s">
        <v>56</v>
      </c>
      <c r="C8" s="93">
        <f>C7*(1-销量!$Q$7)</f>
        <v>1141592.9203539835</v>
      </c>
      <c r="D8" s="93">
        <f>D7*(1-销量!$Q$7)</f>
        <v>570796.46017699176</v>
      </c>
      <c r="E8" s="93">
        <f>E7*(1-销量!$Q$7)</f>
        <v>909292.035398231</v>
      </c>
      <c r="F8" s="93">
        <f>F7*(1-销量!$Q$7)</f>
        <v>454646.0176991155</v>
      </c>
      <c r="G8" s="93">
        <f>G7*(1-销量!$Q$7)</f>
        <v>349557.52212389413</v>
      </c>
      <c r="H8" s="93">
        <f>H7*(1-销量!$Q$7)</f>
        <v>0</v>
      </c>
      <c r="I8" s="93">
        <f>I7*(1-销量!$Q$7)</f>
        <v>287610.6194690268</v>
      </c>
      <c r="J8" s="93">
        <f>J7*(1-销量!$Q$7)</f>
        <v>143805.3097345134</v>
      </c>
      <c r="K8" s="93">
        <f>K7*(1-销量!$Q$7)</f>
        <v>25663.716814159317</v>
      </c>
      <c r="L8" s="93">
        <f>L7*(1-销量!$Q$7)</f>
        <v>61946.902654867328</v>
      </c>
      <c r="M8" s="93">
        <f>M7*(1-销量!$Q$7)</f>
        <v>30973.451327433664</v>
      </c>
      <c r="N8" s="93">
        <f t="shared" si="0"/>
        <v>3975884.9557522163</v>
      </c>
      <c r="O8" s="106"/>
      <c r="Y8" s="89" t="s">
        <v>58</v>
      </c>
      <c r="AO8" s="90" t="s">
        <v>57</v>
      </c>
      <c r="AP8" s="89" t="s">
        <v>58</v>
      </c>
      <c r="AQ8" s="87" t="s">
        <v>53</v>
      </c>
    </row>
    <row r="9" spans="1:43">
      <c r="A9" s="89">
        <v>3</v>
      </c>
      <c r="B9" s="91" t="s">
        <v>59</v>
      </c>
      <c r="C9" s="93">
        <f t="shared" ref="C9:M9" si="1">+C7-C8</f>
        <v>21690265.486725666</v>
      </c>
      <c r="D9" s="93">
        <f t="shared" si="1"/>
        <v>10845132.743362833</v>
      </c>
      <c r="E9" s="93">
        <f t="shared" si="1"/>
        <v>17276548.672566373</v>
      </c>
      <c r="F9" s="93">
        <f t="shared" si="1"/>
        <v>8638274.3362831865</v>
      </c>
      <c r="G9" s="93">
        <f t="shared" si="1"/>
        <v>6641592.9203539826</v>
      </c>
      <c r="H9" s="93">
        <f t="shared" si="1"/>
        <v>0</v>
      </c>
      <c r="I9" s="93">
        <f t="shared" si="1"/>
        <v>5464601.7699115044</v>
      </c>
      <c r="J9" s="93">
        <f t="shared" si="1"/>
        <v>2732300.8849557522</v>
      </c>
      <c r="K9" s="93">
        <f t="shared" si="1"/>
        <v>487610.61946902663</v>
      </c>
      <c r="L9" s="93">
        <f t="shared" si="1"/>
        <v>1176991.150442478</v>
      </c>
      <c r="M9" s="93">
        <f t="shared" si="1"/>
        <v>588495.57522123901</v>
      </c>
      <c r="N9" s="93">
        <f t="shared" si="0"/>
        <v>75541814.159292042</v>
      </c>
      <c r="Y9" s="91" t="s">
        <v>59</v>
      </c>
      <c r="AO9" s="90" t="s">
        <v>60</v>
      </c>
      <c r="AP9" s="91" t="s">
        <v>59</v>
      </c>
      <c r="AQ9" s="87" t="s">
        <v>61</v>
      </c>
    </row>
    <row r="10" spans="1:43">
      <c r="A10" s="89">
        <v>4</v>
      </c>
      <c r="B10" s="90" t="s">
        <v>62</v>
      </c>
      <c r="C10" s="93">
        <f t="shared" ref="C10:M10" si="2">C6*C33</f>
        <v>16045592.512482949</v>
      </c>
      <c r="D10" s="93">
        <f t="shared" si="2"/>
        <v>7959225.1786224339</v>
      </c>
      <c r="E10" s="93">
        <f t="shared" si="2"/>
        <v>12543906.508642949</v>
      </c>
      <c r="F10" s="93">
        <f t="shared" si="2"/>
        <v>6208382.1767024491</v>
      </c>
      <c r="G10" s="93">
        <f t="shared" si="2"/>
        <v>5892312.4828445297</v>
      </c>
      <c r="H10" s="93">
        <f t="shared" si="2"/>
        <v>0</v>
      </c>
      <c r="I10" s="93">
        <f t="shared" si="2"/>
        <v>4656855.6002035188</v>
      </c>
      <c r="J10" s="93">
        <f t="shared" si="2"/>
        <v>2304067.384389645</v>
      </c>
      <c r="K10" s="93">
        <f t="shared" si="2"/>
        <v>411616.92378958064</v>
      </c>
      <c r="L10" s="93">
        <f t="shared" si="2"/>
        <v>780913.32714285713</v>
      </c>
      <c r="M10" s="93">
        <f t="shared" si="2"/>
        <v>390456.66357142857</v>
      </c>
      <c r="N10" s="93">
        <f t="shared" si="0"/>
        <v>57193328.758392349</v>
      </c>
      <c r="Y10" s="90" t="s">
        <v>62</v>
      </c>
      <c r="AO10" s="90" t="s">
        <v>63</v>
      </c>
      <c r="AP10" s="90" t="s">
        <v>62</v>
      </c>
      <c r="AQ10" s="87" t="s">
        <v>64</v>
      </c>
    </row>
    <row r="11" spans="1:43">
      <c r="A11" s="89">
        <v>5</v>
      </c>
      <c r="B11" s="90" t="s">
        <v>65</v>
      </c>
      <c r="C11" s="93">
        <f t="shared" ref="C11:M11" si="3">+C6*C36</f>
        <v>984053.09734513285</v>
      </c>
      <c r="D11" s="93">
        <f t="shared" si="3"/>
        <v>492026.54867256642</v>
      </c>
      <c r="E11" s="93">
        <f t="shared" si="3"/>
        <v>783809.73451327439</v>
      </c>
      <c r="F11" s="93">
        <f t="shared" si="3"/>
        <v>391904.8672566372</v>
      </c>
      <c r="G11" s="93">
        <f t="shared" si="3"/>
        <v>301318.5840707965</v>
      </c>
      <c r="H11" s="93">
        <f t="shared" si="3"/>
        <v>0</v>
      </c>
      <c r="I11" s="93">
        <f t="shared" si="3"/>
        <v>247920.35398230091</v>
      </c>
      <c r="J11" s="93">
        <f t="shared" si="3"/>
        <v>123960.17699115045</v>
      </c>
      <c r="K11" s="93">
        <f t="shared" si="3"/>
        <v>22122.123893805314</v>
      </c>
      <c r="L11" s="93">
        <f t="shared" si="3"/>
        <v>53398.230088495584</v>
      </c>
      <c r="M11" s="93">
        <f t="shared" si="3"/>
        <v>26699.115044247792</v>
      </c>
      <c r="N11" s="93">
        <f t="shared" si="0"/>
        <v>3427212.8318584077</v>
      </c>
      <c r="Y11" s="90" t="s">
        <v>65</v>
      </c>
      <c r="AO11" s="90" t="s">
        <v>66</v>
      </c>
      <c r="AP11" s="90" t="s">
        <v>65</v>
      </c>
    </row>
    <row r="12" spans="1:43">
      <c r="A12" s="89">
        <v>6</v>
      </c>
      <c r="B12" s="90" t="s">
        <v>67</v>
      </c>
      <c r="C12" s="93">
        <f t="shared" ref="C12:M12" si="4">+C6*C37</f>
        <v>495451.32743362844</v>
      </c>
      <c r="D12" s="93">
        <f t="shared" si="4"/>
        <v>247725.66371681422</v>
      </c>
      <c r="E12" s="93">
        <f t="shared" si="4"/>
        <v>394632.74336283194</v>
      </c>
      <c r="F12" s="93">
        <f t="shared" si="4"/>
        <v>197316.37168141597</v>
      </c>
      <c r="G12" s="93">
        <f t="shared" si="4"/>
        <v>151707.96460176993</v>
      </c>
      <c r="H12" s="93">
        <f t="shared" si="4"/>
        <v>0</v>
      </c>
      <c r="I12" s="93">
        <f t="shared" si="4"/>
        <v>124823.00884955753</v>
      </c>
      <c r="J12" s="93">
        <f t="shared" si="4"/>
        <v>62411.504424778766</v>
      </c>
      <c r="K12" s="93">
        <f t="shared" si="4"/>
        <v>11138.053097345133</v>
      </c>
      <c r="L12" s="93">
        <f t="shared" si="4"/>
        <v>26884.955752212398</v>
      </c>
      <c r="M12" s="93">
        <f t="shared" si="4"/>
        <v>13442.477876106199</v>
      </c>
      <c r="N12" s="93">
        <f t="shared" si="0"/>
        <v>1725534.0707964604</v>
      </c>
      <c r="Y12" s="90" t="s">
        <v>67</v>
      </c>
      <c r="AO12" s="90" t="s">
        <v>68</v>
      </c>
      <c r="AP12" s="90" t="s">
        <v>67</v>
      </c>
    </row>
    <row r="13" spans="1:43">
      <c r="A13" s="89">
        <v>7</v>
      </c>
      <c r="B13" s="90" t="s">
        <v>69</v>
      </c>
      <c r="C13" s="93">
        <f t="shared" ref="C13:M13" si="5">+C6*C38</f>
        <v>1004601.7699115045</v>
      </c>
      <c r="D13" s="93">
        <f t="shared" si="5"/>
        <v>502300.88495575223</v>
      </c>
      <c r="E13" s="93">
        <f t="shared" si="5"/>
        <v>800176.99115044251</v>
      </c>
      <c r="F13" s="93">
        <f t="shared" si="5"/>
        <v>400088.49557522126</v>
      </c>
      <c r="G13" s="93">
        <f t="shared" si="5"/>
        <v>307610.61946902651</v>
      </c>
      <c r="H13" s="93">
        <f t="shared" si="5"/>
        <v>0</v>
      </c>
      <c r="I13" s="93">
        <f t="shared" si="5"/>
        <v>253097.34513274336</v>
      </c>
      <c r="J13" s="93">
        <f t="shared" si="5"/>
        <v>126548.67256637168</v>
      </c>
      <c r="K13" s="93">
        <f t="shared" si="5"/>
        <v>22584.070796460179</v>
      </c>
      <c r="L13" s="93">
        <f t="shared" si="5"/>
        <v>54513.27433628319</v>
      </c>
      <c r="M13" s="93">
        <f t="shared" si="5"/>
        <v>27256.637168141595</v>
      </c>
      <c r="N13" s="93">
        <f t="shared" si="0"/>
        <v>3498778.7610619473</v>
      </c>
      <c r="Y13" s="90" t="s">
        <v>69</v>
      </c>
      <c r="AO13" s="90" t="s">
        <v>70</v>
      </c>
      <c r="AP13" s="90" t="s">
        <v>69</v>
      </c>
      <c r="AQ13" s="87" t="s">
        <v>53</v>
      </c>
    </row>
    <row r="14" spans="1:43">
      <c r="A14" s="89">
        <v>8</v>
      </c>
      <c r="B14" s="94" t="s">
        <v>71</v>
      </c>
      <c r="C14" s="93">
        <f t="shared" ref="C14:M14" si="6">SUM(C11:C13)</f>
        <v>2484106.1946902657</v>
      </c>
      <c r="D14" s="93">
        <f t="shared" si="6"/>
        <v>1242053.0973451328</v>
      </c>
      <c r="E14" s="93">
        <f t="shared" si="6"/>
        <v>1978619.4690265488</v>
      </c>
      <c r="F14" s="93">
        <f t="shared" si="6"/>
        <v>989309.73451327439</v>
      </c>
      <c r="G14" s="93">
        <f t="shared" si="6"/>
        <v>760637.16814159299</v>
      </c>
      <c r="H14" s="93">
        <f t="shared" si="6"/>
        <v>0</v>
      </c>
      <c r="I14" s="93">
        <f t="shared" si="6"/>
        <v>625840.70796460181</v>
      </c>
      <c r="J14" s="93">
        <f t="shared" si="6"/>
        <v>312920.35398230091</v>
      </c>
      <c r="K14" s="93">
        <f t="shared" si="6"/>
        <v>55844.247787610628</v>
      </c>
      <c r="L14" s="93">
        <f t="shared" si="6"/>
        <v>134796.46017699118</v>
      </c>
      <c r="M14" s="93">
        <f t="shared" si="6"/>
        <v>67398.230088495591</v>
      </c>
      <c r="N14" s="93">
        <f t="shared" si="0"/>
        <v>8651525.6637168135</v>
      </c>
      <c r="Y14" s="94" t="s">
        <v>71</v>
      </c>
      <c r="AO14" s="90" t="s">
        <v>72</v>
      </c>
      <c r="AP14" s="94" t="s">
        <v>71</v>
      </c>
    </row>
    <row r="15" spans="1:43">
      <c r="A15" s="89">
        <v>9</v>
      </c>
      <c r="B15" s="94" t="s">
        <v>73</v>
      </c>
      <c r="C15" s="93">
        <f>+C9-C10-C14</f>
        <v>3160566.7795524513</v>
      </c>
      <c r="D15" s="93">
        <f t="shared" ref="D15:M15" si="7">+D9-D10-D14</f>
        <v>1643854.4673952661</v>
      </c>
      <c r="E15" s="93">
        <f t="shared" si="7"/>
        <v>2754022.6948968749</v>
      </c>
      <c r="F15" s="93">
        <f t="shared" si="7"/>
        <v>1440582.425067463</v>
      </c>
      <c r="G15" s="93">
        <f t="shared" si="7"/>
        <v>-11356.730632140068</v>
      </c>
      <c r="H15" s="93">
        <f t="shared" si="7"/>
        <v>0</v>
      </c>
      <c r="I15" s="93">
        <f t="shared" si="7"/>
        <v>181905.46174338378</v>
      </c>
      <c r="J15" s="93">
        <f t="shared" si="7"/>
        <v>115313.14658380632</v>
      </c>
      <c r="K15" s="93">
        <f t="shared" si="7"/>
        <v>20149.447891835356</v>
      </c>
      <c r="L15" s="93">
        <f t="shared" si="7"/>
        <v>261281.3631226297</v>
      </c>
      <c r="M15" s="93">
        <f t="shared" si="7"/>
        <v>130640.68156131485</v>
      </c>
      <c r="N15" s="93">
        <f t="shared" si="0"/>
        <v>9696959.7371828873</v>
      </c>
      <c r="Y15" s="94" t="s">
        <v>73</v>
      </c>
      <c r="AO15" s="90" t="s">
        <v>74</v>
      </c>
      <c r="AP15" s="94" t="s">
        <v>73</v>
      </c>
    </row>
    <row r="16" spans="1:43">
      <c r="A16" s="89">
        <v>10</v>
      </c>
      <c r="B16" s="90" t="s">
        <v>75</v>
      </c>
      <c r="C16" s="95">
        <f>+C15/C9</f>
        <v>0.14571360509564543</v>
      </c>
      <c r="D16" s="95">
        <f t="shared" ref="D16:N16" si="8">+D15/D9</f>
        <v>0.15157532012702166</v>
      </c>
      <c r="E16" s="95">
        <f t="shared" si="8"/>
        <v>0.15940815188799942</v>
      </c>
      <c r="F16" s="95">
        <f t="shared" si="8"/>
        <v>0.16676738535804667</v>
      </c>
      <c r="G16" s="95">
        <f t="shared" si="8"/>
        <v>-1.7099407880504032E-3</v>
      </c>
      <c r="H16" s="95" t="e">
        <f t="shared" si="8"/>
        <v>#DIV/0!</v>
      </c>
      <c r="I16" s="95">
        <f t="shared" si="8"/>
        <v>3.3287963039679951E-2</v>
      </c>
      <c r="J16" s="95">
        <f t="shared" si="8"/>
        <v>4.2203677939984176E-2</v>
      </c>
      <c r="K16" s="95">
        <f t="shared" si="8"/>
        <v>4.1322824170188656E-2</v>
      </c>
      <c r="L16" s="95">
        <f t="shared" si="8"/>
        <v>0.22199093257787333</v>
      </c>
      <c r="M16" s="95">
        <f t="shared" si="8"/>
        <v>0.22199093257787333</v>
      </c>
      <c r="N16" s="95">
        <f t="shared" si="8"/>
        <v>0.12836546017726408</v>
      </c>
      <c r="Y16" s="90" t="s">
        <v>75</v>
      </c>
      <c r="AO16" s="90" t="s">
        <v>76</v>
      </c>
      <c r="AP16" s="90" t="s">
        <v>75</v>
      </c>
    </row>
    <row r="17" spans="1:43">
      <c r="A17" s="89">
        <v>11</v>
      </c>
      <c r="B17" s="90" t="s">
        <v>77</v>
      </c>
      <c r="C17" s="93">
        <f t="shared" ref="C17:M17" si="9">C6*C43+C18</f>
        <v>1150765.4539495248</v>
      </c>
      <c r="D17" s="93">
        <f t="shared" si="9"/>
        <v>575382.72697476239</v>
      </c>
      <c r="E17" s="93">
        <f t="shared" si="9"/>
        <v>960278.728285808</v>
      </c>
      <c r="F17" s="93">
        <f t="shared" si="9"/>
        <v>480139.364142904</v>
      </c>
      <c r="G17" s="93">
        <f t="shared" si="9"/>
        <v>501296.4274008522</v>
      </c>
      <c r="H17" s="93">
        <f t="shared" si="9"/>
        <v>0</v>
      </c>
      <c r="I17" s="93">
        <f t="shared" si="9"/>
        <v>450499.96722386102</v>
      </c>
      <c r="J17" s="93">
        <f t="shared" si="9"/>
        <v>225249.98361193051</v>
      </c>
      <c r="K17" s="93">
        <f t="shared" si="9"/>
        <v>31777.210750573584</v>
      </c>
      <c r="L17" s="93">
        <f t="shared" si="9"/>
        <v>480114.97869550966</v>
      </c>
      <c r="M17" s="93">
        <f t="shared" si="9"/>
        <v>240057.48934775483</v>
      </c>
      <c r="N17" s="93">
        <f t="shared" ref="N17:N20" si="10">+SUM(C17:M17)</f>
        <v>5095562.3303834805</v>
      </c>
      <c r="O17" s="106"/>
      <c r="Y17" s="90" t="s">
        <v>77</v>
      </c>
      <c r="AO17" s="90" t="s">
        <v>78</v>
      </c>
      <c r="AP17" s="90" t="s">
        <v>77</v>
      </c>
    </row>
    <row r="18" spans="1:43" s="85" customFormat="1">
      <c r="A18" s="89">
        <v>12</v>
      </c>
      <c r="B18" s="96" t="s">
        <v>168</v>
      </c>
      <c r="C18" s="97">
        <f t="shared" ref="C18:M18" si="11">$N$18/$N$6*C6</f>
        <v>214659.25925925924</v>
      </c>
      <c r="D18" s="97">
        <f t="shared" si="11"/>
        <v>107329.62962962962</v>
      </c>
      <c r="E18" s="97">
        <f t="shared" si="11"/>
        <v>214659.25925925924</v>
      </c>
      <c r="F18" s="97">
        <f t="shared" si="11"/>
        <v>107329.62962962962</v>
      </c>
      <c r="G18" s="97">
        <f t="shared" si="11"/>
        <v>214659.25925925924</v>
      </c>
      <c r="H18" s="97">
        <f t="shared" si="11"/>
        <v>0</v>
      </c>
      <c r="I18" s="97">
        <f t="shared" si="11"/>
        <v>214659.25925925924</v>
      </c>
      <c r="J18" s="97">
        <f t="shared" si="11"/>
        <v>107329.62962962962</v>
      </c>
      <c r="K18" s="97">
        <f t="shared" si="11"/>
        <v>10732.962962962962</v>
      </c>
      <c r="L18" s="97">
        <f t="shared" si="11"/>
        <v>429318.51851851848</v>
      </c>
      <c r="M18" s="97">
        <f t="shared" si="11"/>
        <v>214659.25925925924</v>
      </c>
      <c r="N18" s="93">
        <f>项目投资!E26</f>
        <v>1835336.6666666663</v>
      </c>
      <c r="O18" s="108" t="s">
        <v>169</v>
      </c>
      <c r="P18" s="108"/>
      <c r="Q18" s="108"/>
    </row>
    <row r="19" spans="1:43">
      <c r="A19" s="89">
        <v>13</v>
      </c>
      <c r="B19" s="90" t="s">
        <v>79</v>
      </c>
      <c r="C19" s="93">
        <f t="shared" ref="C19:M19" si="12">C6*C44</f>
        <v>159823.00884955755</v>
      </c>
      <c r="D19" s="93">
        <f t="shared" si="12"/>
        <v>79911.504424778774</v>
      </c>
      <c r="E19" s="93">
        <f t="shared" si="12"/>
        <v>127300.88495575222</v>
      </c>
      <c r="F19" s="93">
        <f t="shared" si="12"/>
        <v>63650.442477876109</v>
      </c>
      <c r="G19" s="93">
        <f t="shared" si="12"/>
        <v>48938.053097345139</v>
      </c>
      <c r="H19" s="93">
        <f t="shared" si="12"/>
        <v>0</v>
      </c>
      <c r="I19" s="93">
        <f t="shared" si="12"/>
        <v>40265.486725663723</v>
      </c>
      <c r="J19" s="93">
        <f t="shared" si="12"/>
        <v>20132.743362831861</v>
      </c>
      <c r="K19" s="93">
        <f t="shared" si="12"/>
        <v>3592.9203539823015</v>
      </c>
      <c r="L19" s="93">
        <f t="shared" si="12"/>
        <v>8672.5663716814179</v>
      </c>
      <c r="M19" s="93">
        <f t="shared" si="12"/>
        <v>4336.2831858407089</v>
      </c>
      <c r="N19" s="93">
        <f t="shared" si="10"/>
        <v>556623.89380530966</v>
      </c>
      <c r="O19" s="85"/>
      <c r="Y19" s="90" t="s">
        <v>79</v>
      </c>
      <c r="AO19" s="90" t="s">
        <v>80</v>
      </c>
      <c r="AP19" s="90" t="s">
        <v>79</v>
      </c>
      <c r="AQ19" s="87" t="s">
        <v>53</v>
      </c>
    </row>
    <row r="20" spans="1:43">
      <c r="A20" s="89">
        <v>14</v>
      </c>
      <c r="B20" s="90" t="s">
        <v>81</v>
      </c>
      <c r="C20" s="93">
        <f t="shared" ref="C20:M20" si="13">C6*C45</f>
        <v>776283.18584070809</v>
      </c>
      <c r="D20" s="93">
        <f t="shared" si="13"/>
        <v>388141.59292035404</v>
      </c>
      <c r="E20" s="93">
        <f t="shared" si="13"/>
        <v>618318.58407079661</v>
      </c>
      <c r="F20" s="93">
        <f t="shared" si="13"/>
        <v>309159.29203539831</v>
      </c>
      <c r="G20" s="93">
        <f t="shared" si="13"/>
        <v>237699.1150442478</v>
      </c>
      <c r="H20" s="93">
        <f t="shared" si="13"/>
        <v>0</v>
      </c>
      <c r="I20" s="93">
        <f t="shared" si="13"/>
        <v>195575.22123893807</v>
      </c>
      <c r="J20" s="93">
        <f t="shared" si="13"/>
        <v>97787.610619469036</v>
      </c>
      <c r="K20" s="93">
        <f t="shared" si="13"/>
        <v>17451.327433628321</v>
      </c>
      <c r="L20" s="93">
        <f t="shared" si="13"/>
        <v>42123.893805309744</v>
      </c>
      <c r="M20" s="93">
        <f t="shared" si="13"/>
        <v>21061.946902654872</v>
      </c>
      <c r="N20" s="93">
        <f t="shared" si="10"/>
        <v>2703601.7699115053</v>
      </c>
      <c r="Y20" s="90" t="s">
        <v>81</v>
      </c>
      <c r="AO20" s="90" t="s">
        <v>82</v>
      </c>
      <c r="AP20" s="90" t="s">
        <v>81</v>
      </c>
    </row>
    <row r="21" spans="1:43">
      <c r="A21" s="89">
        <v>15</v>
      </c>
      <c r="B21" s="90" t="s">
        <v>83</v>
      </c>
      <c r="C21" s="98">
        <f>$N$21/$N$6*C6</f>
        <v>46191.033138401559</v>
      </c>
      <c r="D21" s="98">
        <f t="shared" ref="D21:M21" si="14">$N$21/$N$6*D6</f>
        <v>23095.516569200779</v>
      </c>
      <c r="E21" s="98">
        <f t="shared" si="14"/>
        <v>46191.033138401559</v>
      </c>
      <c r="F21" s="98">
        <f t="shared" si="14"/>
        <v>23095.516569200779</v>
      </c>
      <c r="G21" s="98">
        <f t="shared" si="14"/>
        <v>46191.033138401559</v>
      </c>
      <c r="H21" s="98">
        <f t="shared" si="14"/>
        <v>0</v>
      </c>
      <c r="I21" s="98">
        <f t="shared" si="14"/>
        <v>46191.033138401559</v>
      </c>
      <c r="J21" s="98">
        <f t="shared" si="14"/>
        <v>23095.516569200779</v>
      </c>
      <c r="K21" s="98">
        <f t="shared" si="14"/>
        <v>2309.5516569200777</v>
      </c>
      <c r="L21" s="98">
        <f t="shared" si="14"/>
        <v>92382.066276803118</v>
      </c>
      <c r="M21" s="98">
        <f t="shared" si="14"/>
        <v>46191.033138401559</v>
      </c>
      <c r="N21" s="93">
        <f>项目投资!E27</f>
        <v>394933.33333333331</v>
      </c>
      <c r="Y21" s="90" t="s">
        <v>83</v>
      </c>
      <c r="AO21" s="90"/>
      <c r="AP21" s="90"/>
    </row>
    <row r="22" spans="1:43">
      <c r="A22" s="89">
        <v>16</v>
      </c>
      <c r="B22" s="90" t="s">
        <v>84</v>
      </c>
      <c r="C22" s="93">
        <f t="shared" ref="C22:M22" si="15">C6*C47</f>
        <v>684955.75221238937</v>
      </c>
      <c r="D22" s="93">
        <f t="shared" si="15"/>
        <v>342477.87610619469</v>
      </c>
      <c r="E22" s="93">
        <f t="shared" si="15"/>
        <v>545575.22123893804</v>
      </c>
      <c r="F22" s="93">
        <f t="shared" si="15"/>
        <v>272787.61061946902</v>
      </c>
      <c r="G22" s="93">
        <f t="shared" si="15"/>
        <v>209734.51327433629</v>
      </c>
      <c r="H22" s="93">
        <f t="shared" si="15"/>
        <v>0</v>
      </c>
      <c r="I22" s="93">
        <f t="shared" si="15"/>
        <v>172566.37168141594</v>
      </c>
      <c r="J22" s="93">
        <f t="shared" si="15"/>
        <v>86283.185840707971</v>
      </c>
      <c r="K22" s="93">
        <f t="shared" si="15"/>
        <v>15398.230088495577</v>
      </c>
      <c r="L22" s="93">
        <f t="shared" si="15"/>
        <v>37168.141592920358</v>
      </c>
      <c r="M22" s="93">
        <f t="shared" si="15"/>
        <v>18584.070796460179</v>
      </c>
      <c r="N22" s="93">
        <f>+SUM(C22:M22)</f>
        <v>2385530.9734513275</v>
      </c>
      <c r="Y22" s="90" t="s">
        <v>84</v>
      </c>
      <c r="AO22" s="90" t="s">
        <v>85</v>
      </c>
      <c r="AP22" s="90" t="s">
        <v>84</v>
      </c>
    </row>
    <row r="23" spans="1:43">
      <c r="A23" s="89">
        <v>17</v>
      </c>
      <c r="B23" s="94" t="s">
        <v>86</v>
      </c>
      <c r="C23" s="98">
        <f t="shared" ref="C23:N23" si="16">+C22+C21+C20+C19+C17</f>
        <v>2818018.433990581</v>
      </c>
      <c r="D23" s="98">
        <f t="shared" si="16"/>
        <v>1409009.2169952905</v>
      </c>
      <c r="E23" s="98">
        <f t="shared" si="16"/>
        <v>2297664.4516896964</v>
      </c>
      <c r="F23" s="98">
        <f t="shared" si="16"/>
        <v>1148832.2258448482</v>
      </c>
      <c r="G23" s="98">
        <f t="shared" si="16"/>
        <v>1043859.141955183</v>
      </c>
      <c r="H23" s="98">
        <f t="shared" si="16"/>
        <v>0</v>
      </c>
      <c r="I23" s="98">
        <f t="shared" si="16"/>
        <v>905098.08000828023</v>
      </c>
      <c r="J23" s="98">
        <f t="shared" si="16"/>
        <v>452549.04000414012</v>
      </c>
      <c r="K23" s="98">
        <f t="shared" si="16"/>
        <v>70529.240283599851</v>
      </c>
      <c r="L23" s="98">
        <f t="shared" si="16"/>
        <v>660461.64674222434</v>
      </c>
      <c r="M23" s="98">
        <f t="shared" si="16"/>
        <v>330230.82337111217</v>
      </c>
      <c r="N23" s="98">
        <f t="shared" si="16"/>
        <v>11136252.300884958</v>
      </c>
      <c r="Y23" s="94" t="s">
        <v>86</v>
      </c>
      <c r="AO23" s="90" t="s">
        <v>87</v>
      </c>
      <c r="AP23" s="94" t="s">
        <v>86</v>
      </c>
    </row>
    <row r="24" spans="1:43">
      <c r="A24" s="89">
        <v>18</v>
      </c>
      <c r="B24" s="99" t="s">
        <v>88</v>
      </c>
      <c r="C24" s="98">
        <f t="shared" ref="C24:N24" si="17">+C15-C23</f>
        <v>342548.34556187037</v>
      </c>
      <c r="D24" s="98">
        <f t="shared" si="17"/>
        <v>234845.25039997557</v>
      </c>
      <c r="E24" s="98">
        <f t="shared" si="17"/>
        <v>456358.24320717854</v>
      </c>
      <c r="F24" s="98">
        <f t="shared" si="17"/>
        <v>291750.19922261476</v>
      </c>
      <c r="G24" s="98">
        <f t="shared" si="17"/>
        <v>-1055215.8725873232</v>
      </c>
      <c r="H24" s="98">
        <f t="shared" si="17"/>
        <v>0</v>
      </c>
      <c r="I24" s="98">
        <f t="shared" si="17"/>
        <v>-723192.61826489645</v>
      </c>
      <c r="J24" s="98">
        <f t="shared" si="17"/>
        <v>-337235.8934203338</v>
      </c>
      <c r="K24" s="98">
        <f t="shared" si="17"/>
        <v>-50379.792391764495</v>
      </c>
      <c r="L24" s="98">
        <f t="shared" si="17"/>
        <v>-399180.28361959464</v>
      </c>
      <c r="M24" s="98">
        <f t="shared" si="17"/>
        <v>-199590.14180979732</v>
      </c>
      <c r="N24" s="98">
        <f t="shared" si="17"/>
        <v>-1439292.5637020711</v>
      </c>
      <c r="P24" s="109"/>
      <c r="Y24" s="90" t="s">
        <v>88</v>
      </c>
      <c r="AO24" s="90" t="s">
        <v>89</v>
      </c>
      <c r="AP24" s="90" t="s">
        <v>88</v>
      </c>
    </row>
    <row r="25" spans="1:43">
      <c r="A25" s="89">
        <v>19</v>
      </c>
      <c r="B25" s="90" t="s">
        <v>170</v>
      </c>
      <c r="C25" s="98"/>
      <c r="D25" s="98"/>
      <c r="E25" s="98"/>
      <c r="F25" s="98"/>
      <c r="G25" s="98">
        <f t="shared" ref="C25:N25" si="18">IF(G24&lt;0,0,G24*0.25)</f>
        <v>0</v>
      </c>
      <c r="H25" s="98">
        <f t="shared" si="18"/>
        <v>0</v>
      </c>
      <c r="I25" s="98">
        <f t="shared" si="18"/>
        <v>0</v>
      </c>
      <c r="J25" s="98">
        <f t="shared" si="18"/>
        <v>0</v>
      </c>
      <c r="K25" s="98">
        <f t="shared" si="18"/>
        <v>0</v>
      </c>
      <c r="L25" s="98">
        <f t="shared" si="18"/>
        <v>0</v>
      </c>
      <c r="M25" s="98">
        <f t="shared" si="18"/>
        <v>0</v>
      </c>
      <c r="N25" s="98">
        <f t="shared" si="18"/>
        <v>0</v>
      </c>
      <c r="O25" s="2"/>
      <c r="P25" s="2"/>
      <c r="Q25" s="2"/>
      <c r="Y25" s="90" t="s">
        <v>34</v>
      </c>
      <c r="AO25" s="90" t="s">
        <v>90</v>
      </c>
      <c r="AP25" s="90" t="s">
        <v>34</v>
      </c>
    </row>
    <row r="26" spans="1:43">
      <c r="A26" s="89">
        <v>20</v>
      </c>
      <c r="B26" s="90" t="s">
        <v>91</v>
      </c>
      <c r="C26" s="98">
        <f t="shared" ref="C26:M26" si="19">C24-C25</f>
        <v>342548.34556187037</v>
      </c>
      <c r="D26" s="98">
        <f t="shared" si="19"/>
        <v>234845.25039997557</v>
      </c>
      <c r="E26" s="98">
        <f t="shared" si="19"/>
        <v>456358.24320717854</v>
      </c>
      <c r="F26" s="98">
        <f t="shared" si="19"/>
        <v>291750.19922261476</v>
      </c>
      <c r="G26" s="98">
        <f t="shared" si="19"/>
        <v>-1055215.8725873232</v>
      </c>
      <c r="H26" s="98">
        <f t="shared" si="19"/>
        <v>0</v>
      </c>
      <c r="I26" s="98">
        <f t="shared" si="19"/>
        <v>-723192.61826489645</v>
      </c>
      <c r="J26" s="98">
        <f t="shared" si="19"/>
        <v>-337235.8934203338</v>
      </c>
      <c r="K26" s="98">
        <f t="shared" si="19"/>
        <v>-50379.792391764495</v>
      </c>
      <c r="L26" s="98">
        <f t="shared" si="19"/>
        <v>-399180.28361959464</v>
      </c>
      <c r="M26" s="98">
        <f t="shared" si="19"/>
        <v>-199590.14180979732</v>
      </c>
      <c r="N26" s="93">
        <f>+SUM(C26:M26)</f>
        <v>-1439292.5637020706</v>
      </c>
      <c r="O26" s="2"/>
      <c r="P26" s="2"/>
      <c r="Q26" s="2"/>
      <c r="Y26" s="90" t="s">
        <v>91</v>
      </c>
      <c r="AO26" s="90" t="s">
        <v>92</v>
      </c>
      <c r="AP26" s="90" t="s">
        <v>91</v>
      </c>
    </row>
    <row r="27" spans="1:43">
      <c r="A27" s="89">
        <v>21</v>
      </c>
      <c r="B27" s="90" t="s">
        <v>95</v>
      </c>
      <c r="C27" s="100">
        <f t="shared" ref="C27:N27" si="20">C26/C7</f>
        <v>1.5003086452903623E-2</v>
      </c>
      <c r="D27" s="100">
        <f t="shared" si="20"/>
        <v>2.0571715732711035E-2</v>
      </c>
      <c r="E27" s="100">
        <f t="shared" si="20"/>
        <v>2.5094151572949475E-2</v>
      </c>
      <c r="F27" s="100">
        <f t="shared" si="20"/>
        <v>3.2085423369494367E-2</v>
      </c>
      <c r="G27" s="100">
        <f t="shared" si="20"/>
        <v>-0.15093594126881965</v>
      </c>
      <c r="H27" s="100" t="e">
        <f t="shared" si="20"/>
        <v>#DIV/0!</v>
      </c>
      <c r="I27" s="100">
        <f t="shared" si="20"/>
        <v>-0.12572425517528199</v>
      </c>
      <c r="J27" s="100">
        <f t="shared" si="20"/>
        <v>-0.11725432601999297</v>
      </c>
      <c r="K27" s="100">
        <f t="shared" si="20"/>
        <v>-9.8153733452920458E-2</v>
      </c>
      <c r="L27" s="100">
        <f t="shared" si="20"/>
        <v>-0.32219551463581558</v>
      </c>
      <c r="M27" s="100">
        <f t="shared" si="20"/>
        <v>-0.32219551463581558</v>
      </c>
      <c r="N27" s="110">
        <f t="shared" si="20"/>
        <v>-1.8100279305362409E-2</v>
      </c>
      <c r="O27" s="2"/>
      <c r="P27" s="2"/>
      <c r="Q27" s="2"/>
      <c r="Y27" s="90" t="s">
        <v>95</v>
      </c>
      <c r="AO27" s="90" t="s">
        <v>94</v>
      </c>
      <c r="AP27" s="90" t="s">
        <v>95</v>
      </c>
    </row>
    <row r="28" spans="1:43">
      <c r="O28" s="2"/>
      <c r="P28" s="2"/>
      <c r="Q28" s="2"/>
      <c r="Y28" s="90"/>
    </row>
    <row r="29" spans="1:43">
      <c r="A29" s="87" t="s">
        <v>96</v>
      </c>
      <c r="N29" s="88" t="s">
        <v>171</v>
      </c>
      <c r="O29" s="2"/>
      <c r="P29" s="2"/>
      <c r="Q29" s="2"/>
      <c r="Y29" s="90"/>
      <c r="AO29" s="87" t="s">
        <v>96</v>
      </c>
    </row>
    <row r="30" spans="1:43">
      <c r="A30" s="90" t="s">
        <v>97</v>
      </c>
      <c r="B30" s="94" t="s">
        <v>98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2"/>
      <c r="P30" s="2"/>
      <c r="Q30" s="2"/>
      <c r="S30" s="2"/>
      <c r="Y30" s="94" t="s">
        <v>98</v>
      </c>
      <c r="AO30" s="90" t="s">
        <v>99</v>
      </c>
      <c r="AP30" s="94" t="s">
        <v>98</v>
      </c>
    </row>
    <row r="31" spans="1:43">
      <c r="A31" s="89">
        <v>1</v>
      </c>
      <c r="B31" s="96" t="s">
        <v>100</v>
      </c>
      <c r="C31" s="101">
        <f>销量!C8</f>
        <v>2283.1858407079649</v>
      </c>
      <c r="D31" s="101">
        <f>销量!D8</f>
        <v>2283.1858407079649</v>
      </c>
      <c r="E31" s="101">
        <f>销量!E8</f>
        <v>1818.5840707964603</v>
      </c>
      <c r="F31" s="101">
        <f>销量!F8</f>
        <v>1818.5840707964603</v>
      </c>
      <c r="G31" s="101">
        <f>销量!G8</f>
        <v>699.11504424778764</v>
      </c>
      <c r="H31" s="101">
        <f>销量!H8</f>
        <v>0</v>
      </c>
      <c r="I31" s="101">
        <f>销量!I8</f>
        <v>575.22123893805315</v>
      </c>
      <c r="J31" s="101">
        <f>销量!J8</f>
        <v>575.22123893805315</v>
      </c>
      <c r="K31" s="101">
        <f>销量!K8</f>
        <v>1026.5486725663718</v>
      </c>
      <c r="L31" s="101">
        <f>销量!L8</f>
        <v>61.946902654867266</v>
      </c>
      <c r="M31" s="101">
        <f>销量!M8</f>
        <v>61.946902654867266</v>
      </c>
      <c r="N31" s="98"/>
      <c r="O31" s="2"/>
      <c r="P31" s="2"/>
      <c r="Q31" s="2"/>
      <c r="S31" s="2"/>
      <c r="Y31" s="90" t="s">
        <v>100</v>
      </c>
      <c r="AO31" s="90" t="s">
        <v>55</v>
      </c>
      <c r="AP31" s="90" t="s">
        <v>100</v>
      </c>
    </row>
    <row r="32" spans="1:43">
      <c r="A32" s="89">
        <v>2</v>
      </c>
      <c r="B32" s="90" t="s">
        <v>172</v>
      </c>
      <c r="C32" s="93">
        <f t="shared" ref="C32:M32" si="21">C31*1</f>
        <v>2283.1858407079649</v>
      </c>
      <c r="D32" s="93">
        <f t="shared" si="21"/>
        <v>2283.1858407079649</v>
      </c>
      <c r="E32" s="93">
        <f t="shared" si="21"/>
        <v>1818.5840707964603</v>
      </c>
      <c r="F32" s="93">
        <f t="shared" si="21"/>
        <v>1818.5840707964603</v>
      </c>
      <c r="G32" s="93">
        <f t="shared" si="21"/>
        <v>699.11504424778764</v>
      </c>
      <c r="H32" s="93">
        <f t="shared" si="21"/>
        <v>0</v>
      </c>
      <c r="I32" s="93">
        <f t="shared" si="21"/>
        <v>575.22123893805315</v>
      </c>
      <c r="J32" s="93">
        <f t="shared" si="21"/>
        <v>575.22123893805315</v>
      </c>
      <c r="K32" s="93">
        <f t="shared" si="21"/>
        <v>1026.5486725663718</v>
      </c>
      <c r="L32" s="93">
        <f t="shared" si="21"/>
        <v>61.946902654867266</v>
      </c>
      <c r="M32" s="93">
        <f t="shared" si="21"/>
        <v>61.946902654867266</v>
      </c>
      <c r="N32" s="98"/>
      <c r="O32" s="2"/>
      <c r="P32" s="2"/>
      <c r="Q32" s="2"/>
      <c r="R32" s="2"/>
      <c r="S32" s="2"/>
      <c r="T32" s="2"/>
      <c r="U32" s="2"/>
      <c r="AO32" s="90"/>
      <c r="AP32" s="90"/>
    </row>
    <row r="33" spans="1:42">
      <c r="A33" s="89">
        <v>3</v>
      </c>
      <c r="B33" s="96" t="s">
        <v>101</v>
      </c>
      <c r="C33" s="93">
        <f>材料成本!D27</f>
        <v>1604.5592512482949</v>
      </c>
      <c r="D33" s="93">
        <f>材料成本!E27</f>
        <v>1591.8450357244867</v>
      </c>
      <c r="E33" s="93">
        <f>材料成本!F27</f>
        <v>1254.3906508642949</v>
      </c>
      <c r="F33" s="93">
        <f>材料成本!G27</f>
        <v>1241.6764353404899</v>
      </c>
      <c r="G33" s="93">
        <f>材料成本!H27</f>
        <v>589.23124828445293</v>
      </c>
      <c r="H33" s="93">
        <f>材料成本!I27</f>
        <v>0</v>
      </c>
      <c r="I33" s="93">
        <f>材料成本!J27</f>
        <v>465.68556002035189</v>
      </c>
      <c r="J33" s="93">
        <f>材料成本!K27</f>
        <v>460.81347687792896</v>
      </c>
      <c r="K33" s="93">
        <f>材料成本!L27</f>
        <v>823.23384757916131</v>
      </c>
      <c r="L33" s="93">
        <f>材料成本!M27</f>
        <v>39.045666357142856</v>
      </c>
      <c r="M33" s="93">
        <f>材料成本!N27</f>
        <v>39.045666357142856</v>
      </c>
      <c r="N33" s="98"/>
      <c r="P33" s="2"/>
      <c r="Q33" s="2"/>
      <c r="R33" s="2"/>
      <c r="S33" s="2"/>
      <c r="T33" s="2"/>
      <c r="U33" s="2"/>
      <c r="Y33" s="90" t="s">
        <v>101</v>
      </c>
      <c r="AO33" s="90" t="s">
        <v>57</v>
      </c>
      <c r="AP33" s="90" t="s">
        <v>101</v>
      </c>
    </row>
    <row r="34" spans="1:42" ht="17.25" customHeight="1">
      <c r="A34" s="89">
        <v>4</v>
      </c>
      <c r="B34" s="90" t="s">
        <v>103</v>
      </c>
      <c r="C34" s="102">
        <f t="shared" ref="C34:M34" si="22">C32-C33</f>
        <v>678.62658945966996</v>
      </c>
      <c r="D34" s="102">
        <f t="shared" si="22"/>
        <v>691.34080498347817</v>
      </c>
      <c r="E34" s="102">
        <f t="shared" si="22"/>
        <v>564.1934199321654</v>
      </c>
      <c r="F34" s="102">
        <f t="shared" si="22"/>
        <v>576.90763545597042</v>
      </c>
      <c r="G34" s="102">
        <f t="shared" si="22"/>
        <v>109.88379596333471</v>
      </c>
      <c r="H34" s="102">
        <f t="shared" si="22"/>
        <v>0</v>
      </c>
      <c r="I34" s="102">
        <f t="shared" si="22"/>
        <v>109.53567891770126</v>
      </c>
      <c r="J34" s="102">
        <f t="shared" si="22"/>
        <v>114.40776206012418</v>
      </c>
      <c r="K34" s="102">
        <f t="shared" si="22"/>
        <v>203.3148249872105</v>
      </c>
      <c r="L34" s="102">
        <f t="shared" si="22"/>
        <v>22.901236297724409</v>
      </c>
      <c r="M34" s="102">
        <f t="shared" si="22"/>
        <v>22.901236297724409</v>
      </c>
      <c r="N34" s="98"/>
      <c r="P34" s="2"/>
      <c r="Q34" s="2"/>
      <c r="R34" s="2"/>
      <c r="S34" s="2"/>
      <c r="T34" s="2"/>
      <c r="U34" s="2"/>
      <c r="Y34" s="90" t="s">
        <v>103</v>
      </c>
      <c r="AO34" s="90" t="s">
        <v>102</v>
      </c>
      <c r="AP34" s="90" t="s">
        <v>103</v>
      </c>
    </row>
    <row r="35" spans="1:42">
      <c r="A35" s="90" t="s">
        <v>99</v>
      </c>
      <c r="B35" s="94" t="s">
        <v>8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2"/>
      <c r="P35" s="2"/>
      <c r="Q35" s="2"/>
      <c r="R35" s="2"/>
      <c r="S35" s="2"/>
      <c r="T35" s="2"/>
      <c r="U35" s="2"/>
      <c r="V35" s="2"/>
      <c r="W35" s="2"/>
      <c r="X35" s="2"/>
      <c r="Y35" s="94" t="s">
        <v>8</v>
      </c>
      <c r="AO35" s="90" t="s">
        <v>105</v>
      </c>
      <c r="AP35" s="94" t="s">
        <v>8</v>
      </c>
    </row>
    <row r="36" spans="1:42">
      <c r="A36" s="89">
        <v>1</v>
      </c>
      <c r="B36" s="90" t="s">
        <v>106</v>
      </c>
      <c r="C36" s="97">
        <f>标准成本!E4</f>
        <v>98.405309734513281</v>
      </c>
      <c r="D36" s="97">
        <f>标准成本!E16</f>
        <v>98.405309734513281</v>
      </c>
      <c r="E36" s="97">
        <f>标准成本!E29</f>
        <v>78.380973451327435</v>
      </c>
      <c r="F36" s="97">
        <f>标准成本!E42</f>
        <v>78.380973451327435</v>
      </c>
      <c r="G36" s="97">
        <f>标准成本!E55</f>
        <v>30.131858407079648</v>
      </c>
      <c r="H36" s="97">
        <f>标准成本!E68</f>
        <v>0</v>
      </c>
      <c r="I36" s="97">
        <f>标准成本!E81</f>
        <v>24.792035398230091</v>
      </c>
      <c r="J36" s="97">
        <f>标准成本!E94</f>
        <v>24.792035398230091</v>
      </c>
      <c r="K36" s="97">
        <f>标准成本!E107</f>
        <v>44.244247787610625</v>
      </c>
      <c r="L36" s="97">
        <f>标准成本!E120</f>
        <v>2.6699115044247792</v>
      </c>
      <c r="M36" s="97">
        <f>标准成本!E133</f>
        <v>2.6699115044247792</v>
      </c>
      <c r="N36" s="101"/>
      <c r="O36" s="2"/>
      <c r="P36" s="2"/>
      <c r="Q36" s="2"/>
      <c r="R36" s="2"/>
      <c r="S36" s="2"/>
      <c r="T36" s="2"/>
      <c r="U36" s="2"/>
      <c r="V36" s="2"/>
      <c r="W36" s="2"/>
      <c r="X36" s="2"/>
      <c r="Y36" s="90" t="s">
        <v>106</v>
      </c>
      <c r="AO36" s="90" t="s">
        <v>102</v>
      </c>
      <c r="AP36" s="90" t="s">
        <v>106</v>
      </c>
    </row>
    <row r="37" spans="1:42">
      <c r="A37" s="89">
        <v>2</v>
      </c>
      <c r="B37" s="90" t="s">
        <v>107</v>
      </c>
      <c r="C37" s="97">
        <f>标准成本!E6</f>
        <v>49.545132743362842</v>
      </c>
      <c r="D37" s="97">
        <f>标准成本!E18</f>
        <v>49.545132743362842</v>
      </c>
      <c r="E37" s="97">
        <f>标准成本!E31</f>
        <v>39.463274336283192</v>
      </c>
      <c r="F37" s="97">
        <f>标准成本!E44</f>
        <v>39.463274336283192</v>
      </c>
      <c r="G37" s="97">
        <f>标准成本!E57</f>
        <v>15.170796460176993</v>
      </c>
      <c r="H37" s="97">
        <f>标准成本!E70</f>
        <v>0</v>
      </c>
      <c r="I37" s="97">
        <f>标准成本!E83</f>
        <v>12.482300884955754</v>
      </c>
      <c r="J37" s="97">
        <f>标准成本!E96</f>
        <v>12.482300884955754</v>
      </c>
      <c r="K37" s="97">
        <f>标准成本!E109</f>
        <v>22.276106194690268</v>
      </c>
      <c r="L37" s="97">
        <f>标准成本!E122</f>
        <v>1.3442477876106198</v>
      </c>
      <c r="M37" s="97">
        <f>标准成本!E135</f>
        <v>1.3442477876106198</v>
      </c>
      <c r="N37" s="101"/>
      <c r="O37" s="2"/>
      <c r="P37" s="2"/>
      <c r="Q37" s="2"/>
      <c r="R37" s="2"/>
      <c r="S37" s="2"/>
      <c r="T37" s="2"/>
      <c r="U37" s="2"/>
      <c r="V37" s="2"/>
      <c r="W37" s="2"/>
      <c r="X37" s="2"/>
      <c r="Y37" s="90" t="s">
        <v>107</v>
      </c>
      <c r="AO37" s="90" t="s">
        <v>60</v>
      </c>
      <c r="AP37" s="90" t="s">
        <v>107</v>
      </c>
    </row>
    <row r="38" spans="1:42">
      <c r="A38" s="89">
        <v>3</v>
      </c>
      <c r="B38" s="90" t="s">
        <v>108</v>
      </c>
      <c r="C38" s="97">
        <f>标准成本!E10</f>
        <v>100.46017699115045</v>
      </c>
      <c r="D38" s="97">
        <f>标准成本!E22</f>
        <v>100.46017699115045</v>
      </c>
      <c r="E38" s="97">
        <f>标准成本!E35</f>
        <v>80.017699115044252</v>
      </c>
      <c r="F38" s="97">
        <f>标准成本!E48</f>
        <v>80.017699115044252</v>
      </c>
      <c r="G38" s="97">
        <f>标准成本!E61</f>
        <v>30.761061946902654</v>
      </c>
      <c r="H38" s="97">
        <f>标准成本!E74</f>
        <v>0</v>
      </c>
      <c r="I38" s="97">
        <f>标准成本!E87</f>
        <v>25.309734513274336</v>
      </c>
      <c r="J38" s="97">
        <f>标准成本!E100</f>
        <v>25.309734513274336</v>
      </c>
      <c r="K38" s="97">
        <f>标准成本!E113</f>
        <v>45.168141592920357</v>
      </c>
      <c r="L38" s="97">
        <f>标准成本!E126</f>
        <v>2.7256637168141595</v>
      </c>
      <c r="M38" s="97">
        <f>标准成本!E139</f>
        <v>2.7256637168141595</v>
      </c>
      <c r="N38" s="101"/>
      <c r="O38" s="2"/>
      <c r="P38" s="2"/>
      <c r="Q38" s="2"/>
      <c r="R38" s="2"/>
      <c r="S38" s="2"/>
      <c r="T38" s="2"/>
      <c r="U38" s="2"/>
      <c r="V38" s="2"/>
      <c r="W38" s="2"/>
      <c r="X38" s="2"/>
      <c r="Y38" s="90" t="s">
        <v>108</v>
      </c>
      <c r="AO38" s="90" t="s">
        <v>66</v>
      </c>
      <c r="AP38" s="90" t="s">
        <v>108</v>
      </c>
    </row>
    <row r="39" spans="1:42">
      <c r="A39" s="90" t="s">
        <v>105</v>
      </c>
      <c r="B39" s="94" t="s">
        <v>110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Y39" s="94" t="s">
        <v>110</v>
      </c>
      <c r="AO39" s="90" t="s">
        <v>109</v>
      </c>
      <c r="AP39" s="94" t="s">
        <v>110</v>
      </c>
    </row>
    <row r="40" spans="1:42">
      <c r="A40" s="89">
        <v>1</v>
      </c>
      <c r="B40" s="90" t="s">
        <v>112</v>
      </c>
      <c r="C40" s="98">
        <f t="shared" ref="C40:M40" si="23">C34-C36-C37-C38</f>
        <v>430.21596999064343</v>
      </c>
      <c r="D40" s="98">
        <f t="shared" si="23"/>
        <v>442.93018551445164</v>
      </c>
      <c r="E40" s="98">
        <f t="shared" si="23"/>
        <v>366.33147302951051</v>
      </c>
      <c r="F40" s="98">
        <f t="shared" si="23"/>
        <v>379.04568855331553</v>
      </c>
      <c r="G40" s="98">
        <f t="shared" si="23"/>
        <v>33.820079149175413</v>
      </c>
      <c r="H40" s="98">
        <f t="shared" si="23"/>
        <v>0</v>
      </c>
      <c r="I40" s="98">
        <f t="shared" si="23"/>
        <v>46.95160812124108</v>
      </c>
      <c r="J40" s="98">
        <f t="shared" si="23"/>
        <v>51.823691263664003</v>
      </c>
      <c r="K40" s="98">
        <f t="shared" si="23"/>
        <v>91.626329411989246</v>
      </c>
      <c r="L40" s="98">
        <f t="shared" si="23"/>
        <v>16.161413288874851</v>
      </c>
      <c r="M40" s="98">
        <f t="shared" si="23"/>
        <v>16.161413288874851</v>
      </c>
      <c r="N40" s="98"/>
      <c r="Y40" s="90" t="s">
        <v>112</v>
      </c>
      <c r="AO40" s="90" t="s">
        <v>55</v>
      </c>
      <c r="AP40" s="90" t="s">
        <v>112</v>
      </c>
    </row>
    <row r="41" spans="1:42">
      <c r="A41" s="89">
        <v>2</v>
      </c>
      <c r="B41" s="90" t="s">
        <v>113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Y41" s="90" t="s">
        <v>113</v>
      </c>
      <c r="AO41" s="90" t="s">
        <v>57</v>
      </c>
      <c r="AP41" s="90" t="s">
        <v>113</v>
      </c>
    </row>
    <row r="42" spans="1:42">
      <c r="A42" s="90" t="s">
        <v>109</v>
      </c>
      <c r="B42" s="94" t="s">
        <v>115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Y42" s="94" t="s">
        <v>115</v>
      </c>
      <c r="AO42" s="90" t="s">
        <v>114</v>
      </c>
      <c r="AP42" s="94" t="s">
        <v>115</v>
      </c>
    </row>
    <row r="43" spans="1:42">
      <c r="A43" s="89">
        <v>1</v>
      </c>
      <c r="B43" s="99" t="s">
        <v>116</v>
      </c>
      <c r="C43" s="97">
        <f>标准成本!E5</f>
        <v>93.61061946902656</v>
      </c>
      <c r="D43" s="97">
        <f>标准成本!E17</f>
        <v>93.61061946902656</v>
      </c>
      <c r="E43" s="97">
        <f>标准成本!E30</f>
        <v>74.561946902654881</v>
      </c>
      <c r="F43" s="97">
        <f>标准成本!E43</f>
        <v>74.561946902654881</v>
      </c>
      <c r="G43" s="97">
        <f>标准成本!E56</f>
        <v>28.663716814159294</v>
      </c>
      <c r="H43" s="97">
        <f>标准成本!E69</f>
        <v>0</v>
      </c>
      <c r="I43" s="97">
        <f>标准成本!E82</f>
        <v>23.584070796460178</v>
      </c>
      <c r="J43" s="97">
        <f>标准成本!E95</f>
        <v>23.584070796460178</v>
      </c>
      <c r="K43" s="97">
        <f>标准成本!E108</f>
        <v>42.088495575221245</v>
      </c>
      <c r="L43" s="97">
        <f>标准成本!E121</f>
        <v>2.5398230088495581</v>
      </c>
      <c r="M43" s="97">
        <f>标准成本!E134</f>
        <v>2.5398230088495581</v>
      </c>
      <c r="N43" s="98"/>
      <c r="Y43" s="90" t="s">
        <v>116</v>
      </c>
      <c r="AO43" s="90" t="s">
        <v>55</v>
      </c>
      <c r="AP43" s="90" t="s">
        <v>116</v>
      </c>
    </row>
    <row r="44" spans="1:42">
      <c r="A44" s="89">
        <v>2</v>
      </c>
      <c r="B44" s="99" t="s">
        <v>117</v>
      </c>
      <c r="C44" s="97">
        <f>标准成本!E9</f>
        <v>15.982300884955755</v>
      </c>
      <c r="D44" s="97">
        <f>标准成本!E21</f>
        <v>15.982300884955755</v>
      </c>
      <c r="E44" s="97">
        <f>标准成本!E34</f>
        <v>12.730088495575222</v>
      </c>
      <c r="F44" s="97">
        <f>标准成本!E47</f>
        <v>12.730088495575222</v>
      </c>
      <c r="G44" s="97">
        <f>标准成本!E60</f>
        <v>4.893805309734514</v>
      </c>
      <c r="H44" s="97">
        <f>标准成本!E73</f>
        <v>0</v>
      </c>
      <c r="I44" s="97">
        <f>标准成本!E86</f>
        <v>4.0265486725663724</v>
      </c>
      <c r="J44" s="97">
        <f>标准成本!E99</f>
        <v>4.0265486725663724</v>
      </c>
      <c r="K44" s="97">
        <f>标准成本!E112</f>
        <v>7.1858407079646032</v>
      </c>
      <c r="L44" s="97">
        <f>标准成本!E125</f>
        <v>0.43362831858407086</v>
      </c>
      <c r="M44" s="97">
        <f>标准成本!E138</f>
        <v>0.43362831858407086</v>
      </c>
      <c r="N44" s="98"/>
      <c r="Y44" s="90" t="s">
        <v>117</v>
      </c>
      <c r="AO44" s="90" t="s">
        <v>57</v>
      </c>
      <c r="AP44" s="90" t="s">
        <v>117</v>
      </c>
    </row>
    <row r="45" spans="1:42">
      <c r="A45" s="89">
        <v>3</v>
      </c>
      <c r="B45" s="99" t="s">
        <v>118</v>
      </c>
      <c r="C45" s="97">
        <f>标准成本!E8</f>
        <v>77.628318584070811</v>
      </c>
      <c r="D45" s="97">
        <f>标准成本!E20</f>
        <v>77.628318584070811</v>
      </c>
      <c r="E45" s="97">
        <f>标准成本!E33</f>
        <v>61.831858407079658</v>
      </c>
      <c r="F45" s="97">
        <f>标准成本!E46</f>
        <v>61.831858407079658</v>
      </c>
      <c r="G45" s="97">
        <f>标准成本!E59</f>
        <v>23.76991150442478</v>
      </c>
      <c r="H45" s="97">
        <f>标准成本!E72</f>
        <v>0</v>
      </c>
      <c r="I45" s="97">
        <f>标准成本!E85</f>
        <v>19.557522123893808</v>
      </c>
      <c r="J45" s="97">
        <f>标准成本!E98</f>
        <v>19.557522123893808</v>
      </c>
      <c r="K45" s="97">
        <f>标准成本!E111</f>
        <v>34.902654867256643</v>
      </c>
      <c r="L45" s="97">
        <f>标准成本!E124</f>
        <v>2.1061946902654873</v>
      </c>
      <c r="M45" s="97">
        <f>标准成本!E137</f>
        <v>2.1061946902654873</v>
      </c>
      <c r="N45" s="98"/>
      <c r="Y45" s="90" t="s">
        <v>118</v>
      </c>
      <c r="AO45" s="90" t="s">
        <v>102</v>
      </c>
      <c r="AP45" s="90" t="s">
        <v>118</v>
      </c>
    </row>
    <row r="46" spans="1:42" s="86" customFormat="1">
      <c r="A46" s="89">
        <v>4</v>
      </c>
      <c r="B46" s="99" t="s">
        <v>119</v>
      </c>
      <c r="C46" s="103">
        <f>C21/C6</f>
        <v>4.6191033138401556</v>
      </c>
      <c r="D46" s="103">
        <f t="shared" ref="D46:M46" si="24">D21/D6</f>
        <v>4.6191033138401556</v>
      </c>
      <c r="E46" s="103">
        <f t="shared" si="24"/>
        <v>4.6191033138401556</v>
      </c>
      <c r="F46" s="103">
        <f t="shared" si="24"/>
        <v>4.6191033138401556</v>
      </c>
      <c r="G46" s="103">
        <f t="shared" si="24"/>
        <v>4.6191033138401556</v>
      </c>
      <c r="H46" s="103" t="e">
        <f t="shared" si="24"/>
        <v>#DIV/0!</v>
      </c>
      <c r="I46" s="103">
        <f t="shared" si="24"/>
        <v>4.6191033138401556</v>
      </c>
      <c r="J46" s="103">
        <f t="shared" si="24"/>
        <v>4.6191033138401556</v>
      </c>
      <c r="K46" s="103">
        <f t="shared" si="24"/>
        <v>4.6191033138401556</v>
      </c>
      <c r="L46" s="103">
        <f t="shared" si="24"/>
        <v>4.6191033138401556</v>
      </c>
      <c r="M46" s="103">
        <f t="shared" si="24"/>
        <v>4.6191033138401556</v>
      </c>
      <c r="N46" s="103"/>
      <c r="Y46" s="99" t="s">
        <v>121</v>
      </c>
      <c r="AO46" s="99" t="s">
        <v>63</v>
      </c>
      <c r="AP46" s="99" t="s">
        <v>121</v>
      </c>
    </row>
    <row r="47" spans="1:42" s="86" customFormat="1">
      <c r="A47" s="89">
        <v>5</v>
      </c>
      <c r="B47" s="99" t="s">
        <v>121</v>
      </c>
      <c r="C47" s="103">
        <f>标准成本!E11</f>
        <v>68.495575221238937</v>
      </c>
      <c r="D47" s="103">
        <f>标准成本!E23</f>
        <v>68.495575221238937</v>
      </c>
      <c r="E47" s="103">
        <f>标准成本!E36</f>
        <v>54.557522123893804</v>
      </c>
      <c r="F47" s="103">
        <f>标准成本!E49</f>
        <v>54.557522123893804</v>
      </c>
      <c r="G47" s="103">
        <f>标准成本!E62</f>
        <v>20.973451327433629</v>
      </c>
      <c r="H47" s="103">
        <f>标准成本!E75</f>
        <v>0</v>
      </c>
      <c r="I47" s="103">
        <f>标准成本!E88</f>
        <v>17.256637168141594</v>
      </c>
      <c r="J47" s="103">
        <f>标准成本!E101</f>
        <v>17.256637168141594</v>
      </c>
      <c r="K47" s="103">
        <f>标准成本!E114</f>
        <v>30.796460176991154</v>
      </c>
      <c r="L47" s="103">
        <f>标准成本!E127</f>
        <v>1.8584070796460179</v>
      </c>
      <c r="M47" s="103">
        <f>标准成本!E140</f>
        <v>1.8584070796460179</v>
      </c>
      <c r="N47" s="103"/>
      <c r="Y47" s="99" t="s">
        <v>121</v>
      </c>
      <c r="AO47" s="99" t="s">
        <v>63</v>
      </c>
      <c r="AP47" s="99" t="s">
        <v>121</v>
      </c>
    </row>
    <row r="48" spans="1:42">
      <c r="A48" s="90" t="s">
        <v>114</v>
      </c>
      <c r="B48" s="94" t="s">
        <v>132</v>
      </c>
      <c r="C48" s="98">
        <f>C40-C43-C44-C45-C47-C46</f>
        <v>169.88005251751119</v>
      </c>
      <c r="D48" s="98">
        <f t="shared" ref="D48:M48" si="25">D40-D43-D44-D45-D47-D46</f>
        <v>182.5942680413194</v>
      </c>
      <c r="E48" s="98">
        <f t="shared" si="25"/>
        <v>158.03095378646677</v>
      </c>
      <c r="F48" s="98">
        <f t="shared" si="25"/>
        <v>170.74516931027179</v>
      </c>
      <c r="G48" s="98">
        <f t="shared" si="25"/>
        <v>-49.09990912041696</v>
      </c>
      <c r="H48" s="98" t="e">
        <f t="shared" si="25"/>
        <v>#DIV/0!</v>
      </c>
      <c r="I48" s="98">
        <f t="shared" si="25"/>
        <v>-22.092273953661032</v>
      </c>
      <c r="J48" s="98">
        <f t="shared" si="25"/>
        <v>-17.220190811238108</v>
      </c>
      <c r="K48" s="98">
        <f t="shared" si="25"/>
        <v>-27.966225229284554</v>
      </c>
      <c r="L48" s="98">
        <f t="shared" si="25"/>
        <v>4.6042568776895605</v>
      </c>
      <c r="M48" s="98">
        <f t="shared" si="25"/>
        <v>4.6042568776895605</v>
      </c>
      <c r="N48" s="98"/>
      <c r="Y48" s="94" t="s">
        <v>132</v>
      </c>
      <c r="AO48" s="90" t="s">
        <v>131</v>
      </c>
      <c r="AP48" s="94" t="s">
        <v>132</v>
      </c>
    </row>
    <row r="51" spans="2:19"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4" spans="2:19">
      <c r="B54" s="2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2"/>
      <c r="P54" s="2"/>
      <c r="Q54" s="2"/>
      <c r="R54" s="2"/>
      <c r="S54" s="2"/>
    </row>
    <row r="55" spans="2:19">
      <c r="B55" s="2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2"/>
      <c r="P55" s="2"/>
      <c r="Q55" s="2"/>
      <c r="R55" s="2"/>
      <c r="S55" s="2"/>
    </row>
    <row r="56" spans="2:19">
      <c r="B56" s="2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2"/>
      <c r="P56" s="2"/>
      <c r="Q56" s="2"/>
      <c r="R56" s="2"/>
      <c r="S56" s="2"/>
    </row>
    <row r="57" spans="2:19">
      <c r="B57" s="2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2"/>
      <c r="P57" s="2"/>
      <c r="Q57" s="2"/>
      <c r="R57" s="2"/>
      <c r="S57" s="2"/>
    </row>
    <row r="58" spans="2:19">
      <c r="B58" s="2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2"/>
      <c r="P58" s="2"/>
      <c r="Q58" s="2"/>
      <c r="R58" s="2"/>
      <c r="S58" s="2"/>
    </row>
    <row r="59" spans="2:19">
      <c r="B59" s="2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2"/>
      <c r="P59" s="2"/>
      <c r="Q59" s="2"/>
      <c r="R59" s="2"/>
      <c r="S59" s="2"/>
    </row>
    <row r="60" spans="2:19">
      <c r="B60" s="2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2"/>
      <c r="P60" s="2"/>
      <c r="Q60" s="2"/>
      <c r="R60" s="2"/>
      <c r="S60" s="2"/>
    </row>
    <row r="61" spans="2:19">
      <c r="B61" s="2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2"/>
      <c r="P61" s="2"/>
      <c r="Q61" s="2"/>
      <c r="R61" s="2"/>
      <c r="S61" s="2"/>
    </row>
    <row r="62" spans="2:19">
      <c r="B62" s="2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2"/>
      <c r="P62" s="2"/>
      <c r="Q62" s="2"/>
      <c r="R62" s="2"/>
      <c r="S62" s="2"/>
    </row>
    <row r="63" spans="2:19">
      <c r="B63" s="2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2"/>
      <c r="P63" s="2"/>
      <c r="Q63" s="2"/>
      <c r="R63" s="2"/>
      <c r="S63" s="2"/>
    </row>
    <row r="64" spans="2:19">
      <c r="B64" s="2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2"/>
      <c r="P64" s="2"/>
      <c r="Q64" s="2"/>
      <c r="R64" s="2"/>
      <c r="S64" s="2"/>
    </row>
    <row r="65" spans="2:19">
      <c r="B65" s="2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2"/>
      <c r="P65" s="2"/>
      <c r="Q65" s="2"/>
      <c r="R65" s="2"/>
      <c r="S65" s="2"/>
    </row>
    <row r="66" spans="2:19">
      <c r="B66" s="2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2"/>
      <c r="P66" s="2"/>
      <c r="Q66" s="2"/>
      <c r="R66" s="2"/>
      <c r="S66" s="2"/>
    </row>
    <row r="67" spans="2:19">
      <c r="B67" s="2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2"/>
    </row>
    <row r="68" spans="2:19">
      <c r="B68" s="2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2"/>
    </row>
    <row r="69" spans="2:19">
      <c r="B69" s="2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2"/>
    </row>
    <row r="70" spans="2:19">
      <c r="B70" s="2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2"/>
    </row>
    <row r="71" spans="2:19">
      <c r="B71" s="2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2"/>
    </row>
    <row r="72" spans="2:19">
      <c r="B72" s="2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2"/>
    </row>
    <row r="73" spans="2:19">
      <c r="B73" s="2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2"/>
    </row>
    <row r="74" spans="2:19">
      <c r="B74" s="2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0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87" customWidth="1"/>
    <col min="2" max="2" width="17.5" style="87" customWidth="1"/>
    <col min="3" max="13" width="11.75" style="88" customWidth="1"/>
    <col min="14" max="14" width="18.75" style="88" customWidth="1"/>
    <col min="15" max="15" width="12.375" style="87" customWidth="1"/>
    <col min="16" max="16" width="10.125" style="87" customWidth="1"/>
    <col min="17" max="23" width="9" style="87" customWidth="1"/>
    <col min="24" max="40" width="9" style="87"/>
    <col min="41" max="41" width="4.375" style="87" customWidth="1"/>
    <col min="42" max="42" width="13.875" style="87" customWidth="1"/>
    <col min="43" max="16384" width="9" style="87"/>
  </cols>
  <sheetData>
    <row r="1" spans="1:43">
      <c r="A1" s="202" t="s">
        <v>142</v>
      </c>
      <c r="B1" s="202"/>
      <c r="C1" s="206" t="s">
        <v>174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2" spans="1:43">
      <c r="A2" s="202" t="s">
        <v>144</v>
      </c>
      <c r="B2" s="202"/>
      <c r="C2" s="209" t="s">
        <v>145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43" ht="33">
      <c r="A3" s="202" t="s">
        <v>146</v>
      </c>
      <c r="B3" s="202"/>
      <c r="C3" s="14" t="s">
        <v>147</v>
      </c>
      <c r="D3" s="14" t="s">
        <v>147</v>
      </c>
      <c r="E3" s="14" t="s">
        <v>147</v>
      </c>
      <c r="F3" s="14" t="s">
        <v>147</v>
      </c>
      <c r="G3" s="14" t="s">
        <v>148</v>
      </c>
      <c r="H3" s="14" t="s">
        <v>148</v>
      </c>
      <c r="I3" s="14" t="s">
        <v>148</v>
      </c>
      <c r="J3" s="14" t="s">
        <v>148</v>
      </c>
      <c r="K3" s="14" t="s">
        <v>148</v>
      </c>
      <c r="L3" s="14" t="s">
        <v>149</v>
      </c>
      <c r="M3" s="14" t="s">
        <v>149</v>
      </c>
      <c r="N3" s="203" t="s">
        <v>51</v>
      </c>
    </row>
    <row r="4" spans="1:43" ht="33">
      <c r="A4" s="202" t="s">
        <v>150</v>
      </c>
      <c r="B4" s="202"/>
      <c r="C4" s="14" t="s">
        <v>151</v>
      </c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204"/>
    </row>
    <row r="5" spans="1:43">
      <c r="A5" s="202" t="s">
        <v>162</v>
      </c>
      <c r="B5" s="202"/>
      <c r="C5" s="48" t="s">
        <v>163</v>
      </c>
      <c r="D5" s="48" t="s">
        <v>163</v>
      </c>
      <c r="E5" s="16" t="s">
        <v>164</v>
      </c>
      <c r="F5" s="16" t="s">
        <v>164</v>
      </c>
      <c r="G5" s="48" t="s">
        <v>163</v>
      </c>
      <c r="H5" s="48" t="s">
        <v>163</v>
      </c>
      <c r="I5" s="16" t="s">
        <v>164</v>
      </c>
      <c r="J5" s="16" t="s">
        <v>164</v>
      </c>
      <c r="K5" s="16" t="s">
        <v>165</v>
      </c>
      <c r="L5" s="16" t="s">
        <v>166</v>
      </c>
      <c r="M5" s="16" t="s">
        <v>166</v>
      </c>
      <c r="N5" s="205"/>
      <c r="AQ5" s="87" t="s">
        <v>52</v>
      </c>
    </row>
    <row r="6" spans="1:43" ht="17.25">
      <c r="A6" s="90" t="s">
        <v>17</v>
      </c>
      <c r="B6" s="91" t="s">
        <v>167</v>
      </c>
      <c r="C6" s="92">
        <f>销量!C11</f>
        <v>10000</v>
      </c>
      <c r="D6" s="92">
        <f>销量!D11</f>
        <v>5000</v>
      </c>
      <c r="E6" s="92">
        <f>销量!E11</f>
        <v>10000</v>
      </c>
      <c r="F6" s="92">
        <f>销量!F11</f>
        <v>5000</v>
      </c>
      <c r="G6" s="92">
        <f>销量!G11</f>
        <v>10000</v>
      </c>
      <c r="H6" s="92">
        <f>销量!H11</f>
        <v>0</v>
      </c>
      <c r="I6" s="92">
        <f>销量!I11</f>
        <v>10000</v>
      </c>
      <c r="J6" s="92">
        <f>销量!J11</f>
        <v>5000</v>
      </c>
      <c r="K6" s="92">
        <f>销量!K11</f>
        <v>1000</v>
      </c>
      <c r="L6" s="92">
        <f>销量!L11</f>
        <v>20000</v>
      </c>
      <c r="M6" s="92">
        <f>销量!M11</f>
        <v>10000</v>
      </c>
      <c r="N6" s="93">
        <f t="shared" ref="N6:N15" si="0">+SUM(C6:M6)</f>
        <v>86000</v>
      </c>
      <c r="Y6" s="91" t="s">
        <v>3</v>
      </c>
      <c r="AO6" s="90" t="s">
        <v>17</v>
      </c>
      <c r="AP6" s="91" t="s">
        <v>3</v>
      </c>
      <c r="AQ6" s="87" t="s">
        <v>53</v>
      </c>
    </row>
    <row r="7" spans="1:43">
      <c r="A7" s="89">
        <v>1</v>
      </c>
      <c r="B7" s="91" t="s">
        <v>54</v>
      </c>
      <c r="C7" s="93">
        <f>C6*销量!C8</f>
        <v>22831858.407079648</v>
      </c>
      <c r="D7" s="93">
        <f>D6*销量!D8</f>
        <v>11415929.203539824</v>
      </c>
      <c r="E7" s="93">
        <f>E6*销量!E8</f>
        <v>18185840.707964603</v>
      </c>
      <c r="F7" s="93">
        <f>F6*销量!F8</f>
        <v>9092920.3539823014</v>
      </c>
      <c r="G7" s="93">
        <f>G6*销量!G8</f>
        <v>6991150.4424778763</v>
      </c>
      <c r="H7" s="93">
        <f>H6*销量!H8</f>
        <v>0</v>
      </c>
      <c r="I7" s="93">
        <f>I6*销量!I8</f>
        <v>5752212.3893805314</v>
      </c>
      <c r="J7" s="93">
        <f>J6*销量!J8</f>
        <v>2876106.1946902657</v>
      </c>
      <c r="K7" s="93">
        <f>K6*销量!K8</f>
        <v>1026548.6725663719</v>
      </c>
      <c r="L7" s="93">
        <f>L6*销量!L8</f>
        <v>1238938.0530973454</v>
      </c>
      <c r="M7" s="93">
        <f>M6*销量!M8</f>
        <v>619469.0265486727</v>
      </c>
      <c r="N7" s="93">
        <f t="shared" si="0"/>
        <v>80030973.451327443</v>
      </c>
      <c r="O7" s="88"/>
      <c r="Y7" s="91" t="s">
        <v>54</v>
      </c>
      <c r="AO7" s="90" t="s">
        <v>55</v>
      </c>
      <c r="AP7" s="91" t="s">
        <v>54</v>
      </c>
      <c r="AQ7" s="87" t="s">
        <v>53</v>
      </c>
    </row>
    <row r="8" spans="1:43">
      <c r="A8" s="89">
        <v>2</v>
      </c>
      <c r="B8" s="89" t="s">
        <v>56</v>
      </c>
      <c r="C8" s="93">
        <f>C7*(1-销量!$Q$8)</f>
        <v>2226106.1946902666</v>
      </c>
      <c r="D8" s="93">
        <f>D7*(1-销量!$Q$8)</f>
        <v>1113053.0973451333</v>
      </c>
      <c r="E8" s="93">
        <f>E7*(1-销量!$Q$8)</f>
        <v>1773119.4690265493</v>
      </c>
      <c r="F8" s="93">
        <f>F7*(1-销量!$Q$8)</f>
        <v>886559.73451327463</v>
      </c>
      <c r="G8" s="93">
        <f>G7*(1-销量!$Q$8)</f>
        <v>681637.16814159311</v>
      </c>
      <c r="H8" s="93">
        <f>H7*(1-销量!$Q$8)</f>
        <v>0</v>
      </c>
      <c r="I8" s="93">
        <f>I7*(1-销量!$Q$8)</f>
        <v>560840.70796460204</v>
      </c>
      <c r="J8" s="93">
        <f>J7*(1-销量!$Q$8)</f>
        <v>280420.35398230102</v>
      </c>
      <c r="K8" s="93">
        <f>K7*(1-销量!$Q$8)</f>
        <v>100088.49557522128</v>
      </c>
      <c r="L8" s="93">
        <f>L7*(1-销量!$Q$8)</f>
        <v>120796.46017699121</v>
      </c>
      <c r="M8" s="93">
        <f>M7*(1-销量!$Q$8)</f>
        <v>60398.230088495606</v>
      </c>
      <c r="N8" s="93">
        <f t="shared" si="0"/>
        <v>7803019.9115044288</v>
      </c>
      <c r="O8" s="106"/>
      <c r="Y8" s="89" t="s">
        <v>58</v>
      </c>
      <c r="AO8" s="90" t="s">
        <v>57</v>
      </c>
      <c r="AP8" s="89" t="s">
        <v>58</v>
      </c>
      <c r="AQ8" s="87" t="s">
        <v>53</v>
      </c>
    </row>
    <row r="9" spans="1:43">
      <c r="A9" s="89">
        <v>3</v>
      </c>
      <c r="B9" s="91" t="s">
        <v>59</v>
      </c>
      <c r="C9" s="93">
        <f t="shared" ref="C9:M9" si="1">+C7-C8</f>
        <v>20605752.21238938</v>
      </c>
      <c r="D9" s="93">
        <f t="shared" si="1"/>
        <v>10302876.10619469</v>
      </c>
      <c r="E9" s="93">
        <f t="shared" si="1"/>
        <v>16412721.238938054</v>
      </c>
      <c r="F9" s="93">
        <f t="shared" si="1"/>
        <v>8206360.619469027</v>
      </c>
      <c r="G9" s="93">
        <f t="shared" si="1"/>
        <v>6309513.2743362831</v>
      </c>
      <c r="H9" s="93">
        <f t="shared" si="1"/>
        <v>0</v>
      </c>
      <c r="I9" s="93">
        <f t="shared" si="1"/>
        <v>5191371.6814159295</v>
      </c>
      <c r="J9" s="93">
        <f t="shared" si="1"/>
        <v>2595685.8407079647</v>
      </c>
      <c r="K9" s="93">
        <f t="shared" si="1"/>
        <v>926460.1769911506</v>
      </c>
      <c r="L9" s="93">
        <f t="shared" si="1"/>
        <v>1118141.5929203541</v>
      </c>
      <c r="M9" s="93">
        <f t="shared" si="1"/>
        <v>559070.79646017705</v>
      </c>
      <c r="N9" s="93">
        <f t="shared" si="0"/>
        <v>72227953.539823011</v>
      </c>
      <c r="Y9" s="91" t="s">
        <v>59</v>
      </c>
      <c r="AO9" s="90" t="s">
        <v>60</v>
      </c>
      <c r="AP9" s="91" t="s">
        <v>59</v>
      </c>
      <c r="AQ9" s="87" t="s">
        <v>61</v>
      </c>
    </row>
    <row r="10" spans="1:43">
      <c r="A10" s="89">
        <v>4</v>
      </c>
      <c r="B10" s="90" t="s">
        <v>62</v>
      </c>
      <c r="C10" s="93">
        <f t="shared" ref="C10:M10" si="2">C6*C33</f>
        <v>15243312.8868588</v>
      </c>
      <c r="D10" s="93">
        <f t="shared" si="2"/>
        <v>7561263.9196913121</v>
      </c>
      <c r="E10" s="93">
        <f t="shared" si="2"/>
        <v>11916711.183210799</v>
      </c>
      <c r="F10" s="93">
        <f t="shared" si="2"/>
        <v>5897963.0678673266</v>
      </c>
      <c r="G10" s="93">
        <f t="shared" si="2"/>
        <v>5597696.858702302</v>
      </c>
      <c r="H10" s="93">
        <f t="shared" si="2"/>
        <v>0</v>
      </c>
      <c r="I10" s="93">
        <f t="shared" si="2"/>
        <v>4424012.8201933429</v>
      </c>
      <c r="J10" s="93">
        <f t="shared" si="2"/>
        <v>2188864.0151701625</v>
      </c>
      <c r="K10" s="93">
        <f t="shared" si="2"/>
        <v>782072.15520020318</v>
      </c>
      <c r="L10" s="93">
        <f t="shared" si="2"/>
        <v>741867.66078571428</v>
      </c>
      <c r="M10" s="93">
        <f t="shared" si="2"/>
        <v>370933.83039285714</v>
      </c>
      <c r="N10" s="93">
        <f t="shared" si="0"/>
        <v>54724698.398072824</v>
      </c>
      <c r="Y10" s="90" t="s">
        <v>62</v>
      </c>
      <c r="AO10" s="90" t="s">
        <v>63</v>
      </c>
      <c r="AP10" s="90" t="s">
        <v>62</v>
      </c>
      <c r="AQ10" s="87" t="s">
        <v>64</v>
      </c>
    </row>
    <row r="11" spans="1:43">
      <c r="A11" s="89">
        <v>5</v>
      </c>
      <c r="B11" s="90" t="s">
        <v>65</v>
      </c>
      <c r="C11" s="93">
        <f t="shared" ref="C11:M11" si="3">+C6*C36</f>
        <v>984053.09734513285</v>
      </c>
      <c r="D11" s="93">
        <f t="shared" si="3"/>
        <v>492026.54867256642</v>
      </c>
      <c r="E11" s="93">
        <f t="shared" si="3"/>
        <v>783809.73451327439</v>
      </c>
      <c r="F11" s="93">
        <f t="shared" si="3"/>
        <v>391904.8672566372</v>
      </c>
      <c r="G11" s="93">
        <f t="shared" si="3"/>
        <v>301318.5840707965</v>
      </c>
      <c r="H11" s="93">
        <f t="shared" si="3"/>
        <v>0</v>
      </c>
      <c r="I11" s="93">
        <f t="shared" si="3"/>
        <v>247920.35398230091</v>
      </c>
      <c r="J11" s="93">
        <f t="shared" si="3"/>
        <v>123960.17699115045</v>
      </c>
      <c r="K11" s="93">
        <f t="shared" si="3"/>
        <v>44244.247787610628</v>
      </c>
      <c r="L11" s="93">
        <f t="shared" si="3"/>
        <v>53398.230088495584</v>
      </c>
      <c r="M11" s="93">
        <f t="shared" si="3"/>
        <v>26699.115044247792</v>
      </c>
      <c r="N11" s="93">
        <f t="shared" si="0"/>
        <v>3449334.955752213</v>
      </c>
      <c r="Y11" s="90" t="s">
        <v>65</v>
      </c>
      <c r="AO11" s="90" t="s">
        <v>66</v>
      </c>
      <c r="AP11" s="90" t="s">
        <v>65</v>
      </c>
    </row>
    <row r="12" spans="1:43">
      <c r="A12" s="89">
        <v>6</v>
      </c>
      <c r="B12" s="90" t="s">
        <v>67</v>
      </c>
      <c r="C12" s="93">
        <f t="shared" ref="C12:M12" si="4">+C6*C37</f>
        <v>495451.32743362844</v>
      </c>
      <c r="D12" s="93">
        <f t="shared" si="4"/>
        <v>247725.66371681422</v>
      </c>
      <c r="E12" s="93">
        <f t="shared" si="4"/>
        <v>394632.74336283194</v>
      </c>
      <c r="F12" s="93">
        <f t="shared" si="4"/>
        <v>197316.37168141597</v>
      </c>
      <c r="G12" s="93">
        <f t="shared" si="4"/>
        <v>151707.96460176993</v>
      </c>
      <c r="H12" s="93">
        <f t="shared" si="4"/>
        <v>0</v>
      </c>
      <c r="I12" s="93">
        <f t="shared" si="4"/>
        <v>124823.00884955753</v>
      </c>
      <c r="J12" s="93">
        <f t="shared" si="4"/>
        <v>62411.504424778766</v>
      </c>
      <c r="K12" s="93">
        <f t="shared" si="4"/>
        <v>22276.106194690266</v>
      </c>
      <c r="L12" s="93">
        <f t="shared" si="4"/>
        <v>26884.955752212398</v>
      </c>
      <c r="M12" s="93">
        <f t="shared" si="4"/>
        <v>13442.477876106199</v>
      </c>
      <c r="N12" s="93">
        <f t="shared" si="0"/>
        <v>1736672.1238938055</v>
      </c>
      <c r="Y12" s="90" t="s">
        <v>67</v>
      </c>
      <c r="AO12" s="90" t="s">
        <v>68</v>
      </c>
      <c r="AP12" s="90" t="s">
        <v>67</v>
      </c>
    </row>
    <row r="13" spans="1:43">
      <c r="A13" s="89">
        <v>7</v>
      </c>
      <c r="B13" s="90" t="s">
        <v>69</v>
      </c>
      <c r="C13" s="93">
        <f t="shared" ref="C13:M13" si="5">+C6*C38</f>
        <v>1004601.7699115045</v>
      </c>
      <c r="D13" s="93">
        <f t="shared" si="5"/>
        <v>502300.88495575223</v>
      </c>
      <c r="E13" s="93">
        <f t="shared" si="5"/>
        <v>800176.99115044251</v>
      </c>
      <c r="F13" s="93">
        <f t="shared" si="5"/>
        <v>400088.49557522126</v>
      </c>
      <c r="G13" s="93">
        <f t="shared" si="5"/>
        <v>307610.61946902651</v>
      </c>
      <c r="H13" s="93">
        <f t="shared" si="5"/>
        <v>0</v>
      </c>
      <c r="I13" s="93">
        <f t="shared" si="5"/>
        <v>253097.34513274336</v>
      </c>
      <c r="J13" s="93">
        <f t="shared" si="5"/>
        <v>126548.67256637168</v>
      </c>
      <c r="K13" s="93">
        <f t="shared" si="5"/>
        <v>45168.141592920358</v>
      </c>
      <c r="L13" s="93">
        <f t="shared" si="5"/>
        <v>54513.27433628319</v>
      </c>
      <c r="M13" s="93">
        <f t="shared" si="5"/>
        <v>27256.637168141595</v>
      </c>
      <c r="N13" s="93">
        <f t="shared" si="0"/>
        <v>3521362.8318584072</v>
      </c>
      <c r="Y13" s="90" t="s">
        <v>69</v>
      </c>
      <c r="AO13" s="90" t="s">
        <v>70</v>
      </c>
      <c r="AP13" s="90" t="s">
        <v>69</v>
      </c>
      <c r="AQ13" s="87" t="s">
        <v>53</v>
      </c>
    </row>
    <row r="14" spans="1:43">
      <c r="A14" s="89">
        <v>8</v>
      </c>
      <c r="B14" s="94" t="s">
        <v>71</v>
      </c>
      <c r="C14" s="93">
        <f t="shared" ref="C14:M14" si="6">SUM(C11:C13)</f>
        <v>2484106.1946902657</v>
      </c>
      <c r="D14" s="93">
        <f t="shared" si="6"/>
        <v>1242053.0973451328</v>
      </c>
      <c r="E14" s="93">
        <f t="shared" si="6"/>
        <v>1978619.4690265488</v>
      </c>
      <c r="F14" s="93">
        <f t="shared" si="6"/>
        <v>989309.73451327439</v>
      </c>
      <c r="G14" s="93">
        <f t="shared" si="6"/>
        <v>760637.16814159299</v>
      </c>
      <c r="H14" s="93">
        <f t="shared" si="6"/>
        <v>0</v>
      </c>
      <c r="I14" s="93">
        <f t="shared" si="6"/>
        <v>625840.70796460181</v>
      </c>
      <c r="J14" s="93">
        <f t="shared" si="6"/>
        <v>312920.35398230091</v>
      </c>
      <c r="K14" s="93">
        <f t="shared" si="6"/>
        <v>111688.49557522126</v>
      </c>
      <c r="L14" s="93">
        <f t="shared" si="6"/>
        <v>134796.46017699118</v>
      </c>
      <c r="M14" s="93">
        <f t="shared" si="6"/>
        <v>67398.230088495591</v>
      </c>
      <c r="N14" s="93">
        <f t="shared" si="0"/>
        <v>8707369.9115044251</v>
      </c>
      <c r="Y14" s="94" t="s">
        <v>71</v>
      </c>
      <c r="AO14" s="90" t="s">
        <v>72</v>
      </c>
      <c r="AP14" s="94" t="s">
        <v>71</v>
      </c>
    </row>
    <row r="15" spans="1:43">
      <c r="A15" s="89">
        <v>9</v>
      </c>
      <c r="B15" s="94" t="s">
        <v>73</v>
      </c>
      <c r="C15" s="93">
        <f t="shared" ref="C15:M15" si="7">+C9-C10-C14</f>
        <v>2878333.1308403136</v>
      </c>
      <c r="D15" s="93">
        <f t="shared" si="7"/>
        <v>1499559.0891582449</v>
      </c>
      <c r="E15" s="93">
        <f t="shared" si="7"/>
        <v>2517390.5867007058</v>
      </c>
      <c r="F15" s="93">
        <f t="shared" si="7"/>
        <v>1319087.8170884261</v>
      </c>
      <c r="G15" s="93">
        <f t="shared" si="7"/>
        <v>-48820.752507611876</v>
      </c>
      <c r="H15" s="93">
        <f t="shared" si="7"/>
        <v>0</v>
      </c>
      <c r="I15" s="93">
        <f t="shared" si="7"/>
        <v>141518.15325798478</v>
      </c>
      <c r="J15" s="93">
        <f t="shared" si="7"/>
        <v>93901.471555501281</v>
      </c>
      <c r="K15" s="93">
        <f t="shared" si="7"/>
        <v>32699.52621572616</v>
      </c>
      <c r="L15" s="93">
        <f t="shared" si="7"/>
        <v>241477.47195764864</v>
      </c>
      <c r="M15" s="93">
        <f t="shared" si="7"/>
        <v>120738.73597882432</v>
      </c>
      <c r="N15" s="93">
        <f t="shared" si="0"/>
        <v>8795885.2302457653</v>
      </c>
      <c r="Y15" s="94" t="s">
        <v>73</v>
      </c>
      <c r="AO15" s="90" t="s">
        <v>74</v>
      </c>
      <c r="AP15" s="94" t="s">
        <v>73</v>
      </c>
    </row>
    <row r="16" spans="1:43">
      <c r="A16" s="89">
        <v>10</v>
      </c>
      <c r="B16" s="90" t="s">
        <v>75</v>
      </c>
      <c r="C16" s="95">
        <f t="shared" ref="C16:N16" si="8">+C15/C9</f>
        <v>0.13968590426462044</v>
      </c>
      <c r="D16" s="95">
        <f t="shared" si="8"/>
        <v>0.14554761929599663</v>
      </c>
      <c r="E16" s="95">
        <f t="shared" si="8"/>
        <v>0.15338045105697459</v>
      </c>
      <c r="F16" s="95">
        <f t="shared" si="8"/>
        <v>0.16073968452702173</v>
      </c>
      <c r="G16" s="95">
        <f t="shared" si="8"/>
        <v>-7.7376416190752017E-3</v>
      </c>
      <c r="H16" s="95" t="e">
        <f t="shared" si="8"/>
        <v>#DIV/0!</v>
      </c>
      <c r="I16" s="95">
        <f t="shared" si="8"/>
        <v>2.7260262208655069E-2</v>
      </c>
      <c r="J16" s="95">
        <f t="shared" si="8"/>
        <v>3.6175977108959367E-2</v>
      </c>
      <c r="K16" s="95">
        <f t="shared" si="8"/>
        <v>3.5295123339163771E-2</v>
      </c>
      <c r="L16" s="95">
        <f t="shared" si="8"/>
        <v>0.21596323174684839</v>
      </c>
      <c r="M16" s="95">
        <f t="shared" si="8"/>
        <v>0.21596323174684839</v>
      </c>
      <c r="N16" s="95">
        <f t="shared" si="8"/>
        <v>0.12177951608993239</v>
      </c>
      <c r="O16" s="107"/>
      <c r="P16" s="107"/>
      <c r="Q16" s="107"/>
      <c r="Y16" s="90" t="s">
        <v>75</v>
      </c>
      <c r="AO16" s="90" t="s">
        <v>76</v>
      </c>
      <c r="AP16" s="90" t="s">
        <v>75</v>
      </c>
    </row>
    <row r="17" spans="1:43">
      <c r="A17" s="89">
        <v>11</v>
      </c>
      <c r="B17" s="90" t="s">
        <v>77</v>
      </c>
      <c r="C17" s="93">
        <f t="shared" ref="C17:M17" si="9">C6*C43+C18</f>
        <v>1149517.435000343</v>
      </c>
      <c r="D17" s="93">
        <f t="shared" si="9"/>
        <v>574758.71750017151</v>
      </c>
      <c r="E17" s="93">
        <f t="shared" si="9"/>
        <v>959030.70933662623</v>
      </c>
      <c r="F17" s="93">
        <f t="shared" si="9"/>
        <v>479515.35466831311</v>
      </c>
      <c r="G17" s="93">
        <f t="shared" si="9"/>
        <v>500048.40845167043</v>
      </c>
      <c r="H17" s="93">
        <f t="shared" si="9"/>
        <v>0</v>
      </c>
      <c r="I17" s="93">
        <f t="shared" si="9"/>
        <v>449251.94827467925</v>
      </c>
      <c r="J17" s="93">
        <f t="shared" si="9"/>
        <v>224625.97413733962</v>
      </c>
      <c r="K17" s="93">
        <f t="shared" si="9"/>
        <v>63429.619606228996</v>
      </c>
      <c r="L17" s="93">
        <f t="shared" si="9"/>
        <v>477618.94079714612</v>
      </c>
      <c r="M17" s="93">
        <f t="shared" si="9"/>
        <v>238809.47039857306</v>
      </c>
      <c r="N17" s="93">
        <f t="shared" ref="N17:N20" si="10">+SUM(C17:M17)</f>
        <v>5116606.5781710912</v>
      </c>
      <c r="O17" s="106"/>
      <c r="Y17" s="90" t="s">
        <v>77</v>
      </c>
      <c r="AO17" s="90" t="s">
        <v>78</v>
      </c>
      <c r="AP17" s="90" t="s">
        <v>77</v>
      </c>
    </row>
    <row r="18" spans="1:43" s="85" customFormat="1">
      <c r="A18" s="89">
        <v>12</v>
      </c>
      <c r="B18" s="96" t="s">
        <v>168</v>
      </c>
      <c r="C18" s="97">
        <f t="shared" ref="C18:M18" si="11">$N$18/$N$6*C6</f>
        <v>213411.24031007747</v>
      </c>
      <c r="D18" s="97">
        <f t="shared" si="11"/>
        <v>106705.62015503873</v>
      </c>
      <c r="E18" s="97">
        <f t="shared" si="11"/>
        <v>213411.24031007747</v>
      </c>
      <c r="F18" s="97">
        <f t="shared" si="11"/>
        <v>106705.62015503873</v>
      </c>
      <c r="G18" s="97">
        <f t="shared" si="11"/>
        <v>213411.24031007747</v>
      </c>
      <c r="H18" s="97">
        <f t="shared" si="11"/>
        <v>0</v>
      </c>
      <c r="I18" s="97">
        <f t="shared" si="11"/>
        <v>213411.24031007747</v>
      </c>
      <c r="J18" s="97">
        <f t="shared" si="11"/>
        <v>106705.62015503873</v>
      </c>
      <c r="K18" s="97">
        <f t="shared" si="11"/>
        <v>21341.124031007748</v>
      </c>
      <c r="L18" s="97">
        <f t="shared" si="11"/>
        <v>426822.48062015494</v>
      </c>
      <c r="M18" s="97">
        <f t="shared" si="11"/>
        <v>213411.24031007747</v>
      </c>
      <c r="N18" s="93">
        <f>项目投资!F26</f>
        <v>1835336.6666666663</v>
      </c>
      <c r="O18" s="108" t="s">
        <v>169</v>
      </c>
      <c r="P18" s="108"/>
      <c r="Q18" s="108"/>
    </row>
    <row r="19" spans="1:43">
      <c r="A19" s="89">
        <v>13</v>
      </c>
      <c r="B19" s="90" t="s">
        <v>79</v>
      </c>
      <c r="C19" s="93">
        <f t="shared" ref="C19:M19" si="12">C6*C44</f>
        <v>159823.00884955755</v>
      </c>
      <c r="D19" s="93">
        <f t="shared" si="12"/>
        <v>79911.504424778774</v>
      </c>
      <c r="E19" s="93">
        <f t="shared" si="12"/>
        <v>127300.88495575222</v>
      </c>
      <c r="F19" s="93">
        <f t="shared" si="12"/>
        <v>63650.442477876109</v>
      </c>
      <c r="G19" s="93">
        <f t="shared" si="12"/>
        <v>48938.053097345139</v>
      </c>
      <c r="H19" s="93">
        <f t="shared" si="12"/>
        <v>0</v>
      </c>
      <c r="I19" s="93">
        <f t="shared" si="12"/>
        <v>40265.486725663723</v>
      </c>
      <c r="J19" s="93">
        <f t="shared" si="12"/>
        <v>20132.743362831861</v>
      </c>
      <c r="K19" s="93">
        <f t="shared" si="12"/>
        <v>7185.8407079646031</v>
      </c>
      <c r="L19" s="93">
        <f t="shared" si="12"/>
        <v>8672.5663716814179</v>
      </c>
      <c r="M19" s="93">
        <f t="shared" si="12"/>
        <v>4336.2831858407089</v>
      </c>
      <c r="N19" s="93">
        <f t="shared" si="10"/>
        <v>560216.81415929203</v>
      </c>
      <c r="O19" s="85"/>
      <c r="Y19" s="90" t="s">
        <v>79</v>
      </c>
      <c r="AO19" s="90" t="s">
        <v>80</v>
      </c>
      <c r="AP19" s="90" t="s">
        <v>79</v>
      </c>
      <c r="AQ19" s="87" t="s">
        <v>53</v>
      </c>
    </row>
    <row r="20" spans="1:43">
      <c r="A20" s="89">
        <v>14</v>
      </c>
      <c r="B20" s="90" t="s">
        <v>81</v>
      </c>
      <c r="C20" s="93">
        <f t="shared" ref="C20:M20" si="13">C6*C45</f>
        <v>776283.18584070809</v>
      </c>
      <c r="D20" s="93">
        <f t="shared" si="13"/>
        <v>388141.59292035404</v>
      </c>
      <c r="E20" s="93">
        <f t="shared" si="13"/>
        <v>618318.58407079661</v>
      </c>
      <c r="F20" s="93">
        <f t="shared" si="13"/>
        <v>309159.29203539831</v>
      </c>
      <c r="G20" s="93">
        <f t="shared" si="13"/>
        <v>237699.1150442478</v>
      </c>
      <c r="H20" s="93">
        <f t="shared" si="13"/>
        <v>0</v>
      </c>
      <c r="I20" s="93">
        <f t="shared" si="13"/>
        <v>195575.22123893807</v>
      </c>
      <c r="J20" s="93">
        <f t="shared" si="13"/>
        <v>97787.610619469036</v>
      </c>
      <c r="K20" s="93">
        <f t="shared" si="13"/>
        <v>34902.654867256642</v>
      </c>
      <c r="L20" s="93">
        <f t="shared" si="13"/>
        <v>42123.893805309744</v>
      </c>
      <c r="M20" s="93">
        <f t="shared" si="13"/>
        <v>21061.946902654872</v>
      </c>
      <c r="N20" s="93">
        <f t="shared" si="10"/>
        <v>2721053.0973451333</v>
      </c>
      <c r="Y20" s="90" t="s">
        <v>81</v>
      </c>
      <c r="AO20" s="90" t="s">
        <v>82</v>
      </c>
      <c r="AP20" s="90" t="s">
        <v>81</v>
      </c>
    </row>
    <row r="21" spans="1:43">
      <c r="A21" s="89">
        <v>15</v>
      </c>
      <c r="B21" s="90" t="s">
        <v>83</v>
      </c>
      <c r="C21" s="98">
        <f t="shared" ref="C21:M21" si="14">$N$21/$N$6*C6</f>
        <v>45922.480620155038</v>
      </c>
      <c r="D21" s="98">
        <f t="shared" si="14"/>
        <v>22961.240310077519</v>
      </c>
      <c r="E21" s="98">
        <f t="shared" si="14"/>
        <v>45922.480620155038</v>
      </c>
      <c r="F21" s="98">
        <f t="shared" si="14"/>
        <v>22961.240310077519</v>
      </c>
      <c r="G21" s="98">
        <f t="shared" si="14"/>
        <v>45922.480620155038</v>
      </c>
      <c r="H21" s="98">
        <f t="shared" si="14"/>
        <v>0</v>
      </c>
      <c r="I21" s="98">
        <f t="shared" si="14"/>
        <v>45922.480620155038</v>
      </c>
      <c r="J21" s="98">
        <f t="shared" si="14"/>
        <v>22961.240310077519</v>
      </c>
      <c r="K21" s="98">
        <f t="shared" si="14"/>
        <v>4592.2480620155038</v>
      </c>
      <c r="L21" s="98">
        <f t="shared" si="14"/>
        <v>91844.961240310076</v>
      </c>
      <c r="M21" s="98">
        <f t="shared" si="14"/>
        <v>45922.480620155038</v>
      </c>
      <c r="N21" s="93">
        <f>项目投资!F27</f>
        <v>394933.33333333331</v>
      </c>
      <c r="Y21" s="90" t="s">
        <v>83</v>
      </c>
      <c r="AO21" s="90"/>
      <c r="AP21" s="90"/>
    </row>
    <row r="22" spans="1:43">
      <c r="A22" s="89">
        <v>16</v>
      </c>
      <c r="B22" s="90" t="s">
        <v>84</v>
      </c>
      <c r="C22" s="93">
        <f t="shared" ref="C22:M22" si="15">C6*C47</f>
        <v>684955.75221238937</v>
      </c>
      <c r="D22" s="93">
        <f t="shared" si="15"/>
        <v>342477.87610619469</v>
      </c>
      <c r="E22" s="93">
        <f t="shared" si="15"/>
        <v>545575.22123893804</v>
      </c>
      <c r="F22" s="93">
        <f t="shared" si="15"/>
        <v>272787.61061946902</v>
      </c>
      <c r="G22" s="93">
        <f t="shared" si="15"/>
        <v>209734.51327433629</v>
      </c>
      <c r="H22" s="93">
        <f t="shared" si="15"/>
        <v>0</v>
      </c>
      <c r="I22" s="93">
        <f t="shared" si="15"/>
        <v>172566.37168141594</v>
      </c>
      <c r="J22" s="93">
        <f t="shared" si="15"/>
        <v>86283.185840707971</v>
      </c>
      <c r="K22" s="93">
        <f t="shared" si="15"/>
        <v>30796.460176991153</v>
      </c>
      <c r="L22" s="93">
        <f t="shared" si="15"/>
        <v>37168.141592920358</v>
      </c>
      <c r="M22" s="93">
        <f t="shared" si="15"/>
        <v>18584.070796460179</v>
      </c>
      <c r="N22" s="93">
        <f>+SUM(C22:M22)</f>
        <v>2400929.2035398232</v>
      </c>
      <c r="Y22" s="90" t="s">
        <v>84</v>
      </c>
      <c r="AO22" s="90" t="s">
        <v>85</v>
      </c>
      <c r="AP22" s="90" t="s">
        <v>84</v>
      </c>
    </row>
    <row r="23" spans="1:43">
      <c r="A23" s="89">
        <v>17</v>
      </c>
      <c r="B23" s="94" t="s">
        <v>86</v>
      </c>
      <c r="C23" s="98">
        <f t="shared" ref="C23:N23" si="16">+C22+C21+C20+C19+C17</f>
        <v>2816501.862523153</v>
      </c>
      <c r="D23" s="98">
        <f t="shared" si="16"/>
        <v>1408250.9312615765</v>
      </c>
      <c r="E23" s="98">
        <f t="shared" si="16"/>
        <v>2296147.8802222679</v>
      </c>
      <c r="F23" s="98">
        <f t="shared" si="16"/>
        <v>1148073.940111134</v>
      </c>
      <c r="G23" s="98">
        <f t="shared" si="16"/>
        <v>1042342.5704877548</v>
      </c>
      <c r="H23" s="98">
        <f t="shared" si="16"/>
        <v>0</v>
      </c>
      <c r="I23" s="98">
        <f t="shared" si="16"/>
        <v>903581.508540852</v>
      </c>
      <c r="J23" s="98">
        <f t="shared" si="16"/>
        <v>451790.754270426</v>
      </c>
      <c r="K23" s="98">
        <f t="shared" si="16"/>
        <v>140906.8234204569</v>
      </c>
      <c r="L23" s="98">
        <f t="shared" si="16"/>
        <v>657428.50380736776</v>
      </c>
      <c r="M23" s="98">
        <f t="shared" si="16"/>
        <v>328714.25190368388</v>
      </c>
      <c r="N23" s="98">
        <f t="shared" si="16"/>
        <v>11193739.026548672</v>
      </c>
      <c r="Y23" s="94" t="s">
        <v>86</v>
      </c>
      <c r="AO23" s="90" t="s">
        <v>87</v>
      </c>
      <c r="AP23" s="94" t="s">
        <v>86</v>
      </c>
    </row>
    <row r="24" spans="1:43">
      <c r="A24" s="89">
        <v>18</v>
      </c>
      <c r="B24" s="99" t="s">
        <v>88</v>
      </c>
      <c r="C24" s="98">
        <f t="shared" ref="C24:N24" si="17">+C15-C23</f>
        <v>61831.268317160662</v>
      </c>
      <c r="D24" s="98">
        <f t="shared" si="17"/>
        <v>91308.157896668417</v>
      </c>
      <c r="E24" s="98">
        <f t="shared" si="17"/>
        <v>221242.70647843787</v>
      </c>
      <c r="F24" s="98">
        <f t="shared" si="17"/>
        <v>171013.87697729212</v>
      </c>
      <c r="G24" s="98">
        <f t="shared" si="17"/>
        <v>-1091163.3229953665</v>
      </c>
      <c r="H24" s="98">
        <f t="shared" si="17"/>
        <v>0</v>
      </c>
      <c r="I24" s="98">
        <f t="shared" si="17"/>
        <v>-762063.35528286721</v>
      </c>
      <c r="J24" s="98">
        <f t="shared" si="17"/>
        <v>-357889.28271492472</v>
      </c>
      <c r="K24" s="98">
        <f t="shared" si="17"/>
        <v>-108207.29720473074</v>
      </c>
      <c r="L24" s="98">
        <f t="shared" si="17"/>
        <v>-415951.03184971912</v>
      </c>
      <c r="M24" s="98">
        <f t="shared" si="17"/>
        <v>-207975.51592485956</v>
      </c>
      <c r="N24" s="98">
        <f t="shared" si="17"/>
        <v>-2397853.7963029072</v>
      </c>
      <c r="P24" s="109"/>
      <c r="Y24" s="90" t="s">
        <v>88</v>
      </c>
      <c r="AO24" s="90" t="s">
        <v>89</v>
      </c>
      <c r="AP24" s="90" t="s">
        <v>88</v>
      </c>
    </row>
    <row r="25" spans="1:43">
      <c r="A25" s="89">
        <v>19</v>
      </c>
      <c r="B25" s="90" t="s">
        <v>170</v>
      </c>
      <c r="C25" s="98"/>
      <c r="D25" s="98"/>
      <c r="E25" s="98"/>
      <c r="F25" s="98"/>
      <c r="G25" s="98">
        <f t="shared" ref="C25:N25" si="18">IF(G24&lt;0,0,G24*0.25)</f>
        <v>0</v>
      </c>
      <c r="H25" s="98">
        <f t="shared" si="18"/>
        <v>0</v>
      </c>
      <c r="I25" s="98">
        <f t="shared" si="18"/>
        <v>0</v>
      </c>
      <c r="J25" s="98">
        <f t="shared" si="18"/>
        <v>0</v>
      </c>
      <c r="K25" s="98">
        <f t="shared" si="18"/>
        <v>0</v>
      </c>
      <c r="L25" s="98">
        <f t="shared" si="18"/>
        <v>0</v>
      </c>
      <c r="M25" s="98">
        <f t="shared" si="18"/>
        <v>0</v>
      </c>
      <c r="N25" s="98">
        <f t="shared" si="18"/>
        <v>0</v>
      </c>
      <c r="O25" s="2"/>
      <c r="P25" s="2"/>
      <c r="Q25" s="2"/>
      <c r="Y25" s="90" t="s">
        <v>34</v>
      </c>
      <c r="AO25" s="90" t="s">
        <v>90</v>
      </c>
      <c r="AP25" s="90" t="s">
        <v>34</v>
      </c>
    </row>
    <row r="26" spans="1:43">
      <c r="A26" s="89">
        <v>20</v>
      </c>
      <c r="B26" s="90" t="s">
        <v>91</v>
      </c>
      <c r="C26" s="98">
        <f t="shared" ref="C26:M26" si="19">C24-C25</f>
        <v>61831.268317160662</v>
      </c>
      <c r="D26" s="98">
        <f t="shared" si="19"/>
        <v>91308.157896668417</v>
      </c>
      <c r="E26" s="98">
        <f t="shared" si="19"/>
        <v>221242.70647843787</v>
      </c>
      <c r="F26" s="98">
        <f t="shared" si="19"/>
        <v>171013.87697729212</v>
      </c>
      <c r="G26" s="98">
        <f t="shared" si="19"/>
        <v>-1091163.3229953665</v>
      </c>
      <c r="H26" s="98">
        <f t="shared" si="19"/>
        <v>0</v>
      </c>
      <c r="I26" s="98">
        <f t="shared" si="19"/>
        <v>-762063.35528286721</v>
      </c>
      <c r="J26" s="98">
        <f t="shared" si="19"/>
        <v>-357889.28271492472</v>
      </c>
      <c r="K26" s="98">
        <f t="shared" si="19"/>
        <v>-108207.29720473074</v>
      </c>
      <c r="L26" s="98">
        <f t="shared" si="19"/>
        <v>-415951.03184971912</v>
      </c>
      <c r="M26" s="98">
        <f t="shared" si="19"/>
        <v>-207975.51592485956</v>
      </c>
      <c r="N26" s="93">
        <f>+SUM(C26:M26)</f>
        <v>-2397853.796302909</v>
      </c>
      <c r="O26" s="2"/>
      <c r="P26" s="2"/>
      <c r="Q26" s="2"/>
      <c r="Y26" s="90" t="s">
        <v>91</v>
      </c>
      <c r="AO26" s="90" t="s">
        <v>92</v>
      </c>
      <c r="AP26" s="90" t="s">
        <v>91</v>
      </c>
    </row>
    <row r="27" spans="1:43">
      <c r="A27" s="89">
        <v>21</v>
      </c>
      <c r="B27" s="90" t="s">
        <v>95</v>
      </c>
      <c r="C27" s="100">
        <f t="shared" ref="C27:N27" si="20">C26/C7</f>
        <v>2.7081136898601372E-3</v>
      </c>
      <c r="D27" s="100">
        <f t="shared" si="20"/>
        <v>7.9983115056771557E-3</v>
      </c>
      <c r="E27" s="100">
        <f t="shared" si="20"/>
        <v>1.2165657339203639E-2</v>
      </c>
      <c r="F27" s="100">
        <f t="shared" si="20"/>
        <v>1.8807365545921176E-2</v>
      </c>
      <c r="G27" s="100">
        <f t="shared" si="20"/>
        <v>-0.1560777917702233</v>
      </c>
      <c r="H27" s="100" t="e">
        <f t="shared" si="20"/>
        <v>#DIV/0!</v>
      </c>
      <c r="I27" s="100">
        <f t="shared" si="20"/>
        <v>-0.13248178330302152</v>
      </c>
      <c r="J27" s="100">
        <f t="shared" si="20"/>
        <v>-0.12443535060549689</v>
      </c>
      <c r="K27" s="100">
        <f t="shared" si="20"/>
        <v>-0.10540883262184976</v>
      </c>
      <c r="L27" s="100">
        <f t="shared" si="20"/>
        <v>-0.33573190427870181</v>
      </c>
      <c r="M27" s="100">
        <f t="shared" si="20"/>
        <v>-0.33573190427870181</v>
      </c>
      <c r="N27" s="110">
        <f t="shared" si="20"/>
        <v>-2.9961572287524597E-2</v>
      </c>
      <c r="O27" s="2"/>
      <c r="P27" s="2"/>
      <c r="Q27" s="2"/>
      <c r="Y27" s="90" t="s">
        <v>95</v>
      </c>
      <c r="AO27" s="90" t="s">
        <v>94</v>
      </c>
      <c r="AP27" s="90" t="s">
        <v>95</v>
      </c>
    </row>
    <row r="28" spans="1:43">
      <c r="O28" s="2"/>
      <c r="P28" s="2"/>
      <c r="Q28" s="2"/>
      <c r="Y28" s="90"/>
    </row>
    <row r="29" spans="1:43">
      <c r="A29" s="87" t="s">
        <v>96</v>
      </c>
      <c r="N29" s="88" t="s">
        <v>171</v>
      </c>
      <c r="O29" s="2"/>
      <c r="P29" s="2"/>
      <c r="Q29" s="2"/>
      <c r="Y29" s="90"/>
      <c r="AO29" s="87" t="s">
        <v>96</v>
      </c>
    </row>
    <row r="30" spans="1:43">
      <c r="A30" s="90" t="s">
        <v>97</v>
      </c>
      <c r="B30" s="94" t="s">
        <v>98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2"/>
      <c r="P30" s="2"/>
      <c r="Q30" s="2"/>
      <c r="S30" s="2"/>
      <c r="Y30" s="94" t="s">
        <v>98</v>
      </c>
      <c r="AO30" s="90" t="s">
        <v>99</v>
      </c>
      <c r="AP30" s="94" t="s">
        <v>98</v>
      </c>
    </row>
    <row r="31" spans="1:43">
      <c r="A31" s="89">
        <v>1</v>
      </c>
      <c r="B31" s="96" t="s">
        <v>100</v>
      </c>
      <c r="C31" s="101">
        <f>销量!C8</f>
        <v>2283.1858407079649</v>
      </c>
      <c r="D31" s="101">
        <f>销量!D8</f>
        <v>2283.1858407079649</v>
      </c>
      <c r="E31" s="101">
        <f>销量!E8</f>
        <v>1818.5840707964603</v>
      </c>
      <c r="F31" s="101">
        <f>销量!F8</f>
        <v>1818.5840707964603</v>
      </c>
      <c r="G31" s="101">
        <f>销量!G8</f>
        <v>699.11504424778764</v>
      </c>
      <c r="H31" s="101">
        <f>销量!H8</f>
        <v>0</v>
      </c>
      <c r="I31" s="101">
        <f>销量!I8</f>
        <v>575.22123893805315</v>
      </c>
      <c r="J31" s="101">
        <f>销量!J8</f>
        <v>575.22123893805315</v>
      </c>
      <c r="K31" s="101">
        <f>销量!K8</f>
        <v>1026.5486725663718</v>
      </c>
      <c r="L31" s="101">
        <f>销量!L8</f>
        <v>61.946902654867266</v>
      </c>
      <c r="M31" s="101">
        <f>销量!M8</f>
        <v>61.946902654867266</v>
      </c>
      <c r="N31" s="98"/>
      <c r="O31" s="2"/>
      <c r="P31" s="2"/>
      <c r="Q31" s="2"/>
      <c r="S31" s="2"/>
      <c r="Y31" s="90" t="s">
        <v>100</v>
      </c>
      <c r="AO31" s="90" t="s">
        <v>55</v>
      </c>
      <c r="AP31" s="90" t="s">
        <v>100</v>
      </c>
    </row>
    <row r="32" spans="1:43">
      <c r="A32" s="89">
        <v>2</v>
      </c>
      <c r="B32" s="90" t="s">
        <v>172</v>
      </c>
      <c r="C32" s="93">
        <f t="shared" ref="C32:M32" si="21">C31*1</f>
        <v>2283.1858407079649</v>
      </c>
      <c r="D32" s="93">
        <f t="shared" si="21"/>
        <v>2283.1858407079649</v>
      </c>
      <c r="E32" s="93">
        <f t="shared" si="21"/>
        <v>1818.5840707964603</v>
      </c>
      <c r="F32" s="93">
        <f t="shared" si="21"/>
        <v>1818.5840707964603</v>
      </c>
      <c r="G32" s="93">
        <f t="shared" si="21"/>
        <v>699.11504424778764</v>
      </c>
      <c r="H32" s="93">
        <f t="shared" si="21"/>
        <v>0</v>
      </c>
      <c r="I32" s="93">
        <f t="shared" si="21"/>
        <v>575.22123893805315</v>
      </c>
      <c r="J32" s="93">
        <f t="shared" si="21"/>
        <v>575.22123893805315</v>
      </c>
      <c r="K32" s="93">
        <f t="shared" si="21"/>
        <v>1026.5486725663718</v>
      </c>
      <c r="L32" s="93">
        <f t="shared" si="21"/>
        <v>61.946902654867266</v>
      </c>
      <c r="M32" s="93">
        <f t="shared" si="21"/>
        <v>61.946902654867266</v>
      </c>
      <c r="N32" s="98"/>
      <c r="O32" s="2"/>
      <c r="P32" s="2"/>
      <c r="Q32" s="2"/>
      <c r="R32" s="2"/>
      <c r="S32" s="2"/>
      <c r="T32" s="2"/>
      <c r="U32" s="2"/>
      <c r="AO32" s="90"/>
      <c r="AP32" s="90"/>
    </row>
    <row r="33" spans="1:42">
      <c r="A33" s="89">
        <v>3</v>
      </c>
      <c r="B33" s="96" t="s">
        <v>101</v>
      </c>
      <c r="C33" s="93">
        <f>材料成本!D28</f>
        <v>1524.3312886858801</v>
      </c>
      <c r="D33" s="93">
        <f>材料成本!E28</f>
        <v>1512.2527839382624</v>
      </c>
      <c r="E33" s="93">
        <f>材料成本!F28</f>
        <v>1191.67111832108</v>
      </c>
      <c r="F33" s="93">
        <f>材料成本!G28</f>
        <v>1179.5926135734653</v>
      </c>
      <c r="G33" s="93">
        <f>材料成本!H28</f>
        <v>559.76968587023021</v>
      </c>
      <c r="H33" s="93">
        <f>材料成本!I28</f>
        <v>0</v>
      </c>
      <c r="I33" s="93">
        <f>材料成本!J28</f>
        <v>442.40128201933425</v>
      </c>
      <c r="J33" s="93">
        <f>材料成本!K28</f>
        <v>437.77280303403251</v>
      </c>
      <c r="K33" s="93">
        <f>材料成本!L28</f>
        <v>782.07215520020316</v>
      </c>
      <c r="L33" s="93">
        <f>材料成本!M28</f>
        <v>37.093383039285712</v>
      </c>
      <c r="M33" s="93">
        <f>材料成本!N28</f>
        <v>37.093383039285712</v>
      </c>
      <c r="N33" s="98"/>
      <c r="P33" s="2"/>
      <c r="Q33" s="2"/>
      <c r="R33" s="2"/>
      <c r="S33" s="2"/>
      <c r="T33" s="2"/>
      <c r="U33" s="2"/>
      <c r="Y33" s="90" t="s">
        <v>101</v>
      </c>
      <c r="AO33" s="90" t="s">
        <v>57</v>
      </c>
      <c r="AP33" s="90" t="s">
        <v>101</v>
      </c>
    </row>
    <row r="34" spans="1:42" ht="17.25" customHeight="1">
      <c r="A34" s="89">
        <v>4</v>
      </c>
      <c r="B34" s="90" t="s">
        <v>103</v>
      </c>
      <c r="C34" s="102">
        <f t="shared" ref="C34:M34" si="22">C32-C33</f>
        <v>758.85455202208482</v>
      </c>
      <c r="D34" s="102">
        <f t="shared" si="22"/>
        <v>770.93305676970249</v>
      </c>
      <c r="E34" s="102">
        <f t="shared" si="22"/>
        <v>626.91295247538028</v>
      </c>
      <c r="F34" s="102">
        <f t="shared" si="22"/>
        <v>638.991457222995</v>
      </c>
      <c r="G34" s="102">
        <f t="shared" si="22"/>
        <v>139.34535837755743</v>
      </c>
      <c r="H34" s="102">
        <f t="shared" si="22"/>
        <v>0</v>
      </c>
      <c r="I34" s="102">
        <f t="shared" si="22"/>
        <v>132.8199569187189</v>
      </c>
      <c r="J34" s="102">
        <f t="shared" si="22"/>
        <v>137.44843590402064</v>
      </c>
      <c r="K34" s="102">
        <f t="shared" si="22"/>
        <v>244.47651736616865</v>
      </c>
      <c r="L34" s="102">
        <f t="shared" si="22"/>
        <v>24.853519615581554</v>
      </c>
      <c r="M34" s="102">
        <f t="shared" si="22"/>
        <v>24.853519615581554</v>
      </c>
      <c r="N34" s="98"/>
      <c r="P34" s="2"/>
      <c r="Q34" s="2"/>
      <c r="R34" s="2"/>
      <c r="S34" s="2"/>
      <c r="T34" s="2"/>
      <c r="U34" s="2"/>
      <c r="Y34" s="90" t="s">
        <v>103</v>
      </c>
      <c r="AO34" s="90" t="s">
        <v>102</v>
      </c>
      <c r="AP34" s="90" t="s">
        <v>103</v>
      </c>
    </row>
    <row r="35" spans="1:42">
      <c r="A35" s="90" t="s">
        <v>99</v>
      </c>
      <c r="B35" s="94" t="s">
        <v>8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2"/>
      <c r="P35" s="2"/>
      <c r="Q35" s="2"/>
      <c r="R35" s="2"/>
      <c r="S35" s="2"/>
      <c r="T35" s="2"/>
      <c r="U35" s="2"/>
      <c r="V35" s="2"/>
      <c r="W35" s="2"/>
      <c r="X35" s="2"/>
      <c r="Y35" s="94" t="s">
        <v>8</v>
      </c>
      <c r="AO35" s="90" t="s">
        <v>105</v>
      </c>
      <c r="AP35" s="94" t="s">
        <v>8</v>
      </c>
    </row>
    <row r="36" spans="1:42">
      <c r="A36" s="89">
        <v>1</v>
      </c>
      <c r="B36" s="90" t="s">
        <v>106</v>
      </c>
      <c r="C36" s="97">
        <f>标准成本!E4</f>
        <v>98.405309734513281</v>
      </c>
      <c r="D36" s="97">
        <f>标准成本!E16</f>
        <v>98.405309734513281</v>
      </c>
      <c r="E36" s="97">
        <f>标准成本!E29</f>
        <v>78.380973451327435</v>
      </c>
      <c r="F36" s="97">
        <f>标准成本!E42</f>
        <v>78.380973451327435</v>
      </c>
      <c r="G36" s="97">
        <f>标准成本!E55</f>
        <v>30.131858407079648</v>
      </c>
      <c r="H36" s="97">
        <f>标准成本!E68</f>
        <v>0</v>
      </c>
      <c r="I36" s="97">
        <f>标准成本!E81</f>
        <v>24.792035398230091</v>
      </c>
      <c r="J36" s="97">
        <f>标准成本!E94</f>
        <v>24.792035398230091</v>
      </c>
      <c r="K36" s="97">
        <f>标准成本!E107</f>
        <v>44.244247787610625</v>
      </c>
      <c r="L36" s="97">
        <f>标准成本!E120</f>
        <v>2.6699115044247792</v>
      </c>
      <c r="M36" s="97">
        <f>标准成本!E133</f>
        <v>2.6699115044247792</v>
      </c>
      <c r="N36" s="101"/>
      <c r="O36" s="2"/>
      <c r="P36" s="2"/>
      <c r="Q36" s="2"/>
      <c r="R36" s="2"/>
      <c r="S36" s="2"/>
      <c r="T36" s="2"/>
      <c r="U36" s="2"/>
      <c r="V36" s="2"/>
      <c r="W36" s="2"/>
      <c r="X36" s="2"/>
      <c r="Y36" s="90" t="s">
        <v>106</v>
      </c>
      <c r="AO36" s="90" t="s">
        <v>102</v>
      </c>
      <c r="AP36" s="90" t="s">
        <v>106</v>
      </c>
    </row>
    <row r="37" spans="1:42">
      <c r="A37" s="89">
        <v>2</v>
      </c>
      <c r="B37" s="90" t="s">
        <v>107</v>
      </c>
      <c r="C37" s="97">
        <f>标准成本!E6</f>
        <v>49.545132743362842</v>
      </c>
      <c r="D37" s="97">
        <f>标准成本!E18</f>
        <v>49.545132743362842</v>
      </c>
      <c r="E37" s="97">
        <f>标准成本!E31</f>
        <v>39.463274336283192</v>
      </c>
      <c r="F37" s="97">
        <f>标准成本!E44</f>
        <v>39.463274336283192</v>
      </c>
      <c r="G37" s="97">
        <f>标准成本!E57</f>
        <v>15.170796460176993</v>
      </c>
      <c r="H37" s="97">
        <f>标准成本!E70</f>
        <v>0</v>
      </c>
      <c r="I37" s="97">
        <f>标准成本!E83</f>
        <v>12.482300884955754</v>
      </c>
      <c r="J37" s="97">
        <f>标准成本!E96</f>
        <v>12.482300884955754</v>
      </c>
      <c r="K37" s="97">
        <f>标准成本!E109</f>
        <v>22.276106194690268</v>
      </c>
      <c r="L37" s="97">
        <f>标准成本!E122</f>
        <v>1.3442477876106198</v>
      </c>
      <c r="M37" s="97">
        <f>标准成本!E135</f>
        <v>1.3442477876106198</v>
      </c>
      <c r="N37" s="101"/>
      <c r="O37" s="2"/>
      <c r="P37" s="2"/>
      <c r="Q37" s="2"/>
      <c r="R37" s="2"/>
      <c r="S37" s="2"/>
      <c r="T37" s="2"/>
      <c r="U37" s="2"/>
      <c r="V37" s="2"/>
      <c r="W37" s="2"/>
      <c r="X37" s="2"/>
      <c r="Y37" s="90" t="s">
        <v>107</v>
      </c>
      <c r="AO37" s="90" t="s">
        <v>60</v>
      </c>
      <c r="AP37" s="90" t="s">
        <v>107</v>
      </c>
    </row>
    <row r="38" spans="1:42">
      <c r="A38" s="89">
        <v>3</v>
      </c>
      <c r="B38" s="90" t="s">
        <v>108</v>
      </c>
      <c r="C38" s="97">
        <f>标准成本!E10</f>
        <v>100.46017699115045</v>
      </c>
      <c r="D38" s="97">
        <f>标准成本!E22</f>
        <v>100.46017699115045</v>
      </c>
      <c r="E38" s="97">
        <f>标准成本!E35</f>
        <v>80.017699115044252</v>
      </c>
      <c r="F38" s="97">
        <f>标准成本!E48</f>
        <v>80.017699115044252</v>
      </c>
      <c r="G38" s="97">
        <f>标准成本!E61</f>
        <v>30.761061946902654</v>
      </c>
      <c r="H38" s="97">
        <f>标准成本!E74</f>
        <v>0</v>
      </c>
      <c r="I38" s="97">
        <f>标准成本!E87</f>
        <v>25.309734513274336</v>
      </c>
      <c r="J38" s="97">
        <f>标准成本!E100</f>
        <v>25.309734513274336</v>
      </c>
      <c r="K38" s="97">
        <f>标准成本!E113</f>
        <v>45.168141592920357</v>
      </c>
      <c r="L38" s="97">
        <f>标准成本!E126</f>
        <v>2.7256637168141595</v>
      </c>
      <c r="M38" s="97">
        <f>标准成本!E139</f>
        <v>2.7256637168141595</v>
      </c>
      <c r="N38" s="101"/>
      <c r="O38" s="2"/>
      <c r="P38" s="2"/>
      <c r="Q38" s="2"/>
      <c r="R38" s="2"/>
      <c r="S38" s="2"/>
      <c r="T38" s="2"/>
      <c r="U38" s="2"/>
      <c r="V38" s="2"/>
      <c r="W38" s="2"/>
      <c r="X38" s="2"/>
      <c r="Y38" s="90" t="s">
        <v>108</v>
      </c>
      <c r="AO38" s="90" t="s">
        <v>66</v>
      </c>
      <c r="AP38" s="90" t="s">
        <v>108</v>
      </c>
    </row>
    <row r="39" spans="1:42">
      <c r="A39" s="90" t="s">
        <v>105</v>
      </c>
      <c r="B39" s="94" t="s">
        <v>110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Y39" s="94" t="s">
        <v>110</v>
      </c>
      <c r="AO39" s="90" t="s">
        <v>109</v>
      </c>
      <c r="AP39" s="94" t="s">
        <v>110</v>
      </c>
    </row>
    <row r="40" spans="1:42">
      <c r="A40" s="89">
        <v>1</v>
      </c>
      <c r="B40" s="90" t="s">
        <v>112</v>
      </c>
      <c r="C40" s="98">
        <f t="shared" ref="C40:M40" si="23">C34-C36-C37-C38</f>
        <v>510.44393255305829</v>
      </c>
      <c r="D40" s="98">
        <f t="shared" si="23"/>
        <v>522.52243730067596</v>
      </c>
      <c r="E40" s="98">
        <f t="shared" si="23"/>
        <v>429.05100557272539</v>
      </c>
      <c r="F40" s="98">
        <f t="shared" si="23"/>
        <v>441.12951032034005</v>
      </c>
      <c r="G40" s="98">
        <f t="shared" si="23"/>
        <v>63.281641563398139</v>
      </c>
      <c r="H40" s="98">
        <f t="shared" si="23"/>
        <v>0</v>
      </c>
      <c r="I40" s="98">
        <f t="shared" si="23"/>
        <v>70.235886122258719</v>
      </c>
      <c r="J40" s="98">
        <f t="shared" si="23"/>
        <v>74.864365107560459</v>
      </c>
      <c r="K40" s="98">
        <f t="shared" si="23"/>
        <v>132.7880217909474</v>
      </c>
      <c r="L40" s="98">
        <f t="shared" si="23"/>
        <v>18.113696606731995</v>
      </c>
      <c r="M40" s="98">
        <f t="shared" si="23"/>
        <v>18.113696606731995</v>
      </c>
      <c r="N40" s="98"/>
      <c r="Y40" s="90" t="s">
        <v>112</v>
      </c>
      <c r="AO40" s="90" t="s">
        <v>55</v>
      </c>
      <c r="AP40" s="90" t="s">
        <v>112</v>
      </c>
    </row>
    <row r="41" spans="1:42">
      <c r="A41" s="89">
        <v>2</v>
      </c>
      <c r="B41" s="90" t="s">
        <v>113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Y41" s="90" t="s">
        <v>113</v>
      </c>
      <c r="AO41" s="90" t="s">
        <v>57</v>
      </c>
      <c r="AP41" s="90" t="s">
        <v>113</v>
      </c>
    </row>
    <row r="42" spans="1:42">
      <c r="A42" s="90" t="s">
        <v>109</v>
      </c>
      <c r="B42" s="94" t="s">
        <v>115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Y42" s="94" t="s">
        <v>115</v>
      </c>
      <c r="AO42" s="90" t="s">
        <v>114</v>
      </c>
      <c r="AP42" s="94" t="s">
        <v>115</v>
      </c>
    </row>
    <row r="43" spans="1:42">
      <c r="A43" s="89">
        <v>1</v>
      </c>
      <c r="B43" s="99" t="s">
        <v>116</v>
      </c>
      <c r="C43" s="97">
        <f>标准成本!E5</f>
        <v>93.61061946902656</v>
      </c>
      <c r="D43" s="97">
        <f>标准成本!E17</f>
        <v>93.61061946902656</v>
      </c>
      <c r="E43" s="97">
        <f>标准成本!E30</f>
        <v>74.561946902654881</v>
      </c>
      <c r="F43" s="97">
        <f>标准成本!E43</f>
        <v>74.561946902654881</v>
      </c>
      <c r="G43" s="97">
        <f>标准成本!E56</f>
        <v>28.663716814159294</v>
      </c>
      <c r="H43" s="97">
        <f>标准成本!E69</f>
        <v>0</v>
      </c>
      <c r="I43" s="97">
        <f>标准成本!E82</f>
        <v>23.584070796460178</v>
      </c>
      <c r="J43" s="97">
        <f>标准成本!E95</f>
        <v>23.584070796460178</v>
      </c>
      <c r="K43" s="97">
        <f>标准成本!E108</f>
        <v>42.088495575221245</v>
      </c>
      <c r="L43" s="97">
        <f>标准成本!E121</f>
        <v>2.5398230088495581</v>
      </c>
      <c r="M43" s="97">
        <f>标准成本!E134</f>
        <v>2.5398230088495581</v>
      </c>
      <c r="N43" s="98"/>
      <c r="Y43" s="90" t="s">
        <v>116</v>
      </c>
      <c r="AO43" s="90" t="s">
        <v>55</v>
      </c>
      <c r="AP43" s="90" t="s">
        <v>116</v>
      </c>
    </row>
    <row r="44" spans="1:42">
      <c r="A44" s="89">
        <v>2</v>
      </c>
      <c r="B44" s="99" t="s">
        <v>117</v>
      </c>
      <c r="C44" s="97">
        <f>标准成本!E9</f>
        <v>15.982300884955755</v>
      </c>
      <c r="D44" s="97">
        <f>标准成本!E21</f>
        <v>15.982300884955755</v>
      </c>
      <c r="E44" s="97">
        <f>标准成本!E34</f>
        <v>12.730088495575222</v>
      </c>
      <c r="F44" s="97">
        <f>标准成本!E47</f>
        <v>12.730088495575222</v>
      </c>
      <c r="G44" s="97">
        <f>标准成本!E60</f>
        <v>4.893805309734514</v>
      </c>
      <c r="H44" s="97">
        <f>标准成本!E73</f>
        <v>0</v>
      </c>
      <c r="I44" s="97">
        <f>标准成本!E86</f>
        <v>4.0265486725663724</v>
      </c>
      <c r="J44" s="97">
        <f>标准成本!E99</f>
        <v>4.0265486725663724</v>
      </c>
      <c r="K44" s="97">
        <f>标准成本!E112</f>
        <v>7.1858407079646032</v>
      </c>
      <c r="L44" s="97">
        <f>标准成本!E125</f>
        <v>0.43362831858407086</v>
      </c>
      <c r="M44" s="97">
        <f>标准成本!E138</f>
        <v>0.43362831858407086</v>
      </c>
      <c r="N44" s="98"/>
      <c r="Y44" s="90" t="s">
        <v>117</v>
      </c>
      <c r="AO44" s="90" t="s">
        <v>57</v>
      </c>
      <c r="AP44" s="90" t="s">
        <v>117</v>
      </c>
    </row>
    <row r="45" spans="1:42">
      <c r="A45" s="89">
        <v>3</v>
      </c>
      <c r="B45" s="99" t="s">
        <v>118</v>
      </c>
      <c r="C45" s="97">
        <f>标准成本!E8</f>
        <v>77.628318584070811</v>
      </c>
      <c r="D45" s="97">
        <f>标准成本!E20</f>
        <v>77.628318584070811</v>
      </c>
      <c r="E45" s="97">
        <f>标准成本!E33</f>
        <v>61.831858407079658</v>
      </c>
      <c r="F45" s="97">
        <f>标准成本!E46</f>
        <v>61.831858407079658</v>
      </c>
      <c r="G45" s="97">
        <f>标准成本!E59</f>
        <v>23.76991150442478</v>
      </c>
      <c r="H45" s="97">
        <f>标准成本!E72</f>
        <v>0</v>
      </c>
      <c r="I45" s="97">
        <f>标准成本!E85</f>
        <v>19.557522123893808</v>
      </c>
      <c r="J45" s="97">
        <f>标准成本!E98</f>
        <v>19.557522123893808</v>
      </c>
      <c r="K45" s="97">
        <f>标准成本!E111</f>
        <v>34.902654867256643</v>
      </c>
      <c r="L45" s="97">
        <f>标准成本!E124</f>
        <v>2.1061946902654873</v>
      </c>
      <c r="M45" s="97">
        <f>标准成本!E137</f>
        <v>2.1061946902654873</v>
      </c>
      <c r="N45" s="98"/>
      <c r="Y45" s="90" t="s">
        <v>118</v>
      </c>
      <c r="AO45" s="90" t="s">
        <v>102</v>
      </c>
      <c r="AP45" s="90" t="s">
        <v>118</v>
      </c>
    </row>
    <row r="46" spans="1:42" s="86" customFormat="1">
      <c r="A46" s="89">
        <v>4</v>
      </c>
      <c r="B46" s="99" t="s">
        <v>119</v>
      </c>
      <c r="C46" s="103">
        <f t="shared" ref="C46:M46" si="24">C21/C6</f>
        <v>4.5922480620155035</v>
      </c>
      <c r="D46" s="103">
        <f t="shared" si="24"/>
        <v>4.5922480620155035</v>
      </c>
      <c r="E46" s="103">
        <f t="shared" si="24"/>
        <v>4.5922480620155035</v>
      </c>
      <c r="F46" s="103">
        <f t="shared" si="24"/>
        <v>4.5922480620155035</v>
      </c>
      <c r="G46" s="103">
        <f t="shared" si="24"/>
        <v>4.5922480620155035</v>
      </c>
      <c r="H46" s="103" t="e">
        <f t="shared" si="24"/>
        <v>#DIV/0!</v>
      </c>
      <c r="I46" s="103">
        <f t="shared" si="24"/>
        <v>4.5922480620155035</v>
      </c>
      <c r="J46" s="103">
        <f t="shared" si="24"/>
        <v>4.5922480620155035</v>
      </c>
      <c r="K46" s="103">
        <f t="shared" si="24"/>
        <v>4.5922480620155035</v>
      </c>
      <c r="L46" s="103">
        <f t="shared" si="24"/>
        <v>4.5922480620155035</v>
      </c>
      <c r="M46" s="103">
        <f t="shared" si="24"/>
        <v>4.5922480620155035</v>
      </c>
      <c r="N46" s="103"/>
      <c r="Y46" s="99" t="s">
        <v>121</v>
      </c>
      <c r="AO46" s="99" t="s">
        <v>63</v>
      </c>
      <c r="AP46" s="99" t="s">
        <v>121</v>
      </c>
    </row>
    <row r="47" spans="1:42" s="86" customFormat="1">
      <c r="A47" s="89">
        <v>5</v>
      </c>
      <c r="B47" s="99" t="s">
        <v>121</v>
      </c>
      <c r="C47" s="103">
        <f>标准成本!E11</f>
        <v>68.495575221238937</v>
      </c>
      <c r="D47" s="103">
        <f>标准成本!E23</f>
        <v>68.495575221238937</v>
      </c>
      <c r="E47" s="103">
        <f>标准成本!E36</f>
        <v>54.557522123893804</v>
      </c>
      <c r="F47" s="103">
        <f>标准成本!E49</f>
        <v>54.557522123893804</v>
      </c>
      <c r="G47" s="103">
        <f>标准成本!E62</f>
        <v>20.973451327433629</v>
      </c>
      <c r="H47" s="103">
        <f>标准成本!E75</f>
        <v>0</v>
      </c>
      <c r="I47" s="103">
        <f>标准成本!E88</f>
        <v>17.256637168141594</v>
      </c>
      <c r="J47" s="103">
        <f>标准成本!E101</f>
        <v>17.256637168141594</v>
      </c>
      <c r="K47" s="103">
        <f>标准成本!E114</f>
        <v>30.796460176991154</v>
      </c>
      <c r="L47" s="103">
        <f>标准成本!E127</f>
        <v>1.8584070796460179</v>
      </c>
      <c r="M47" s="103">
        <f>标准成本!E140</f>
        <v>1.8584070796460179</v>
      </c>
      <c r="N47" s="103"/>
      <c r="Y47" s="99" t="s">
        <v>121</v>
      </c>
      <c r="AO47" s="99" t="s">
        <v>63</v>
      </c>
      <c r="AP47" s="99" t="s">
        <v>121</v>
      </c>
    </row>
    <row r="48" spans="1:42">
      <c r="A48" s="90" t="s">
        <v>114</v>
      </c>
      <c r="B48" s="94" t="s">
        <v>132</v>
      </c>
      <c r="C48" s="98">
        <f t="shared" ref="C48:M48" si="25">C40-C43-C44-C45-C47-C46</f>
        <v>250.1348703317507</v>
      </c>
      <c r="D48" s="98">
        <f t="shared" si="25"/>
        <v>262.21337507936835</v>
      </c>
      <c r="E48" s="98">
        <f t="shared" si="25"/>
        <v>220.77734158150631</v>
      </c>
      <c r="F48" s="98">
        <f t="shared" si="25"/>
        <v>232.85584632912096</v>
      </c>
      <c r="G48" s="98">
        <f t="shared" si="25"/>
        <v>-19.611491454369581</v>
      </c>
      <c r="H48" s="98" t="e">
        <f t="shared" si="25"/>
        <v>#DIV/0!</v>
      </c>
      <c r="I48" s="98">
        <f t="shared" si="25"/>
        <v>1.2188592991812612</v>
      </c>
      <c r="J48" s="98">
        <f t="shared" si="25"/>
        <v>5.8473382844830013</v>
      </c>
      <c r="K48" s="98">
        <f t="shared" si="25"/>
        <v>13.22232240149825</v>
      </c>
      <c r="L48" s="98">
        <f t="shared" si="25"/>
        <v>6.5833954473713572</v>
      </c>
      <c r="M48" s="98">
        <f t="shared" si="25"/>
        <v>6.5833954473713572</v>
      </c>
      <c r="N48" s="98"/>
      <c r="Y48" s="94" t="s">
        <v>132</v>
      </c>
      <c r="AO48" s="90" t="s">
        <v>131</v>
      </c>
      <c r="AP48" s="94" t="s">
        <v>132</v>
      </c>
    </row>
    <row r="51" spans="2:19"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4" spans="2:19">
      <c r="B54" s="2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2"/>
      <c r="P54" s="2"/>
      <c r="Q54" s="2"/>
      <c r="R54" s="2"/>
      <c r="S54" s="2"/>
    </row>
    <row r="55" spans="2:19">
      <c r="B55" s="2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2"/>
      <c r="P55" s="2"/>
      <c r="Q55" s="2"/>
      <c r="R55" s="2"/>
      <c r="S55" s="2"/>
    </row>
    <row r="56" spans="2:19">
      <c r="B56" s="2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2"/>
      <c r="P56" s="2"/>
      <c r="Q56" s="2"/>
      <c r="R56" s="2"/>
      <c r="S56" s="2"/>
    </row>
    <row r="57" spans="2:19">
      <c r="B57" s="2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2"/>
      <c r="P57" s="2"/>
      <c r="Q57" s="2"/>
      <c r="R57" s="2"/>
      <c r="S57" s="2"/>
    </row>
    <row r="58" spans="2:19">
      <c r="B58" s="2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2"/>
      <c r="P58" s="2"/>
      <c r="Q58" s="2"/>
      <c r="R58" s="2"/>
      <c r="S58" s="2"/>
    </row>
    <row r="59" spans="2:19">
      <c r="B59" s="2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2"/>
      <c r="P59" s="2"/>
      <c r="Q59" s="2"/>
      <c r="R59" s="2"/>
      <c r="S59" s="2"/>
    </row>
    <row r="60" spans="2:19">
      <c r="B60" s="2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2"/>
      <c r="P60" s="2"/>
      <c r="Q60" s="2"/>
      <c r="R60" s="2"/>
      <c r="S60" s="2"/>
    </row>
    <row r="61" spans="2:19">
      <c r="B61" s="2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2"/>
      <c r="P61" s="2"/>
      <c r="Q61" s="2"/>
      <c r="R61" s="2"/>
      <c r="S61" s="2"/>
    </row>
    <row r="62" spans="2:19">
      <c r="B62" s="2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2"/>
      <c r="P62" s="2"/>
      <c r="Q62" s="2"/>
      <c r="R62" s="2"/>
      <c r="S62" s="2"/>
    </row>
    <row r="63" spans="2:19">
      <c r="B63" s="2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2"/>
      <c r="P63" s="2"/>
      <c r="Q63" s="2"/>
      <c r="R63" s="2"/>
      <c r="S63" s="2"/>
    </row>
    <row r="64" spans="2:19">
      <c r="B64" s="2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2"/>
      <c r="P64" s="2"/>
      <c r="Q64" s="2"/>
      <c r="R64" s="2"/>
      <c r="S64" s="2"/>
    </row>
    <row r="65" spans="2:19">
      <c r="B65" s="2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2"/>
      <c r="P65" s="2"/>
      <c r="Q65" s="2"/>
      <c r="R65" s="2"/>
      <c r="S65" s="2"/>
    </row>
    <row r="66" spans="2:19">
      <c r="B66" s="2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2"/>
      <c r="P66" s="2"/>
      <c r="Q66" s="2"/>
      <c r="R66" s="2"/>
      <c r="S66" s="2"/>
    </row>
    <row r="67" spans="2:19">
      <c r="B67" s="2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2"/>
    </row>
    <row r="68" spans="2:19">
      <c r="B68" s="2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2"/>
    </row>
    <row r="69" spans="2:19">
      <c r="B69" s="2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2"/>
    </row>
    <row r="70" spans="2:19">
      <c r="B70" s="2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2"/>
    </row>
    <row r="71" spans="2:19">
      <c r="B71" s="2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2"/>
    </row>
    <row r="72" spans="2:19">
      <c r="B72" s="2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2"/>
    </row>
    <row r="73" spans="2:19">
      <c r="B73" s="2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2"/>
    </row>
    <row r="74" spans="2:19">
      <c r="B74" s="2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2" activePane="bottomRight" state="frozen"/>
      <selection pane="topRight"/>
      <selection pane="bottomLeft"/>
      <selection pane="bottomRight" activeCell="G10" sqref="G10"/>
    </sheetView>
  </sheetViews>
  <sheetFormatPr defaultColWidth="9" defaultRowHeight="13.5"/>
  <cols>
    <col min="1" max="1" width="19.5" customWidth="1"/>
    <col min="2" max="2" width="14.875" style="57" customWidth="1"/>
    <col min="3" max="3" width="9.25" customWidth="1"/>
    <col min="4" max="4" width="15.5" bestFit="1" customWidth="1"/>
    <col min="5" max="5" width="19.25" customWidth="1"/>
    <col min="6" max="6" width="15.5" bestFit="1" customWidth="1"/>
    <col min="7" max="7" width="20.5" bestFit="1" customWidth="1"/>
    <col min="8" max="8" width="13" customWidth="1"/>
    <col min="9" max="9" width="14.875" customWidth="1"/>
    <col min="10" max="10" width="13" customWidth="1"/>
  </cols>
  <sheetData>
    <row r="1" spans="1:10" ht="20.25">
      <c r="A1" s="210" t="s">
        <v>175</v>
      </c>
      <c r="B1" s="210"/>
      <c r="C1" s="210"/>
      <c r="E1" s="211" t="s">
        <v>176</v>
      </c>
      <c r="F1" s="212"/>
      <c r="G1" s="212"/>
      <c r="H1" s="213"/>
    </row>
    <row r="2" spans="1:10" ht="23.45" customHeight="1">
      <c r="A2" s="58" t="s">
        <v>1</v>
      </c>
      <c r="B2" s="59" t="s">
        <v>177</v>
      </c>
      <c r="C2" s="60" t="s">
        <v>178</v>
      </c>
      <c r="E2" s="61" t="s">
        <v>179</v>
      </c>
      <c r="F2" s="61" t="s">
        <v>1</v>
      </c>
      <c r="G2" s="62" t="s">
        <v>180</v>
      </c>
      <c r="H2" s="61" t="s">
        <v>178</v>
      </c>
    </row>
    <row r="3" spans="1:10" ht="15.75" customHeight="1">
      <c r="A3" s="63" t="s">
        <v>181</v>
      </c>
      <c r="B3" s="64"/>
      <c r="C3" s="65"/>
      <c r="E3" s="218" t="s">
        <v>182</v>
      </c>
      <c r="F3" s="66" t="s">
        <v>183</v>
      </c>
      <c r="G3" s="67">
        <v>0</v>
      </c>
      <c r="H3" s="66"/>
    </row>
    <row r="4" spans="1:10" ht="15.75" customHeight="1">
      <c r="A4" s="63" t="s">
        <v>184</v>
      </c>
      <c r="B4" s="64"/>
      <c r="C4" s="68"/>
      <c r="E4" s="219"/>
      <c r="F4" s="66" t="s">
        <v>185</v>
      </c>
      <c r="G4" s="67">
        <v>178.5</v>
      </c>
      <c r="H4" s="66"/>
    </row>
    <row r="5" spans="1:10" ht="15.75" customHeight="1">
      <c r="A5" s="63" t="s">
        <v>186</v>
      </c>
      <c r="B5" s="69">
        <f>SUM(G3:G4)</f>
        <v>178.5</v>
      </c>
      <c r="C5" s="65"/>
      <c r="E5" s="220" t="s">
        <v>187</v>
      </c>
      <c r="F5" s="70" t="s">
        <v>188</v>
      </c>
      <c r="G5" s="67">
        <v>0</v>
      </c>
      <c r="H5" s="70"/>
    </row>
    <row r="6" spans="1:10" ht="15.75" customHeight="1">
      <c r="A6" s="63" t="s">
        <v>189</v>
      </c>
      <c r="B6" s="64"/>
      <c r="C6" s="65"/>
      <c r="E6" s="221"/>
      <c r="F6" s="70" t="s">
        <v>190</v>
      </c>
      <c r="G6" s="67">
        <v>242.98</v>
      </c>
      <c r="H6" s="66"/>
      <c r="J6">
        <v>10000</v>
      </c>
    </row>
    <row r="7" spans="1:10" ht="15.75" customHeight="1">
      <c r="A7" s="71" t="s">
        <v>191</v>
      </c>
      <c r="B7" s="69">
        <f>SUM(B3:B6)</f>
        <v>178.5</v>
      </c>
      <c r="C7" s="65"/>
      <c r="E7" s="221"/>
      <c r="F7" s="70" t="s">
        <v>192</v>
      </c>
      <c r="G7" s="67">
        <v>18</v>
      </c>
      <c r="H7" s="66"/>
    </row>
    <row r="8" spans="1:10" ht="15.75" customHeight="1">
      <c r="A8" s="72" t="s">
        <v>193</v>
      </c>
      <c r="B8" s="69">
        <f>SUM(G5:G12)</f>
        <v>401.08</v>
      </c>
      <c r="C8" s="73"/>
      <c r="E8" s="221"/>
      <c r="F8" s="70" t="s">
        <v>194</v>
      </c>
      <c r="G8" s="67">
        <v>0</v>
      </c>
      <c r="H8" s="66"/>
    </row>
    <row r="9" spans="1:10" ht="15.75" customHeight="1">
      <c r="A9" s="63" t="s">
        <v>195</v>
      </c>
      <c r="B9" s="69">
        <f>SUM(G13:G21)</f>
        <v>118.48</v>
      </c>
      <c r="C9" s="65"/>
      <c r="E9" s="221"/>
      <c r="F9" s="66" t="s">
        <v>196</v>
      </c>
      <c r="G9" s="74">
        <v>95.9</v>
      </c>
      <c r="H9" s="75"/>
    </row>
    <row r="10" spans="1:10" ht="15.75" customHeight="1">
      <c r="A10" s="68" t="s">
        <v>51</v>
      </c>
      <c r="B10" s="69">
        <f>B7+B8+B9</f>
        <v>698.06</v>
      </c>
      <c r="C10" s="65"/>
      <c r="E10" s="221"/>
      <c r="F10" s="66" t="s">
        <v>197</v>
      </c>
      <c r="G10" s="74">
        <v>27.2</v>
      </c>
      <c r="H10" s="66"/>
    </row>
    <row r="11" spans="1:10" ht="15.75" customHeight="1">
      <c r="E11" s="221"/>
      <c r="F11" s="66" t="s">
        <v>198</v>
      </c>
      <c r="G11" s="67">
        <v>17</v>
      </c>
      <c r="H11" s="66"/>
    </row>
    <row r="12" spans="1:10" ht="15.75" customHeight="1">
      <c r="E12" s="222"/>
      <c r="F12" s="66" t="s">
        <v>199</v>
      </c>
      <c r="G12" s="67">
        <v>0</v>
      </c>
      <c r="H12" s="75"/>
    </row>
    <row r="13" spans="1:10" ht="15.75" customHeight="1">
      <c r="E13" s="218" t="s">
        <v>83</v>
      </c>
      <c r="F13" s="66" t="s">
        <v>200</v>
      </c>
      <c r="G13" s="67">
        <v>0</v>
      </c>
      <c r="H13" s="76"/>
    </row>
    <row r="14" spans="1:10" ht="15.75" customHeight="1">
      <c r="E14" s="219"/>
      <c r="F14" s="66" t="s">
        <v>201</v>
      </c>
      <c r="G14" s="67">
        <v>1.44</v>
      </c>
      <c r="H14" s="66"/>
    </row>
    <row r="15" spans="1:10" ht="15.75" customHeight="1">
      <c r="E15" s="219"/>
      <c r="F15" s="66" t="s">
        <v>202</v>
      </c>
      <c r="G15" s="67">
        <v>0.14000000000000001</v>
      </c>
      <c r="H15" s="66"/>
    </row>
    <row r="16" spans="1:10" ht="15.75" customHeight="1">
      <c r="E16" s="219"/>
      <c r="F16" s="66" t="s">
        <v>203</v>
      </c>
      <c r="G16" s="67">
        <v>3.5</v>
      </c>
      <c r="H16" s="66"/>
    </row>
    <row r="17" spans="1:10" ht="15.75" customHeight="1">
      <c r="E17" s="219"/>
      <c r="F17" s="66" t="s">
        <v>204</v>
      </c>
      <c r="G17" s="67">
        <v>6.4</v>
      </c>
      <c r="H17" s="66"/>
    </row>
    <row r="18" spans="1:10" ht="15.75" customHeight="1">
      <c r="E18" s="219"/>
      <c r="F18" s="66" t="s">
        <v>205</v>
      </c>
      <c r="G18" s="67">
        <v>32</v>
      </c>
      <c r="H18" s="66"/>
    </row>
    <row r="19" spans="1:10" ht="15.75" customHeight="1">
      <c r="E19" s="219"/>
      <c r="F19" s="66" t="s">
        <v>206</v>
      </c>
      <c r="G19" s="67">
        <v>75</v>
      </c>
      <c r="H19" s="66"/>
    </row>
    <row r="20" spans="1:10" ht="15.75" customHeight="1">
      <c r="E20" s="219"/>
      <c r="F20" s="66" t="s">
        <v>207</v>
      </c>
      <c r="G20" s="67"/>
      <c r="H20" s="66"/>
    </row>
    <row r="21" spans="1:10" ht="15.75" customHeight="1">
      <c r="E21" s="223"/>
      <c r="F21" s="66" t="s">
        <v>35</v>
      </c>
      <c r="G21" s="67"/>
      <c r="H21" s="66"/>
    </row>
    <row r="22" spans="1:10" ht="15.75" customHeight="1">
      <c r="E22" s="61" t="s">
        <v>51</v>
      </c>
      <c r="F22" s="66"/>
      <c r="G22" s="62">
        <f>SUM(G3:G21)</f>
        <v>698.06000000000006</v>
      </c>
      <c r="H22" s="66"/>
    </row>
    <row r="23" spans="1:10" ht="30.75" customHeight="1">
      <c r="E23" s="214" t="s">
        <v>208</v>
      </c>
      <c r="F23" s="214"/>
      <c r="G23" s="214"/>
      <c r="H23" s="214"/>
    </row>
    <row r="25" spans="1:10" ht="17.25">
      <c r="A25" s="77" t="s">
        <v>1</v>
      </c>
      <c r="B25" s="77" t="s">
        <v>177</v>
      </c>
      <c r="C25" s="77" t="s">
        <v>209</v>
      </c>
      <c r="D25" s="78" t="s">
        <v>48</v>
      </c>
      <c r="E25" s="78" t="s">
        <v>49</v>
      </c>
      <c r="F25" s="78" t="s">
        <v>50</v>
      </c>
      <c r="G25" s="78" t="s">
        <v>210</v>
      </c>
      <c r="H25" s="78" t="s">
        <v>211</v>
      </c>
      <c r="I25" s="78" t="s">
        <v>51</v>
      </c>
      <c r="J25" s="83" t="s">
        <v>212</v>
      </c>
    </row>
    <row r="26" spans="1:10" ht="16.5">
      <c r="A26" s="79" t="s">
        <v>168</v>
      </c>
      <c r="B26" s="80">
        <f>(B5+B8)*10000</f>
        <v>5795799.9999999991</v>
      </c>
      <c r="C26" s="81">
        <v>0.05</v>
      </c>
      <c r="D26" s="82">
        <f>B26*(1-C26)/3</f>
        <v>1835336.6666666663</v>
      </c>
      <c r="E26" s="82">
        <f t="shared" ref="E26:F27" si="0">D26</f>
        <v>1835336.6666666663</v>
      </c>
      <c r="F26" s="82">
        <f t="shared" si="0"/>
        <v>1835336.6666666663</v>
      </c>
      <c r="G26" s="82"/>
      <c r="H26" s="82"/>
      <c r="I26" s="82">
        <f>SUM(D26:H26)</f>
        <v>5506009.9999999991</v>
      </c>
      <c r="J26" s="82">
        <f>B26*0.05</f>
        <v>289789.99999999994</v>
      </c>
    </row>
    <row r="27" spans="1:10" ht="16.5">
      <c r="A27" s="79" t="s">
        <v>213</v>
      </c>
      <c r="B27" s="80">
        <f>B9*10000</f>
        <v>1184800</v>
      </c>
      <c r="C27" s="82"/>
      <c r="D27" s="82">
        <f>B27/3</f>
        <v>394933.33333333331</v>
      </c>
      <c r="E27" s="82">
        <f t="shared" si="0"/>
        <v>394933.33333333331</v>
      </c>
      <c r="F27" s="82">
        <f t="shared" si="0"/>
        <v>394933.33333333331</v>
      </c>
      <c r="G27" s="82"/>
      <c r="H27" s="82"/>
      <c r="I27" s="82">
        <f>SUM(D27:H27)</f>
        <v>1184800</v>
      </c>
      <c r="J27" s="82"/>
    </row>
    <row r="28" spans="1:10" ht="16.5">
      <c r="A28" s="215" t="s">
        <v>140</v>
      </c>
      <c r="B28" s="216"/>
      <c r="C28" s="217"/>
      <c r="D28" s="82">
        <f>SUM(D26:D27)</f>
        <v>2230269.9999999995</v>
      </c>
      <c r="E28" s="82">
        <f t="shared" ref="E28:H28" si="1">SUM(E26:E27)</f>
        <v>2230269.9999999995</v>
      </c>
      <c r="F28" s="82">
        <f t="shared" si="1"/>
        <v>2230269.9999999995</v>
      </c>
      <c r="G28" s="82">
        <f t="shared" si="1"/>
        <v>0</v>
      </c>
      <c r="H28" s="82">
        <f t="shared" si="1"/>
        <v>0</v>
      </c>
      <c r="I28" s="84"/>
      <c r="J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0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4" zoomScale="85" zoomScaleNormal="85" workbookViewId="0">
      <selection activeCell="C15" sqref="C15"/>
    </sheetView>
  </sheetViews>
  <sheetFormatPr defaultColWidth="9" defaultRowHeight="16.5"/>
  <cols>
    <col min="1" max="1" width="14" style="41" customWidth="1"/>
    <col min="2" max="2" width="14.125" style="41" customWidth="1"/>
    <col min="3" max="3" width="14.75" style="41" bestFit="1" customWidth="1"/>
    <col min="4" max="4" width="11.125" style="41" customWidth="1"/>
    <col min="5" max="5" width="12.875" style="41" bestFit="1" customWidth="1"/>
    <col min="6" max="6" width="11.125" style="41" customWidth="1"/>
    <col min="7" max="7" width="13.25" style="41" customWidth="1"/>
    <col min="8" max="8" width="12.125" style="41" customWidth="1"/>
    <col min="9" max="9" width="13.125" style="41" customWidth="1"/>
    <col min="10" max="13" width="12.125" style="41" customWidth="1"/>
    <col min="14" max="14" width="11.625" style="41" customWidth="1"/>
    <col min="15" max="15" width="9.25" style="41" customWidth="1"/>
    <col min="16" max="16" width="9.125" style="42" customWidth="1"/>
    <col min="17" max="17" width="12.875" style="42"/>
    <col min="18" max="16384" width="9" style="41"/>
  </cols>
  <sheetData>
    <row r="1" spans="1:17" ht="29.25" customHeight="1">
      <c r="A1" s="43" t="s">
        <v>214</v>
      </c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7" ht="24" customHeight="1">
      <c r="A2" s="45" t="s">
        <v>215</v>
      </c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7">
      <c r="C3" s="41" t="s">
        <v>216</v>
      </c>
      <c r="D3" s="41" t="s">
        <v>217</v>
      </c>
      <c r="E3" s="46">
        <v>0.05</v>
      </c>
    </row>
    <row r="5" spans="1:17" ht="45" customHeight="1">
      <c r="A5" s="225" t="s">
        <v>218</v>
      </c>
      <c r="B5" s="47" t="s">
        <v>146</v>
      </c>
      <c r="C5" s="14" t="s">
        <v>147</v>
      </c>
      <c r="D5" s="14" t="s">
        <v>147</v>
      </c>
      <c r="E5" s="14" t="s">
        <v>147</v>
      </c>
      <c r="F5" s="14" t="s">
        <v>147</v>
      </c>
      <c r="G5" s="14" t="s">
        <v>148</v>
      </c>
      <c r="H5" s="14" t="s">
        <v>148</v>
      </c>
      <c r="I5" s="14" t="s">
        <v>148</v>
      </c>
      <c r="J5" s="14" t="s">
        <v>148</v>
      </c>
      <c r="K5" s="14" t="s">
        <v>148</v>
      </c>
      <c r="L5" s="14" t="s">
        <v>149</v>
      </c>
      <c r="M5" s="14" t="s">
        <v>149</v>
      </c>
      <c r="N5" s="226" t="s">
        <v>51</v>
      </c>
    </row>
    <row r="6" spans="1:17" ht="31.5" customHeight="1">
      <c r="A6" s="225"/>
      <c r="B6" s="47" t="s">
        <v>150</v>
      </c>
      <c r="C6" s="14" t="s">
        <v>151</v>
      </c>
      <c r="D6" s="16" t="s">
        <v>152</v>
      </c>
      <c r="E6" s="16" t="s">
        <v>153</v>
      </c>
      <c r="F6" s="16" t="s">
        <v>154</v>
      </c>
      <c r="G6" s="16" t="s">
        <v>155</v>
      </c>
      <c r="H6" s="16" t="s">
        <v>156</v>
      </c>
      <c r="I6" s="16" t="s">
        <v>157</v>
      </c>
      <c r="J6" s="16" t="s">
        <v>158</v>
      </c>
      <c r="K6" s="16" t="s">
        <v>159</v>
      </c>
      <c r="L6" s="16" t="s">
        <v>160</v>
      </c>
      <c r="M6" s="16" t="s">
        <v>161</v>
      </c>
      <c r="N6" s="227"/>
      <c r="P6" s="42">
        <v>100</v>
      </c>
    </row>
    <row r="7" spans="1:17" ht="15.6" customHeight="1">
      <c r="A7" s="225"/>
      <c r="B7" s="16" t="s">
        <v>219</v>
      </c>
      <c r="C7" s="48" t="s">
        <v>163</v>
      </c>
      <c r="D7" s="48" t="s">
        <v>163</v>
      </c>
      <c r="E7" s="16" t="s">
        <v>164</v>
      </c>
      <c r="F7" s="16" t="s">
        <v>164</v>
      </c>
      <c r="G7" s="48" t="s">
        <v>163</v>
      </c>
      <c r="H7" s="48" t="s">
        <v>163</v>
      </c>
      <c r="I7" s="16" t="s">
        <v>164</v>
      </c>
      <c r="J7" s="16" t="s">
        <v>164</v>
      </c>
      <c r="K7" s="16" t="s">
        <v>165</v>
      </c>
      <c r="L7" s="16" t="s">
        <v>166</v>
      </c>
      <c r="M7" s="16" t="s">
        <v>166</v>
      </c>
      <c r="N7" s="228"/>
      <c r="O7" s="41">
        <v>2026</v>
      </c>
      <c r="P7" s="42">
        <f>P6*(1-$E$3)</f>
        <v>95</v>
      </c>
      <c r="Q7" s="42">
        <f>P7/$P$6</f>
        <v>0.95</v>
      </c>
    </row>
    <row r="8" spans="1:17" ht="33">
      <c r="A8" s="225"/>
      <c r="B8" s="16" t="s">
        <v>220</v>
      </c>
      <c r="C8" s="49">
        <f>2580/1.13</f>
        <v>2283.1858407079649</v>
      </c>
      <c r="D8" s="49">
        <f>2580/1.13</f>
        <v>2283.1858407079649</v>
      </c>
      <c r="E8" s="49">
        <f>2055/1.13</f>
        <v>1818.5840707964603</v>
      </c>
      <c r="F8" s="49">
        <f>2055/1.13</f>
        <v>1818.5840707964603</v>
      </c>
      <c r="G8" s="50">
        <f>790/1.13</f>
        <v>699.11504424778764</v>
      </c>
      <c r="H8" s="50"/>
      <c r="I8" s="50">
        <f>650/1.13</f>
        <v>575.22123893805315</v>
      </c>
      <c r="J8" s="50">
        <f>650/1.13</f>
        <v>575.22123893805315</v>
      </c>
      <c r="K8" s="50">
        <f>1160/1.13</f>
        <v>1026.5486725663718</v>
      </c>
      <c r="L8" s="50">
        <f>70/1.13</f>
        <v>61.946902654867266</v>
      </c>
      <c r="M8" s="50">
        <f>70/1.13</f>
        <v>61.946902654867266</v>
      </c>
      <c r="N8" s="56">
        <f>SUM(C8:M8)</f>
        <v>11203.53982300885</v>
      </c>
      <c r="O8" s="41">
        <v>2027</v>
      </c>
      <c r="P8" s="42">
        <f t="shared" ref="P8:P10" si="0">P7*(1-$E$3)</f>
        <v>90.25</v>
      </c>
      <c r="Q8" s="42">
        <f>P8/$P$6</f>
        <v>0.90249999999999997</v>
      </c>
    </row>
    <row r="9" spans="1:17" ht="17.25">
      <c r="A9" s="225" t="s">
        <v>221</v>
      </c>
      <c r="B9" s="51" t="s">
        <v>48</v>
      </c>
      <c r="C9" s="52">
        <v>2000</v>
      </c>
      <c r="D9" s="52">
        <v>500</v>
      </c>
      <c r="E9" s="52">
        <v>3000</v>
      </c>
      <c r="F9" s="52">
        <v>500</v>
      </c>
      <c r="G9" s="52">
        <v>2000</v>
      </c>
      <c r="H9" s="52"/>
      <c r="I9" s="52">
        <v>3000</v>
      </c>
      <c r="J9" s="52">
        <v>500</v>
      </c>
      <c r="K9" s="52">
        <v>50</v>
      </c>
      <c r="L9" s="52">
        <v>5000</v>
      </c>
      <c r="M9" s="52">
        <v>1000</v>
      </c>
      <c r="N9" s="56">
        <f>SUM(C9:M9)</f>
        <v>17550</v>
      </c>
      <c r="P9" s="42">
        <f t="shared" si="0"/>
        <v>85.737499999999997</v>
      </c>
      <c r="Q9" s="42">
        <f>P9/$P$6</f>
        <v>0.857375</v>
      </c>
    </row>
    <row r="10" spans="1:17" ht="17.25">
      <c r="A10" s="225"/>
      <c r="B10" s="51" t="s">
        <v>49</v>
      </c>
      <c r="C10" s="52">
        <v>10000</v>
      </c>
      <c r="D10" s="52">
        <v>5000</v>
      </c>
      <c r="E10" s="52">
        <v>10000</v>
      </c>
      <c r="F10" s="52">
        <v>5000</v>
      </c>
      <c r="G10" s="52">
        <v>10000</v>
      </c>
      <c r="H10" s="52"/>
      <c r="I10" s="52">
        <v>10000</v>
      </c>
      <c r="J10" s="52">
        <v>5000</v>
      </c>
      <c r="K10" s="52">
        <v>500</v>
      </c>
      <c r="L10" s="52">
        <v>20000</v>
      </c>
      <c r="M10" s="52">
        <v>10000</v>
      </c>
      <c r="N10" s="56">
        <f>SUM(C10:M10)</f>
        <v>85500</v>
      </c>
      <c r="P10" s="42">
        <f t="shared" si="0"/>
        <v>81.450624999999988</v>
      </c>
      <c r="Q10" s="42">
        <f t="shared" ref="Q10" si="1">P10/$P$6</f>
        <v>0.81450624999999988</v>
      </c>
    </row>
    <row r="11" spans="1:17" ht="17.25">
      <c r="A11" s="225"/>
      <c r="B11" s="51" t="s">
        <v>50</v>
      </c>
      <c r="C11" s="52">
        <v>10000</v>
      </c>
      <c r="D11" s="52">
        <v>5000</v>
      </c>
      <c r="E11" s="52">
        <v>10000</v>
      </c>
      <c r="F11" s="52">
        <v>5000</v>
      </c>
      <c r="G11" s="52">
        <v>10000</v>
      </c>
      <c r="H11" s="52"/>
      <c r="I11" s="52">
        <v>10000</v>
      </c>
      <c r="J11" s="52">
        <v>5000</v>
      </c>
      <c r="K11" s="52">
        <v>1000</v>
      </c>
      <c r="L11" s="52">
        <v>20000</v>
      </c>
      <c r="M11" s="52">
        <v>10000</v>
      </c>
      <c r="N11" s="56">
        <f>SUM(C11:M11)</f>
        <v>86000</v>
      </c>
    </row>
    <row r="12" spans="1:17" ht="17.25">
      <c r="A12" s="225"/>
      <c r="B12" s="51" t="s">
        <v>210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6">
        <f>SUM(C12:H12)</f>
        <v>0</v>
      </c>
    </row>
    <row r="13" spans="1:17" ht="18.75">
      <c r="A13" s="225"/>
      <c r="B13" s="51" t="s">
        <v>211</v>
      </c>
      <c r="C13" s="52"/>
      <c r="D13" s="52"/>
      <c r="E13" s="52"/>
      <c r="F13" s="52"/>
      <c r="G13" s="52"/>
      <c r="H13" s="53"/>
      <c r="I13" s="53"/>
      <c r="J13" s="53"/>
      <c r="K13" s="53"/>
      <c r="L13" s="53"/>
      <c r="M13" s="53"/>
      <c r="N13" s="56">
        <f>SUM(C13:H13)</f>
        <v>0</v>
      </c>
    </row>
    <row r="14" spans="1:17" ht="17.25">
      <c r="A14" s="224" t="s">
        <v>51</v>
      </c>
      <c r="B14" s="224"/>
      <c r="C14" s="54">
        <f t="shared" ref="C14:N14" si="2">SUM(C9:C13)</f>
        <v>22000</v>
      </c>
      <c r="D14" s="54">
        <f t="shared" si="2"/>
        <v>10500</v>
      </c>
      <c r="E14" s="54">
        <f t="shared" si="2"/>
        <v>23000</v>
      </c>
      <c r="F14" s="54">
        <f t="shared" si="2"/>
        <v>10500</v>
      </c>
      <c r="G14" s="54">
        <f t="shared" si="2"/>
        <v>22000</v>
      </c>
      <c r="H14" s="54">
        <f t="shared" si="2"/>
        <v>0</v>
      </c>
      <c r="I14" s="54">
        <f t="shared" si="2"/>
        <v>23000</v>
      </c>
      <c r="J14" s="54">
        <f t="shared" si="2"/>
        <v>10500</v>
      </c>
      <c r="K14" s="54">
        <f t="shared" si="2"/>
        <v>1550</v>
      </c>
      <c r="L14" s="54">
        <f t="shared" si="2"/>
        <v>45000</v>
      </c>
      <c r="M14" s="54">
        <f t="shared" si="2"/>
        <v>21000</v>
      </c>
      <c r="N14" s="54">
        <f t="shared" si="2"/>
        <v>189050</v>
      </c>
    </row>
    <row r="15" spans="1:17" ht="36">
      <c r="A15" s="55"/>
      <c r="B15" s="55"/>
      <c r="C15" s="190" t="s">
        <v>300</v>
      </c>
    </row>
    <row r="16" spans="1:17">
      <c r="B16" s="41" t="s">
        <v>291</v>
      </c>
      <c r="C16" s="184">
        <f>材料成本!D24</f>
        <v>1689.0097381561</v>
      </c>
      <c r="D16" s="184">
        <f>材料成本!E24</f>
        <v>1675.6263533941967</v>
      </c>
      <c r="E16" s="184">
        <f>材料成本!F24</f>
        <v>1320.4112114361001</v>
      </c>
      <c r="F16" s="184">
        <f>材料成本!G24</f>
        <v>1307.0278266742</v>
      </c>
      <c r="G16" s="184">
        <f>材料成本!H24</f>
        <v>620.24341924679254</v>
      </c>
      <c r="H16" s="184"/>
      <c r="I16" s="184">
        <f>材料成本!J24</f>
        <v>490.19532633721252</v>
      </c>
      <c r="J16" s="184">
        <f>材料成本!K24</f>
        <v>485.06681776624106</v>
      </c>
      <c r="K16" s="184">
        <f>材料成本!L24</f>
        <v>866.56194482016986</v>
      </c>
      <c r="L16" s="184">
        <f>材料成本!M24</f>
        <v>41.100701428571433</v>
      </c>
      <c r="M16" s="184">
        <f>材料成本!N24</f>
        <v>41.100701428571433</v>
      </c>
      <c r="N16" s="55">
        <f>SUM(C16:M16)</f>
        <v>8536.3440406881564</v>
      </c>
    </row>
    <row r="17" spans="2:14">
      <c r="B17" s="41" t="s">
        <v>292</v>
      </c>
      <c r="C17" s="184">
        <f>C8-C16</f>
        <v>594.17610255186491</v>
      </c>
      <c r="D17" s="184">
        <f t="shared" ref="D17:M17" si="3">D8-D16</f>
        <v>607.55948731376816</v>
      </c>
      <c r="E17" s="184">
        <f t="shared" si="3"/>
        <v>498.17285936036023</v>
      </c>
      <c r="F17" s="184">
        <f t="shared" si="3"/>
        <v>511.5562441222603</v>
      </c>
      <c r="G17" s="184">
        <f t="shared" si="3"/>
        <v>78.871625000995095</v>
      </c>
      <c r="H17" s="184">
        <f t="shared" si="3"/>
        <v>0</v>
      </c>
      <c r="I17" s="184">
        <f t="shared" si="3"/>
        <v>85.025912600840627</v>
      </c>
      <c r="J17" s="184">
        <f t="shared" si="3"/>
        <v>90.154421171812089</v>
      </c>
      <c r="K17" s="184">
        <f t="shared" si="3"/>
        <v>159.98672774620195</v>
      </c>
      <c r="L17" s="184">
        <f t="shared" si="3"/>
        <v>20.846201226295832</v>
      </c>
      <c r="M17" s="184">
        <f t="shared" si="3"/>
        <v>20.846201226295832</v>
      </c>
      <c r="N17" s="55">
        <f>SUM(C17:M17)</f>
        <v>2667.1957823206949</v>
      </c>
    </row>
    <row r="18" spans="2:14">
      <c r="B18" s="41" t="s">
        <v>293</v>
      </c>
      <c r="C18" s="185">
        <f>C17/C8</f>
        <v>0.2602399208851191</v>
      </c>
      <c r="D18" s="185">
        <f t="shared" ref="D18:N18" si="4">D17/D8</f>
        <v>0.26610163591649533</v>
      </c>
      <c r="E18" s="185">
        <f t="shared" si="4"/>
        <v>0.27393446767747298</v>
      </c>
      <c r="F18" s="185">
        <f t="shared" si="4"/>
        <v>0.28129370114752023</v>
      </c>
      <c r="G18" s="186">
        <f t="shared" si="4"/>
        <v>0.11281637500142336</v>
      </c>
      <c r="H18" s="186" t="e">
        <f t="shared" si="4"/>
        <v>#DIV/0!</v>
      </c>
      <c r="I18" s="186">
        <f t="shared" si="4"/>
        <v>0.14781427882915368</v>
      </c>
      <c r="J18" s="186">
        <f t="shared" si="4"/>
        <v>0.15672999372945792</v>
      </c>
      <c r="K18" s="185">
        <f t="shared" si="4"/>
        <v>0.15584913995966224</v>
      </c>
      <c r="L18" s="185">
        <f t="shared" si="4"/>
        <v>0.33651724836734698</v>
      </c>
      <c r="M18" s="185">
        <f t="shared" si="4"/>
        <v>0.33651724836734698</v>
      </c>
      <c r="N18" s="185">
        <f t="shared" si="4"/>
        <v>0.238067238074438</v>
      </c>
    </row>
  </sheetData>
  <mergeCells count="4">
    <mergeCell ref="A14:B14"/>
    <mergeCell ref="A5:A8"/>
    <mergeCell ref="A9:A13"/>
    <mergeCell ref="N5:N7"/>
  </mergeCells>
  <phoneticPr fontId="40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pane xSplit="3" ySplit="5" topLeftCell="D18" activePane="bottomRight" state="frozen"/>
      <selection pane="topRight"/>
      <selection pane="bottomLeft"/>
      <selection pane="bottomRight" activeCell="J18" sqref="J18"/>
    </sheetView>
  </sheetViews>
  <sheetFormatPr defaultColWidth="9" defaultRowHeight="16.5"/>
  <cols>
    <col min="1" max="2" width="4.375" style="26" customWidth="1"/>
    <col min="3" max="3" width="8.125" style="26" customWidth="1"/>
    <col min="4" max="8" width="12" style="27" customWidth="1"/>
    <col min="9" max="9" width="6.375" style="27" customWidth="1"/>
    <col min="10" max="15" width="12" style="27" customWidth="1"/>
    <col min="16" max="16" width="12.25" style="26" customWidth="1"/>
    <col min="17" max="17" width="13.25" style="26" customWidth="1"/>
    <col min="18" max="18" width="16" style="26" customWidth="1"/>
    <col min="19" max="16384" width="9" style="26"/>
  </cols>
  <sheetData>
    <row r="1" spans="1:18" s="25" customFormat="1" ht="28.5" customHeight="1">
      <c r="A1" s="229" t="s">
        <v>7</v>
      </c>
      <c r="B1" s="229"/>
      <c r="C1" s="28"/>
      <c r="D1" s="189" t="s">
        <v>300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R1" s="40"/>
    </row>
    <row r="2" spans="1:18">
      <c r="A2" s="230" t="s">
        <v>222</v>
      </c>
      <c r="B2" s="230"/>
      <c r="C2" s="231"/>
      <c r="D2" s="232"/>
      <c r="E2" s="233" t="s">
        <v>223</v>
      </c>
      <c r="F2" s="234"/>
      <c r="G2" s="234"/>
      <c r="H2" s="234"/>
      <c r="I2" s="234"/>
      <c r="J2" s="234"/>
      <c r="K2" s="234"/>
      <c r="L2" s="234"/>
      <c r="M2" s="234"/>
      <c r="N2" s="234"/>
      <c r="O2" s="235"/>
    </row>
    <row r="3" spans="1:18" ht="30">
      <c r="A3" s="247" t="s">
        <v>17</v>
      </c>
      <c r="B3" s="247" t="s">
        <v>224</v>
      </c>
      <c r="C3" s="31" t="s">
        <v>225</v>
      </c>
      <c r="D3" s="236" t="s">
        <v>226</v>
      </c>
      <c r="E3" s="236"/>
      <c r="F3" s="30" t="s">
        <v>227</v>
      </c>
      <c r="G3" s="237" t="s">
        <v>228</v>
      </c>
      <c r="H3" s="238"/>
      <c r="I3" s="32"/>
      <c r="J3" s="32"/>
      <c r="K3" s="32"/>
      <c r="L3" s="32"/>
      <c r="M3" s="32"/>
      <c r="N3" s="32"/>
      <c r="O3" s="239" t="s">
        <v>178</v>
      </c>
    </row>
    <row r="4" spans="1:18" ht="30">
      <c r="A4" s="247"/>
      <c r="B4" s="247"/>
      <c r="C4" s="31" t="s">
        <v>146</v>
      </c>
      <c r="D4" s="33" t="s">
        <v>147</v>
      </c>
      <c r="E4" s="33" t="s">
        <v>147</v>
      </c>
      <c r="F4" s="33" t="s">
        <v>147</v>
      </c>
      <c r="G4" s="33" t="s">
        <v>147</v>
      </c>
      <c r="H4" s="34" t="s">
        <v>148</v>
      </c>
      <c r="I4" s="34" t="s">
        <v>148</v>
      </c>
      <c r="J4" s="34" t="s">
        <v>148</v>
      </c>
      <c r="K4" s="34" t="s">
        <v>148</v>
      </c>
      <c r="L4" s="34" t="s">
        <v>148</v>
      </c>
      <c r="M4" s="34" t="s">
        <v>149</v>
      </c>
      <c r="N4" s="34" t="s">
        <v>149</v>
      </c>
      <c r="O4" s="240"/>
    </row>
    <row r="5" spans="1:18" ht="42.75">
      <c r="A5" s="247"/>
      <c r="B5" s="247"/>
      <c r="C5" s="31" t="s">
        <v>150</v>
      </c>
      <c r="D5" s="33" t="s">
        <v>151</v>
      </c>
      <c r="E5" s="33" t="s">
        <v>152</v>
      </c>
      <c r="F5" s="33" t="s">
        <v>153</v>
      </c>
      <c r="G5" s="33" t="s">
        <v>154</v>
      </c>
      <c r="H5" s="33" t="s">
        <v>155</v>
      </c>
      <c r="I5" s="33" t="s">
        <v>156</v>
      </c>
      <c r="J5" s="33" t="s">
        <v>157</v>
      </c>
      <c r="K5" s="33" t="s">
        <v>158</v>
      </c>
      <c r="L5" s="33" t="s">
        <v>159</v>
      </c>
      <c r="M5" s="33" t="s">
        <v>160</v>
      </c>
      <c r="N5" s="33" t="s">
        <v>161</v>
      </c>
      <c r="O5" s="241"/>
    </row>
    <row r="6" spans="1:18">
      <c r="A6" s="35">
        <v>1</v>
      </c>
      <c r="B6" s="242" t="s">
        <v>229</v>
      </c>
      <c r="C6" s="243"/>
      <c r="D6" s="36"/>
      <c r="E6" s="34"/>
      <c r="F6" s="34"/>
      <c r="G6" s="34"/>
      <c r="H6" s="34"/>
      <c r="I6" s="34"/>
      <c r="J6" s="34"/>
      <c r="K6" s="34"/>
      <c r="L6" s="34"/>
      <c r="M6" s="34"/>
      <c r="N6" s="34"/>
      <c r="O6" s="38"/>
    </row>
    <row r="7" spans="1:18">
      <c r="A7" s="35">
        <v>2</v>
      </c>
      <c r="B7" s="242" t="s">
        <v>230</v>
      </c>
      <c r="C7" s="243"/>
      <c r="D7" s="36"/>
      <c r="E7" s="34"/>
      <c r="F7" s="34"/>
      <c r="G7" s="34"/>
      <c r="H7" s="34"/>
      <c r="I7" s="34"/>
      <c r="J7" s="34"/>
      <c r="K7" s="34"/>
      <c r="L7" s="34"/>
      <c r="M7" s="34"/>
      <c r="N7" s="34"/>
      <c r="O7" s="38"/>
    </row>
    <row r="8" spans="1:18">
      <c r="A8" s="35">
        <v>3</v>
      </c>
      <c r="B8" s="242" t="s">
        <v>231</v>
      </c>
      <c r="C8" s="243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8"/>
    </row>
    <row r="9" spans="1:18">
      <c r="A9" s="35">
        <v>4</v>
      </c>
      <c r="B9" s="242" t="s">
        <v>232</v>
      </c>
      <c r="C9" s="243"/>
      <c r="D9" s="36"/>
      <c r="E9" s="34"/>
      <c r="F9" s="34"/>
      <c r="G9" s="34"/>
      <c r="H9" s="34"/>
      <c r="I9" s="34"/>
      <c r="J9" s="34"/>
      <c r="K9" s="34"/>
      <c r="L9" s="34"/>
      <c r="M9" s="34"/>
      <c r="N9" s="34"/>
      <c r="O9" s="38"/>
    </row>
    <row r="10" spans="1:18">
      <c r="A10" s="35">
        <v>5</v>
      </c>
      <c r="B10" s="242" t="s">
        <v>233</v>
      </c>
      <c r="C10" s="243"/>
      <c r="D10" s="36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/>
    </row>
    <row r="11" spans="1:18">
      <c r="A11" s="35">
        <v>6</v>
      </c>
      <c r="B11" s="242" t="s">
        <v>234</v>
      </c>
      <c r="C11" s="243"/>
      <c r="D11" s="36"/>
      <c r="E11" s="34"/>
      <c r="F11" s="34"/>
      <c r="G11" s="34"/>
      <c r="H11" s="34"/>
      <c r="I11" s="34"/>
      <c r="J11" s="34"/>
      <c r="K11" s="34"/>
      <c r="L11" s="33"/>
      <c r="M11" s="34"/>
      <c r="N11" s="34"/>
      <c r="O11" s="38"/>
    </row>
    <row r="12" spans="1:18">
      <c r="A12" s="35">
        <v>7</v>
      </c>
      <c r="B12" s="242" t="s">
        <v>235</v>
      </c>
      <c r="C12" s="243"/>
      <c r="D12" s="36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8"/>
    </row>
    <row r="13" spans="1:18">
      <c r="A13" s="35">
        <v>8</v>
      </c>
      <c r="B13" s="242" t="s">
        <v>236</v>
      </c>
      <c r="C13" s="243"/>
      <c r="D13" s="36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8"/>
    </row>
    <row r="14" spans="1:18">
      <c r="A14" s="35">
        <v>9</v>
      </c>
      <c r="B14" s="242" t="s">
        <v>237</v>
      </c>
      <c r="C14" s="243"/>
      <c r="D14" s="36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8"/>
    </row>
    <row r="15" spans="1:18">
      <c r="A15" s="35">
        <v>10</v>
      </c>
      <c r="B15" s="242" t="s">
        <v>238</v>
      </c>
      <c r="C15" s="243"/>
      <c r="D15" s="36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8"/>
    </row>
    <row r="16" spans="1:18">
      <c r="A16" s="35">
        <v>11</v>
      </c>
      <c r="B16" s="242" t="s">
        <v>239</v>
      </c>
      <c r="C16" s="243"/>
      <c r="D16" s="36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8"/>
    </row>
    <row r="17" spans="1:15">
      <c r="A17" s="35">
        <v>12</v>
      </c>
      <c r="B17" s="242" t="s">
        <v>240</v>
      </c>
      <c r="C17" s="243"/>
      <c r="D17" s="36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8"/>
    </row>
    <row r="18" spans="1:15">
      <c r="A18" s="35">
        <v>13</v>
      </c>
      <c r="B18" s="242" t="s">
        <v>241</v>
      </c>
      <c r="C18" s="243"/>
      <c r="D18" s="36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8"/>
    </row>
    <row r="19" spans="1:15">
      <c r="A19" s="35">
        <v>14</v>
      </c>
      <c r="B19" s="242" t="s">
        <v>242</v>
      </c>
      <c r="C19" s="243"/>
      <c r="D19" s="3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8"/>
    </row>
    <row r="20" spans="1:15">
      <c r="A20" s="35">
        <v>15</v>
      </c>
      <c r="B20" s="242" t="s">
        <v>243</v>
      </c>
      <c r="C20" s="243"/>
      <c r="D20" s="3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8"/>
    </row>
    <row r="21" spans="1:15">
      <c r="A21" s="35">
        <v>16</v>
      </c>
      <c r="B21" s="242" t="s">
        <v>244</v>
      </c>
      <c r="C21" s="243"/>
      <c r="D21" s="36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8"/>
    </row>
    <row r="22" spans="1:15">
      <c r="A22" s="35">
        <v>17</v>
      </c>
      <c r="B22" s="242" t="s">
        <v>35</v>
      </c>
      <c r="C22" s="243"/>
      <c r="D22" s="36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8"/>
    </row>
    <row r="23" spans="1:15">
      <c r="A23" s="35">
        <v>18</v>
      </c>
      <c r="B23" s="242" t="s">
        <v>245</v>
      </c>
      <c r="C23" s="243"/>
      <c r="D23" s="194">
        <v>1689.0097381561</v>
      </c>
      <c r="E23" s="194">
        <v>1675.6263533941967</v>
      </c>
      <c r="F23" s="194">
        <v>1320.4112114361001</v>
      </c>
      <c r="G23" s="195">
        <v>1307.0278266742</v>
      </c>
      <c r="H23" s="193">
        <v>620.24341924679254</v>
      </c>
      <c r="I23" s="188"/>
      <c r="J23" s="193">
        <v>490.19532633721252</v>
      </c>
      <c r="K23" s="193">
        <v>485.06681776624106</v>
      </c>
      <c r="L23" s="193">
        <v>866.56194482016986</v>
      </c>
      <c r="M23" s="193">
        <v>41.100701428571433</v>
      </c>
      <c r="N23" s="193">
        <v>41.100701428571433</v>
      </c>
      <c r="O23" s="39"/>
    </row>
    <row r="24" spans="1:15" ht="31.5" customHeight="1">
      <c r="A24" s="244" t="s">
        <v>246</v>
      </c>
      <c r="B24" s="245"/>
      <c r="C24" s="246"/>
      <c r="D24" s="37">
        <f>SUM(D6:D23)</f>
        <v>1689.0097381561</v>
      </c>
      <c r="E24" s="37">
        <f>SUM(E6:E23)</f>
        <v>1675.6263533941967</v>
      </c>
      <c r="F24" s="37">
        <f>SUM(F6:F23)</f>
        <v>1320.4112114361001</v>
      </c>
      <c r="G24" s="37">
        <f>SUM(G6:G23)</f>
        <v>1307.0278266742</v>
      </c>
      <c r="H24" s="37">
        <f t="shared" ref="H24:N24" si="0">SUM(H6:H23)</f>
        <v>620.24341924679254</v>
      </c>
      <c r="I24" s="37">
        <f t="shared" si="0"/>
        <v>0</v>
      </c>
      <c r="J24" s="37">
        <f t="shared" si="0"/>
        <v>490.19532633721252</v>
      </c>
      <c r="K24" s="37">
        <f t="shared" si="0"/>
        <v>485.06681776624106</v>
      </c>
      <c r="L24" s="37">
        <f t="shared" si="0"/>
        <v>866.56194482016986</v>
      </c>
      <c r="M24" s="37">
        <f t="shared" si="0"/>
        <v>41.100701428571433</v>
      </c>
      <c r="N24" s="37">
        <f t="shared" si="0"/>
        <v>41.100701428571433</v>
      </c>
      <c r="O24" s="39"/>
    </row>
    <row r="25" spans="1:15">
      <c r="C25" s="26" t="s">
        <v>298</v>
      </c>
      <c r="D25" s="187">
        <v>1840.33691338637</v>
      </c>
      <c r="E25" s="187">
        <v>1829.1019705292199</v>
      </c>
      <c r="F25" s="187">
        <v>1376.43838666636</v>
      </c>
      <c r="G25" s="187">
        <v>1365.2034438092201</v>
      </c>
      <c r="H25" s="187">
        <v>634.15908347336995</v>
      </c>
      <c r="I25" s="187">
        <v>626.79441077171998</v>
      </c>
      <c r="J25" s="187">
        <v>504.02762956730101</v>
      </c>
      <c r="K25" s="187">
        <v>498.12652099632999</v>
      </c>
      <c r="L25" s="187">
        <v>864.23522808056998</v>
      </c>
      <c r="M25" s="187">
        <v>36.085999999999999</v>
      </c>
      <c r="N25" s="187">
        <v>36.085999999999999</v>
      </c>
    </row>
    <row r="26" spans="1:15">
      <c r="I26" s="27" t="s">
        <v>304</v>
      </c>
    </row>
    <row r="27" spans="1:15">
      <c r="C27" s="26" t="s">
        <v>302</v>
      </c>
      <c r="D27" s="191">
        <f>D24*0.95</f>
        <v>1604.5592512482949</v>
      </c>
      <c r="E27" s="191">
        <f t="shared" ref="E27:N27" si="1">E24*0.95</f>
        <v>1591.8450357244867</v>
      </c>
      <c r="F27" s="191">
        <f t="shared" si="1"/>
        <v>1254.3906508642949</v>
      </c>
      <c r="G27" s="191">
        <f t="shared" si="1"/>
        <v>1241.6764353404899</v>
      </c>
      <c r="H27" s="191">
        <f t="shared" si="1"/>
        <v>589.23124828445293</v>
      </c>
      <c r="I27" s="191">
        <f t="shared" si="1"/>
        <v>0</v>
      </c>
      <c r="J27" s="191">
        <f t="shared" si="1"/>
        <v>465.68556002035189</v>
      </c>
      <c r="K27" s="191">
        <f t="shared" si="1"/>
        <v>460.81347687792896</v>
      </c>
      <c r="L27" s="191">
        <f t="shared" si="1"/>
        <v>823.23384757916131</v>
      </c>
      <c r="M27" s="191">
        <f t="shared" si="1"/>
        <v>39.045666357142856</v>
      </c>
      <c r="N27" s="191">
        <f t="shared" si="1"/>
        <v>39.045666357142856</v>
      </c>
    </row>
    <row r="28" spans="1:15">
      <c r="C28" s="26" t="s">
        <v>303</v>
      </c>
      <c r="D28" s="191">
        <f>D27*0.95</f>
        <v>1524.3312886858801</v>
      </c>
      <c r="E28" s="191">
        <f t="shared" ref="E28:N28" si="2">E27*0.95</f>
        <v>1512.2527839382624</v>
      </c>
      <c r="F28" s="191">
        <f t="shared" si="2"/>
        <v>1191.67111832108</v>
      </c>
      <c r="G28" s="191">
        <f t="shared" si="2"/>
        <v>1179.5926135734653</v>
      </c>
      <c r="H28" s="191">
        <f t="shared" si="2"/>
        <v>559.76968587023021</v>
      </c>
      <c r="I28" s="191">
        <f t="shared" si="2"/>
        <v>0</v>
      </c>
      <c r="J28" s="191">
        <f t="shared" si="2"/>
        <v>442.40128201933425</v>
      </c>
      <c r="K28" s="191">
        <f t="shared" si="2"/>
        <v>437.77280303403251</v>
      </c>
      <c r="L28" s="191">
        <f t="shared" si="2"/>
        <v>782.07215520020316</v>
      </c>
      <c r="M28" s="191">
        <f t="shared" si="2"/>
        <v>37.093383039285712</v>
      </c>
      <c r="N28" s="191">
        <f t="shared" si="2"/>
        <v>37.093383039285712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O2"/>
    <mergeCell ref="D3:E3"/>
    <mergeCell ref="G3:H3"/>
    <mergeCell ref="O3:O5"/>
  </mergeCells>
  <phoneticPr fontId="40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2023-08-28T02:10:48Z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9545D4B7266740A89BCEAE7E60B7E103</vt:lpwstr>
  </property>
</Properties>
</file>