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firstSheet="4" activeTab="4"/>
  </bookViews>
  <sheets>
    <sheet name="模具费" sheetId="1" state="hidden" r:id="rId1"/>
    <sheet name="分摊后金额" sheetId="2" state="hidden" r:id="rId2"/>
    <sheet name="Sheet3" sheetId="3" state="hidden" r:id="rId3"/>
    <sheet name="Sheet1" sheetId="4" state="hidden" r:id="rId4"/>
    <sheet name="Sheet2" sheetId="5" r:id="rId5"/>
  </sheets>
  <calcPr calcId="144525"/>
</workbook>
</file>

<file path=xl/sharedStrings.xml><?xml version="1.0" encoding="utf-8"?>
<sst xmlns="http://schemas.openxmlformats.org/spreadsheetml/2006/main" count="337" uniqueCount="133">
  <si>
    <t>项目</t>
  </si>
  <si>
    <t>层级</t>
  </si>
  <si>
    <t>代号</t>
  </si>
  <si>
    <t>名称</t>
  </si>
  <si>
    <t>件号</t>
  </si>
  <si>
    <t>件名</t>
  </si>
  <si>
    <t>工序</t>
  </si>
  <si>
    <t>开发状态</t>
  </si>
  <si>
    <t>图片</t>
  </si>
  <si>
    <t>产品价格含税</t>
  </si>
  <si>
    <t>已支付</t>
  </si>
  <si>
    <t>未支付金额</t>
  </si>
  <si>
    <t>DS-OMKJZ-001-03</t>
  </si>
  <si>
    <t>OMK减震滑轨左前脚模具</t>
  </si>
  <si>
    <t>SLT0010961</t>
  </si>
  <si>
    <t>基础款左前地脚</t>
  </si>
  <si>
    <t>落片</t>
  </si>
  <si>
    <t>新开</t>
  </si>
  <si>
    <t>欧马可地脚</t>
  </si>
  <si>
    <t>成型</t>
  </si>
  <si>
    <t>DS-OMKJZ-001-05</t>
  </si>
  <si>
    <t>OMK减震滑轨左后脚模具</t>
  </si>
  <si>
    <t>SLT0010776</t>
  </si>
  <si>
    <t>基础款左后地脚</t>
  </si>
  <si>
    <t>新开，点焊垫片</t>
  </si>
  <si>
    <t>DS-OMKJZ-001-04</t>
  </si>
  <si>
    <t>OMK减震滑轨右前脚模具</t>
  </si>
  <si>
    <t>SLT0010963</t>
  </si>
  <si>
    <t>基础款右前地脚</t>
  </si>
  <si>
    <t>冲孔切断</t>
  </si>
  <si>
    <t>DS-OMKJZ-001-06</t>
  </si>
  <si>
    <t>OMK减震滑轨右后脚模具</t>
  </si>
  <si>
    <t>SLT0010774</t>
  </si>
  <si>
    <t>基础款右后地脚</t>
  </si>
  <si>
    <t>DS-OMKSJ-001-03</t>
  </si>
  <si>
    <t>OMK升级滑轨左前脚模具</t>
  </si>
  <si>
    <t>SLT0011268</t>
  </si>
  <si>
    <t>减震款左前地脚</t>
  </si>
  <si>
    <t>压弯</t>
  </si>
  <si>
    <t>冲孔</t>
  </si>
  <si>
    <t>滑轨分摊占比56000</t>
  </si>
  <si>
    <t>DS-OMKSJ-001-07</t>
  </si>
  <si>
    <t>OMK升级滑轨右前脚模具</t>
  </si>
  <si>
    <t>SLT0011271</t>
  </si>
  <si>
    <t>减震款右前地脚</t>
  </si>
  <si>
    <t>DS-OMKSJ-001-05</t>
  </si>
  <si>
    <t>OMK升级滑轨左后脚模具</t>
  </si>
  <si>
    <t>SLT0011269</t>
  </si>
  <si>
    <t>减震款左后地脚</t>
  </si>
  <si>
    <t>落片（一出一）</t>
  </si>
  <si>
    <t>DS-OMKSJ-001-06</t>
  </si>
  <si>
    <t>OMK升级滑轨右后脚模具</t>
  </si>
  <si>
    <t>SLT0011272</t>
  </si>
  <si>
    <t>减震款右后地脚</t>
  </si>
  <si>
    <t>成型（一出一）</t>
  </si>
  <si>
    <t>冲孔切断（一出二）</t>
  </si>
  <si>
    <t>DS-OMKJZ-001-08</t>
  </si>
  <si>
    <t>左滑前脚铆接工装</t>
  </si>
  <si>
    <t>铆接工装</t>
  </si>
  <si>
    <t>DS-OMKJZ-001-09</t>
  </si>
  <si>
    <t>左滑后脚铆接工装</t>
  </si>
  <si>
    <t>截止7月底分摊10869，每件分摊0.82元，合计8912.58元，未分摊未税金额73008.85-8912.58=64096.27</t>
  </si>
  <si>
    <t>DS-OMKJZ-001-10</t>
  </si>
  <si>
    <t>右滑前脚铆接工装</t>
  </si>
  <si>
    <t>滑轨设变占比56000/165000=34%</t>
  </si>
  <si>
    <t>DS-OMKJZ-001-11</t>
  </si>
  <si>
    <t>右滑后脚铆接工装</t>
  </si>
  <si>
    <t>地脚焊胎未分摊未税费用=64096.27*（1-0.34）=42303.54</t>
  </si>
  <si>
    <t>DS-OMKJZ-001-12</t>
  </si>
  <si>
    <t>滑轨继续分摊未税金额为21792.73按照89131件分摊每件分摊0.25元。</t>
  </si>
  <si>
    <t>DS-OMKJZ-001-13</t>
  </si>
  <si>
    <t>DS-OMKJZ-001-14</t>
  </si>
  <si>
    <t>DS-OMKJZ-001-15</t>
  </si>
  <si>
    <t>序号</t>
  </si>
  <si>
    <t>单位</t>
  </si>
  <si>
    <t>数量</t>
  </si>
  <si>
    <t>截止7月底已分摊数量</t>
  </si>
  <si>
    <t>8月未分摊数量</t>
  </si>
  <si>
    <t>河北9月预示订单</t>
  </si>
  <si>
    <t>总分摊数量</t>
  </si>
  <si>
    <t>已分摊金额</t>
  </si>
  <si>
    <t>应付款金额</t>
  </si>
  <si>
    <t>基础款</t>
  </si>
  <si>
    <t>A</t>
  </si>
  <si>
    <t>副</t>
  </si>
  <si>
    <t>和右后1出2</t>
  </si>
  <si>
    <t>B</t>
  </si>
  <si>
    <t>1</t>
  </si>
  <si>
    <t>和左后1出2</t>
  </si>
  <si>
    <t>减震款</t>
  </si>
  <si>
    <t>一副</t>
  </si>
  <si>
    <t>工装</t>
  </si>
  <si>
    <t>合计</t>
  </si>
  <si>
    <t>冲压数量</t>
  </si>
  <si>
    <t>焊接数量</t>
  </si>
  <si>
    <t>成品数量</t>
  </si>
  <si>
    <t>不合格数量</t>
  </si>
  <si>
    <t>减去9月使用量</t>
  </si>
  <si>
    <t>基础</t>
  </si>
  <si>
    <t>左滑轨前支脚</t>
  </si>
  <si>
    <t>左滑轨后支脚</t>
  </si>
  <si>
    <t>右滑轨前支脚</t>
  </si>
  <si>
    <t>右滑轨后支脚</t>
  </si>
  <si>
    <t>模具名称</t>
  </si>
  <si>
    <t>模具编号</t>
  </si>
  <si>
    <t>模具数量</t>
  </si>
  <si>
    <t>未税价格</t>
  </si>
  <si>
    <t>增值税额</t>
  </si>
  <si>
    <t>含税价格</t>
  </si>
  <si>
    <t>备注（模腔数）</t>
  </si>
  <si>
    <t>未税单价</t>
  </si>
  <si>
    <t>未税合计</t>
  </si>
  <si>
    <t>税金</t>
  </si>
  <si>
    <t>备注</t>
  </si>
  <si>
    <t>落片1</t>
  </si>
  <si>
    <t>成型1</t>
  </si>
  <si>
    <t>落片2</t>
  </si>
  <si>
    <t>一套</t>
  </si>
  <si>
    <t>成型2</t>
  </si>
  <si>
    <t>冲孔切断2</t>
  </si>
  <si>
    <t>落片3</t>
  </si>
  <si>
    <t>和271一套</t>
  </si>
  <si>
    <t>压弯1</t>
  </si>
  <si>
    <t>冲孔1</t>
  </si>
  <si>
    <t>冲孔切断1</t>
  </si>
  <si>
    <t>落片（一出一）4</t>
  </si>
  <si>
    <t>和272一套</t>
  </si>
  <si>
    <t>成型3</t>
  </si>
  <si>
    <t>和774一套</t>
  </si>
  <si>
    <t>冲孔切断3</t>
  </si>
  <si>
    <t>成型（一出一）4</t>
  </si>
  <si>
    <t>和269一套</t>
  </si>
  <si>
    <t>冲孔切断（一出二）4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</si>
</sst>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仿宋"/>
      <charset val="134"/>
    </font>
    <font>
      <b/>
      <sz val="10.5"/>
      <color theme="1"/>
      <name val="仿宋"/>
      <charset val="134"/>
    </font>
    <font>
      <sz val="15"/>
      <color theme="1"/>
      <name val="宋体"/>
      <charset val="134"/>
      <scheme val="minor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</cellStyleXfs>
  <cellXfs count="106">
    <xf numFmtId="0" fontId="0" fillId="0" borderId="0" xfId="0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BOM_Level_1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0" Type="http://schemas.openxmlformats.org/officeDocument/2006/relationships/image" Target="../media/image9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12.emf"/><Relationship Id="rId5" Type="http://schemas.openxmlformats.org/officeDocument/2006/relationships/image" Target="../media/image8.emf"/><Relationship Id="rId4" Type="http://schemas.openxmlformats.org/officeDocument/2006/relationships/image" Target="../media/image6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22412</xdr:colOff>
      <xdr:row>1</xdr:row>
      <xdr:rowOff>19051</xdr:rowOff>
    </xdr:from>
    <xdr:to>
      <xdr:col>10</xdr:col>
      <xdr:colOff>9525</xdr:colOff>
      <xdr:row>3</xdr:row>
      <xdr:rowOff>560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7415" y="962025"/>
          <a:ext cx="147193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22412</xdr:colOff>
      <xdr:row>3</xdr:row>
      <xdr:rowOff>69479</xdr:rowOff>
    </xdr:from>
    <xdr:to>
      <xdr:col>9</xdr:col>
      <xdr:colOff>1533525</xdr:colOff>
      <xdr:row>4</xdr:row>
      <xdr:rowOff>171450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7415" y="1878965"/>
          <a:ext cx="1462405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144556</xdr:colOff>
      <xdr:row>4</xdr:row>
      <xdr:rowOff>228600</xdr:rowOff>
    </xdr:from>
    <xdr:to>
      <xdr:col>9</xdr:col>
      <xdr:colOff>1562100</xdr:colOff>
      <xdr:row>5</xdr:row>
      <xdr:rowOff>345821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9335" y="2657475"/>
          <a:ext cx="1340485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11206</xdr:colOff>
      <xdr:row>6</xdr:row>
      <xdr:rowOff>28577</xdr:rowOff>
    </xdr:from>
    <xdr:to>
      <xdr:col>9</xdr:col>
      <xdr:colOff>1600199</xdr:colOff>
      <xdr:row>6</xdr:row>
      <xdr:rowOff>593913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985" y="3457575"/>
          <a:ext cx="1473835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123263</xdr:colOff>
      <xdr:row>13</xdr:row>
      <xdr:rowOff>0</xdr:rowOff>
    </xdr:from>
    <xdr:to>
      <xdr:col>9</xdr:col>
      <xdr:colOff>488308</xdr:colOff>
      <xdr:row>13</xdr:row>
      <xdr:rowOff>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8380" y="719137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81644</xdr:colOff>
      <xdr:row>13</xdr:row>
      <xdr:rowOff>168087</xdr:rowOff>
    </xdr:from>
    <xdr:to>
      <xdr:col>9</xdr:col>
      <xdr:colOff>1580029</xdr:colOff>
      <xdr:row>15</xdr:row>
      <xdr:rowOff>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6470" y="7359015"/>
          <a:ext cx="140335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40823</xdr:colOff>
      <xdr:row>13</xdr:row>
      <xdr:rowOff>0</xdr:rowOff>
    </xdr:from>
    <xdr:to>
      <xdr:col>9</xdr:col>
      <xdr:colOff>514265</xdr:colOff>
      <xdr:row>13</xdr:row>
      <xdr:rowOff>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5830" y="7191375"/>
          <a:ext cx="473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28575</xdr:colOff>
      <xdr:row>7</xdr:row>
      <xdr:rowOff>9526</xdr:rowOff>
    </xdr:from>
    <xdr:to>
      <xdr:col>9</xdr:col>
      <xdr:colOff>1600200</xdr:colOff>
      <xdr:row>9</xdr:row>
      <xdr:rowOff>347383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3765" y="4038600"/>
          <a:ext cx="1456055" cy="15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81643</xdr:colOff>
      <xdr:row>12</xdr:row>
      <xdr:rowOff>28576</xdr:rowOff>
    </xdr:from>
    <xdr:to>
      <xdr:col>9</xdr:col>
      <xdr:colOff>1580029</xdr:colOff>
      <xdr:row>13</xdr:row>
      <xdr:rowOff>257736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6470" y="6838950"/>
          <a:ext cx="1403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122143</xdr:colOff>
      <xdr:row>15</xdr:row>
      <xdr:rowOff>100853</xdr:rowOff>
    </xdr:from>
    <xdr:to>
      <xdr:col>10</xdr:col>
      <xdr:colOff>0</xdr:colOff>
      <xdr:row>17</xdr:row>
      <xdr:rowOff>138629</xdr:rowOff>
    </xdr:to>
    <xdr:pic>
      <xdr:nvPicPr>
        <xdr:cNvPr id="2" name="图片 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27110" y="8053705"/>
          <a:ext cx="1362710" cy="393700"/>
        </a:xfrm>
        <a:prstGeom prst="rect">
          <a:avLst/>
        </a:prstGeom>
      </xdr:spPr>
    </xdr:pic>
    <xdr:clientData/>
  </xdr:twoCellAnchor>
  <xdr:twoCellAnchor editAs="oneCell">
    <xdr:from>
      <xdr:col>9</xdr:col>
      <xdr:colOff>121585</xdr:colOff>
      <xdr:row>17</xdr:row>
      <xdr:rowOff>50988</xdr:rowOff>
    </xdr:from>
    <xdr:to>
      <xdr:col>9</xdr:col>
      <xdr:colOff>1479177</xdr:colOff>
      <xdr:row>19</xdr:row>
      <xdr:rowOff>50985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26475" y="8359775"/>
          <a:ext cx="1357630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145679</xdr:colOff>
      <xdr:row>28</xdr:row>
      <xdr:rowOff>3</xdr:rowOff>
    </xdr:from>
    <xdr:to>
      <xdr:col>13</xdr:col>
      <xdr:colOff>354057</xdr:colOff>
      <xdr:row>60</xdr:row>
      <xdr:rowOff>125940</xdr:rowOff>
    </xdr:to>
    <xdr:pic>
      <xdr:nvPicPr>
        <xdr:cNvPr id="3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5415" y="10264775"/>
          <a:ext cx="12704445" cy="5815330"/>
        </a:xfrm>
        <a:prstGeom prst="rect">
          <a:avLst/>
        </a:prstGeom>
      </xdr:spPr>
    </xdr:pic>
    <xdr:clientData/>
  </xdr:twoCellAnchor>
  <xdr:twoCellAnchor>
    <xdr:from>
      <xdr:col>9</xdr:col>
      <xdr:colOff>96611</xdr:colOff>
      <xdr:row>10</xdr:row>
      <xdr:rowOff>314324</xdr:rowOff>
    </xdr:from>
    <xdr:to>
      <xdr:col>9</xdr:col>
      <xdr:colOff>1571625</xdr:colOff>
      <xdr:row>11</xdr:row>
      <xdr:rowOff>485774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1710" y="5923915"/>
          <a:ext cx="138811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22412</xdr:colOff>
      <xdr:row>1</xdr:row>
      <xdr:rowOff>19051</xdr:rowOff>
    </xdr:from>
    <xdr:to>
      <xdr:col>9</xdr:col>
      <xdr:colOff>0</xdr:colOff>
      <xdr:row>3</xdr:row>
      <xdr:rowOff>560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0" y="962025"/>
          <a:ext cx="115633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22412</xdr:colOff>
      <xdr:row>3</xdr:row>
      <xdr:rowOff>69479</xdr:rowOff>
    </xdr:from>
    <xdr:to>
      <xdr:col>8</xdr:col>
      <xdr:colOff>1533525</xdr:colOff>
      <xdr:row>4</xdr:row>
      <xdr:rowOff>171450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0" y="1878965"/>
          <a:ext cx="1156335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144556</xdr:colOff>
      <xdr:row>4</xdr:row>
      <xdr:rowOff>228600</xdr:rowOff>
    </xdr:from>
    <xdr:to>
      <xdr:col>8</xdr:col>
      <xdr:colOff>1562100</xdr:colOff>
      <xdr:row>5</xdr:row>
      <xdr:rowOff>345821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17120" y="2657475"/>
          <a:ext cx="1034415" cy="57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11206</xdr:colOff>
      <xdr:row>6</xdr:row>
      <xdr:rowOff>28577</xdr:rowOff>
    </xdr:from>
    <xdr:to>
      <xdr:col>8</xdr:col>
      <xdr:colOff>1600199</xdr:colOff>
      <xdr:row>6</xdr:row>
      <xdr:rowOff>593913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3770" y="3295650"/>
          <a:ext cx="1167765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123263</xdr:colOff>
      <xdr:row>13</xdr:row>
      <xdr:rowOff>0</xdr:rowOff>
    </xdr:from>
    <xdr:to>
      <xdr:col>8</xdr:col>
      <xdr:colOff>488308</xdr:colOff>
      <xdr:row>13</xdr:row>
      <xdr:rowOff>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96165" y="696277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81644</xdr:colOff>
      <xdr:row>13</xdr:row>
      <xdr:rowOff>168087</xdr:rowOff>
    </xdr:from>
    <xdr:to>
      <xdr:col>8</xdr:col>
      <xdr:colOff>1580029</xdr:colOff>
      <xdr:row>15</xdr:row>
      <xdr:rowOff>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54255" y="7130415"/>
          <a:ext cx="109728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40823</xdr:colOff>
      <xdr:row>13</xdr:row>
      <xdr:rowOff>0</xdr:rowOff>
    </xdr:from>
    <xdr:to>
      <xdr:col>8</xdr:col>
      <xdr:colOff>514265</xdr:colOff>
      <xdr:row>13</xdr:row>
      <xdr:rowOff>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3615" y="6962775"/>
          <a:ext cx="473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28575</xdr:colOff>
      <xdr:row>7</xdr:row>
      <xdr:rowOff>9526</xdr:rowOff>
    </xdr:from>
    <xdr:to>
      <xdr:col>8</xdr:col>
      <xdr:colOff>1600200</xdr:colOff>
      <xdr:row>9</xdr:row>
      <xdr:rowOff>347383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01550" y="3876675"/>
          <a:ext cx="1149985" cy="1347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96611</xdr:colOff>
      <xdr:row>11</xdr:row>
      <xdr:rowOff>314324</xdr:rowOff>
    </xdr:from>
    <xdr:to>
      <xdr:col>8</xdr:col>
      <xdr:colOff>1571625</xdr:colOff>
      <xdr:row>12</xdr:row>
      <xdr:rowOff>485774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69495" y="6076315"/>
          <a:ext cx="108204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81643</xdr:colOff>
      <xdr:row>10</xdr:row>
      <xdr:rowOff>28576</xdr:rowOff>
    </xdr:from>
    <xdr:to>
      <xdr:col>8</xdr:col>
      <xdr:colOff>1580029</xdr:colOff>
      <xdr:row>11</xdr:row>
      <xdr:rowOff>257736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54255" y="5410200"/>
          <a:ext cx="109728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3</xdr:row>
      <xdr:rowOff>69479</xdr:rowOff>
    </xdr:from>
    <xdr:to>
      <xdr:col>8</xdr:col>
      <xdr:colOff>0</xdr:colOff>
      <xdr:row>4</xdr:row>
      <xdr:rowOff>171450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1878965"/>
          <a:ext cx="0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</xdr:row>
      <xdr:rowOff>228600</xdr:rowOff>
    </xdr:from>
    <xdr:to>
      <xdr:col>8</xdr:col>
      <xdr:colOff>0</xdr:colOff>
      <xdr:row>5</xdr:row>
      <xdr:rowOff>345821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2657475"/>
          <a:ext cx="0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6</xdr:row>
      <xdr:rowOff>28577</xdr:rowOff>
    </xdr:from>
    <xdr:to>
      <xdr:col>8</xdr:col>
      <xdr:colOff>0</xdr:colOff>
      <xdr:row>6</xdr:row>
      <xdr:rowOff>593913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3457575"/>
          <a:ext cx="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13</xdr:row>
      <xdr:rowOff>168087</xdr:rowOff>
    </xdr:from>
    <xdr:to>
      <xdr:col>8</xdr:col>
      <xdr:colOff>0</xdr:colOff>
      <xdr:row>15</xdr:row>
      <xdr:rowOff>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7359015"/>
          <a:ext cx="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7</xdr:row>
      <xdr:rowOff>9526</xdr:rowOff>
    </xdr:from>
    <xdr:to>
      <xdr:col>8</xdr:col>
      <xdr:colOff>0</xdr:colOff>
      <xdr:row>9</xdr:row>
      <xdr:rowOff>347383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4038600"/>
          <a:ext cx="0" cy="15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11</xdr:row>
      <xdr:rowOff>314324</xdr:rowOff>
    </xdr:from>
    <xdr:to>
      <xdr:col>8</xdr:col>
      <xdr:colOff>0</xdr:colOff>
      <xdr:row>12</xdr:row>
      <xdr:rowOff>485774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6304915"/>
          <a:ext cx="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</xdr:row>
      <xdr:rowOff>28576</xdr:rowOff>
    </xdr:from>
    <xdr:to>
      <xdr:col>8</xdr:col>
      <xdr:colOff>0</xdr:colOff>
      <xdr:row>11</xdr:row>
      <xdr:rowOff>257736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9895" y="5638800"/>
          <a:ext cx="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5" zoomScaleNormal="85" topLeftCell="B6" workbookViewId="0">
      <selection activeCell="K8" sqref="K8:K12"/>
    </sheetView>
  </sheetViews>
  <sheetFormatPr defaultColWidth="9" defaultRowHeight="14"/>
  <cols>
    <col min="1" max="1" width="23.3727272727273" customWidth="1"/>
    <col min="2" max="3" width="5.12727272727273" customWidth="1"/>
    <col min="4" max="4" width="16.1272727272727" customWidth="1"/>
    <col min="5" max="5" width="12" customWidth="1"/>
    <col min="6" max="6" width="18" customWidth="1"/>
    <col min="7" max="7" width="16.2545454545455" customWidth="1"/>
    <col min="8" max="8" width="14.6272727272727" customWidth="1"/>
    <col min="9" max="9" width="11.1272727272727" customWidth="1"/>
    <col min="10" max="10" width="21.2545454545455" customWidth="1"/>
    <col min="11" max="11" width="10" style="87" customWidth="1"/>
    <col min="12" max="12" width="10.2545454545455" customWidth="1"/>
    <col min="13" max="13" width="15.6272727272727" customWidth="1"/>
    <col min="14" max="14" width="17.2545454545455" customWidth="1"/>
    <col min="15" max="15" width="45.6272727272727" customWidth="1"/>
  </cols>
  <sheetData>
    <row r="1" ht="74.25" customHeight="1" spans="1:13">
      <c r="A1" t="s">
        <v>0</v>
      </c>
      <c r="B1" s="88" t="s">
        <v>1</v>
      </c>
      <c r="C1" s="89"/>
      <c r="D1" s="89" t="s">
        <v>2</v>
      </c>
      <c r="E1" s="89" t="s">
        <v>3</v>
      </c>
      <c r="F1" s="52" t="s">
        <v>4</v>
      </c>
      <c r="G1" s="52" t="s">
        <v>5</v>
      </c>
      <c r="H1" s="52" t="s">
        <v>6</v>
      </c>
      <c r="I1" s="52" t="s">
        <v>7</v>
      </c>
      <c r="J1" s="52" t="s">
        <v>8</v>
      </c>
      <c r="K1" s="104" t="s">
        <v>9</v>
      </c>
      <c r="L1" s="79" t="s">
        <v>10</v>
      </c>
      <c r="M1" s="79" t="s">
        <v>11</v>
      </c>
    </row>
    <row r="2" ht="38.25" customHeight="1" spans="2:13">
      <c r="B2" s="88"/>
      <c r="C2" s="89"/>
      <c r="D2" s="54" t="s">
        <v>12</v>
      </c>
      <c r="E2" s="53" t="s">
        <v>13</v>
      </c>
      <c r="F2" s="90" t="s">
        <v>14</v>
      </c>
      <c r="G2" s="91" t="s">
        <v>15</v>
      </c>
      <c r="H2" s="91" t="s">
        <v>16</v>
      </c>
      <c r="I2" s="96" t="s">
        <v>17</v>
      </c>
      <c r="J2" s="52"/>
      <c r="K2" s="105">
        <v>23000</v>
      </c>
      <c r="L2" s="87">
        <f>K2*0.5</f>
        <v>11500</v>
      </c>
      <c r="M2" s="87">
        <f>K2-L2</f>
        <v>11500</v>
      </c>
    </row>
    <row r="3" ht="30" customHeight="1" spans="1:13">
      <c r="A3" s="47" t="s">
        <v>18</v>
      </c>
      <c r="B3" s="47"/>
      <c r="C3" s="47">
        <v>2</v>
      </c>
      <c r="D3" s="60"/>
      <c r="E3" s="64"/>
      <c r="F3" s="92"/>
      <c r="G3" s="93"/>
      <c r="H3" s="93" t="s">
        <v>19</v>
      </c>
      <c r="I3" s="99"/>
      <c r="J3" s="78"/>
      <c r="K3" s="105"/>
      <c r="L3" s="87"/>
      <c r="M3" s="87"/>
    </row>
    <row r="4" ht="48.75" customHeight="1" spans="1:13">
      <c r="A4" s="47"/>
      <c r="B4" s="47"/>
      <c r="C4" s="47">
        <v>2</v>
      </c>
      <c r="D4" s="74" t="s">
        <v>20</v>
      </c>
      <c r="E4" s="94" t="s">
        <v>21</v>
      </c>
      <c r="F4" s="95" t="s">
        <v>22</v>
      </c>
      <c r="G4" s="63" t="s">
        <v>23</v>
      </c>
      <c r="H4" s="63" t="s">
        <v>16</v>
      </c>
      <c r="I4" s="96" t="s">
        <v>24</v>
      </c>
      <c r="J4" s="78"/>
      <c r="K4" s="105"/>
      <c r="L4" s="87"/>
      <c r="M4" s="87"/>
    </row>
    <row r="5" ht="48.75" customHeight="1" spans="1:13">
      <c r="A5" s="47"/>
      <c r="B5" s="47"/>
      <c r="C5" s="47"/>
      <c r="D5" s="54" t="s">
        <v>25</v>
      </c>
      <c r="E5" s="53" t="s">
        <v>26</v>
      </c>
      <c r="F5" s="90" t="s">
        <v>27</v>
      </c>
      <c r="G5" s="91" t="s">
        <v>28</v>
      </c>
      <c r="H5" s="63" t="s">
        <v>19</v>
      </c>
      <c r="I5" s="97"/>
      <c r="J5" s="78"/>
      <c r="K5" s="105">
        <v>23000</v>
      </c>
      <c r="L5" s="87">
        <f>K5*0.5</f>
        <v>11500</v>
      </c>
      <c r="M5" s="87">
        <f>K5-L5</f>
        <v>11500</v>
      </c>
    </row>
    <row r="6" ht="30" customHeight="1" spans="1:13">
      <c r="A6" s="47"/>
      <c r="B6" s="47"/>
      <c r="C6" s="47">
        <v>2</v>
      </c>
      <c r="D6" s="60"/>
      <c r="E6" s="64"/>
      <c r="F6" s="92"/>
      <c r="G6" s="93"/>
      <c r="H6" s="63" t="s">
        <v>29</v>
      </c>
      <c r="I6" s="99"/>
      <c r="J6" s="78"/>
      <c r="K6" s="105"/>
      <c r="L6" s="87"/>
      <c r="M6" s="87"/>
    </row>
    <row r="7" ht="47.25" customHeight="1" spans="1:13">
      <c r="A7" s="47"/>
      <c r="B7" s="47"/>
      <c r="C7" s="47">
        <v>2</v>
      </c>
      <c r="D7" s="74" t="s">
        <v>30</v>
      </c>
      <c r="E7" s="94" t="s">
        <v>31</v>
      </c>
      <c r="F7" s="95" t="s">
        <v>32</v>
      </c>
      <c r="G7" s="63" t="s">
        <v>33</v>
      </c>
      <c r="H7" s="63" t="s">
        <v>16</v>
      </c>
      <c r="I7" s="65"/>
      <c r="J7" s="78"/>
      <c r="K7" s="105"/>
      <c r="L7" s="87"/>
      <c r="M7" s="87"/>
    </row>
    <row r="8" ht="47.25" customHeight="1" spans="1:13">
      <c r="A8" s="47"/>
      <c r="B8" s="47"/>
      <c r="C8" s="47"/>
      <c r="D8" s="54" t="s">
        <v>34</v>
      </c>
      <c r="E8" s="53" t="s">
        <v>35</v>
      </c>
      <c r="F8" s="96" t="s">
        <v>36</v>
      </c>
      <c r="G8" s="91" t="s">
        <v>37</v>
      </c>
      <c r="H8" s="63" t="s">
        <v>38</v>
      </c>
      <c r="I8" s="96" t="s">
        <v>17</v>
      </c>
      <c r="J8" s="78"/>
      <c r="K8" s="105">
        <v>30000</v>
      </c>
      <c r="L8" s="87">
        <f>K8*0.5</f>
        <v>15000</v>
      </c>
      <c r="M8" s="87">
        <f>K8-L8</f>
        <v>15000</v>
      </c>
    </row>
    <row r="9" ht="47.25" customHeight="1" spans="1:13">
      <c r="A9" s="47"/>
      <c r="B9" s="47"/>
      <c r="C9" s="47"/>
      <c r="D9" s="66"/>
      <c r="E9" s="59"/>
      <c r="F9" s="97"/>
      <c r="G9" s="98"/>
      <c r="H9" s="63" t="s">
        <v>39</v>
      </c>
      <c r="I9" s="97"/>
      <c r="J9" s="78"/>
      <c r="K9" s="105"/>
      <c r="L9" s="87"/>
      <c r="M9" s="87"/>
    </row>
    <row r="10" ht="30" customHeight="1" spans="1:14">
      <c r="A10" s="47"/>
      <c r="B10" s="47"/>
      <c r="C10" s="47">
        <v>2</v>
      </c>
      <c r="D10" s="60"/>
      <c r="E10" s="64"/>
      <c r="F10" s="99"/>
      <c r="G10" s="93"/>
      <c r="H10" s="63" t="s">
        <v>29</v>
      </c>
      <c r="I10" s="99"/>
      <c r="J10" s="78"/>
      <c r="K10" s="105"/>
      <c r="L10" s="87"/>
      <c r="M10" s="87"/>
      <c r="N10" t="s">
        <v>40</v>
      </c>
    </row>
    <row r="11" ht="47.25" customHeight="1" spans="1:13">
      <c r="A11" s="47"/>
      <c r="B11" s="47"/>
      <c r="C11" s="47"/>
      <c r="D11" s="54" t="s">
        <v>41</v>
      </c>
      <c r="E11" s="53" t="s">
        <v>42</v>
      </c>
      <c r="F11" s="96" t="s">
        <v>43</v>
      </c>
      <c r="G11" s="100" t="s">
        <v>44</v>
      </c>
      <c r="H11" s="63" t="s">
        <v>19</v>
      </c>
      <c r="I11" s="96" t="s">
        <v>24</v>
      </c>
      <c r="J11" s="78"/>
      <c r="K11" s="105"/>
      <c r="L11" s="87"/>
      <c r="M11" s="87"/>
    </row>
    <row r="12" ht="47.25" customHeight="1" spans="1:13">
      <c r="A12" s="47"/>
      <c r="B12" s="47"/>
      <c r="C12" s="47"/>
      <c r="D12" s="60"/>
      <c r="E12" s="64"/>
      <c r="F12" s="99"/>
      <c r="G12" s="101"/>
      <c r="H12" s="63" t="s">
        <v>29</v>
      </c>
      <c r="I12" s="99"/>
      <c r="J12" s="78"/>
      <c r="K12" s="105"/>
      <c r="L12" s="87"/>
      <c r="M12" s="87"/>
    </row>
    <row r="13" ht="30" customHeight="1" spans="1:13">
      <c r="A13" s="47"/>
      <c r="B13" s="47"/>
      <c r="C13" s="47">
        <v>2</v>
      </c>
      <c r="D13" s="74" t="s">
        <v>45</v>
      </c>
      <c r="E13" s="94" t="s">
        <v>46</v>
      </c>
      <c r="F13" s="58" t="s">
        <v>47</v>
      </c>
      <c r="G13" s="67" t="s">
        <v>48</v>
      </c>
      <c r="H13" s="67" t="s">
        <v>49</v>
      </c>
      <c r="I13" s="69" t="s">
        <v>17</v>
      </c>
      <c r="J13" s="78"/>
      <c r="K13" s="87">
        <v>8500</v>
      </c>
      <c r="L13" s="87"/>
      <c r="M13" s="87">
        <v>8500</v>
      </c>
    </row>
    <row r="14" ht="30" customHeight="1" spans="1:15">
      <c r="A14" s="47"/>
      <c r="B14" s="47"/>
      <c r="C14" s="47"/>
      <c r="D14" s="54" t="s">
        <v>50</v>
      </c>
      <c r="E14" s="53" t="s">
        <v>51</v>
      </c>
      <c r="F14" s="96" t="s">
        <v>52</v>
      </c>
      <c r="G14" s="100" t="s">
        <v>53</v>
      </c>
      <c r="H14" s="63" t="s">
        <v>54</v>
      </c>
      <c r="I14" s="69"/>
      <c r="J14" s="78"/>
      <c r="K14" s="87">
        <v>9500</v>
      </c>
      <c r="L14" s="87"/>
      <c r="M14" s="87">
        <v>9500</v>
      </c>
      <c r="O14" s="38">
        <f>56000/165000</f>
        <v>0.339393939393939</v>
      </c>
    </row>
    <row r="15" ht="30" customHeight="1" spans="1:13">
      <c r="A15" s="47"/>
      <c r="B15" s="47"/>
      <c r="C15" s="47">
        <v>2</v>
      </c>
      <c r="D15" s="60"/>
      <c r="E15" s="64"/>
      <c r="F15" s="99"/>
      <c r="G15" s="101"/>
      <c r="H15" s="63" t="s">
        <v>55</v>
      </c>
      <c r="I15" s="69" t="s">
        <v>17</v>
      </c>
      <c r="J15" s="78"/>
      <c r="K15" s="87">
        <v>7000</v>
      </c>
      <c r="L15" s="87"/>
      <c r="M15" s="87">
        <v>7000</v>
      </c>
    </row>
    <row r="16" spans="4:13">
      <c r="D16" s="102" t="s">
        <v>56</v>
      </c>
      <c r="E16" s="102" t="s">
        <v>57</v>
      </c>
      <c r="G16" s="103" t="s">
        <v>58</v>
      </c>
      <c r="H16" s="87"/>
      <c r="K16" s="87">
        <f>33000/4</f>
        <v>8250</v>
      </c>
      <c r="L16" s="87">
        <f>K16*0.5</f>
        <v>4125</v>
      </c>
      <c r="M16" s="87">
        <f>K16-L16</f>
        <v>4125</v>
      </c>
    </row>
    <row r="17" spans="4:15">
      <c r="D17" s="102" t="s">
        <v>59</v>
      </c>
      <c r="E17" s="102" t="s">
        <v>60</v>
      </c>
      <c r="G17" s="87"/>
      <c r="H17" s="87"/>
      <c r="L17" s="87"/>
      <c r="M17" s="87"/>
      <c r="O17" t="s">
        <v>61</v>
      </c>
    </row>
    <row r="18" spans="4:15">
      <c r="D18" s="102" t="s">
        <v>62</v>
      </c>
      <c r="E18" s="102" t="s">
        <v>63</v>
      </c>
      <c r="G18" s="103" t="s">
        <v>58</v>
      </c>
      <c r="H18" s="87"/>
      <c r="K18" s="87">
        <f t="shared" ref="K18" si="0">33000/4</f>
        <v>8250</v>
      </c>
      <c r="L18" s="87">
        <f>K18*0.5</f>
        <v>4125</v>
      </c>
      <c r="M18" s="87">
        <f t="shared" ref="M18" si="1">K18-L18</f>
        <v>4125</v>
      </c>
      <c r="O18" t="s">
        <v>64</v>
      </c>
    </row>
    <row r="19" spans="4:15">
      <c r="D19" s="102" t="s">
        <v>65</v>
      </c>
      <c r="E19" s="102" t="s">
        <v>66</v>
      </c>
      <c r="G19" s="87"/>
      <c r="H19" s="87"/>
      <c r="L19" s="87">
        <f t="shared" ref="L19:L23" si="2">K19*0.5</f>
        <v>0</v>
      </c>
      <c r="M19" s="87"/>
      <c r="O19" t="s">
        <v>67</v>
      </c>
    </row>
    <row r="20" spans="4:15">
      <c r="D20" s="102" t="s">
        <v>68</v>
      </c>
      <c r="E20" s="102" t="s">
        <v>57</v>
      </c>
      <c r="G20" s="103" t="s">
        <v>58</v>
      </c>
      <c r="H20" s="87"/>
      <c r="K20" s="87">
        <f t="shared" ref="K20" si="3">33000/4</f>
        <v>8250</v>
      </c>
      <c r="L20" s="87">
        <f t="shared" si="2"/>
        <v>4125</v>
      </c>
      <c r="M20" s="87">
        <f t="shared" ref="M20" si="4">K20-L20</f>
        <v>4125</v>
      </c>
      <c r="O20" t="s">
        <v>69</v>
      </c>
    </row>
    <row r="21" spans="4:13">
      <c r="D21" s="102" t="s">
        <v>70</v>
      </c>
      <c r="E21" s="102" t="s">
        <v>60</v>
      </c>
      <c r="G21" s="87"/>
      <c r="H21" s="87"/>
      <c r="L21" s="87">
        <f t="shared" si="2"/>
        <v>0</v>
      </c>
      <c r="M21" s="87"/>
    </row>
    <row r="22" spans="4:13">
      <c r="D22" s="102" t="s">
        <v>71</v>
      </c>
      <c r="E22" s="102" t="s">
        <v>63</v>
      </c>
      <c r="G22" s="103" t="s">
        <v>58</v>
      </c>
      <c r="H22" s="87"/>
      <c r="K22" s="87">
        <f t="shared" ref="K22" si="5">33000/4</f>
        <v>8250</v>
      </c>
      <c r="L22" s="87">
        <f t="shared" si="2"/>
        <v>4125</v>
      </c>
      <c r="M22" s="87">
        <f t="shared" ref="M22" si="6">K22-L22</f>
        <v>4125</v>
      </c>
    </row>
    <row r="23" spans="4:13">
      <c r="D23" s="102" t="s">
        <v>72</v>
      </c>
      <c r="E23" s="102" t="s">
        <v>66</v>
      </c>
      <c r="G23" s="87"/>
      <c r="H23" s="87"/>
      <c r="L23" s="87">
        <f t="shared" si="2"/>
        <v>0</v>
      </c>
      <c r="M23" s="87"/>
    </row>
    <row r="25" spans="11:15">
      <c r="K25" s="87">
        <f>SUM(K2:K23)</f>
        <v>134000</v>
      </c>
      <c r="L25" s="87">
        <f t="shared" ref="L25:M25" si="7">SUM(L2:L23)</f>
        <v>54500</v>
      </c>
      <c r="M25" s="87">
        <f t="shared" si="7"/>
        <v>79500</v>
      </c>
      <c r="N25">
        <v>10869</v>
      </c>
      <c r="O25">
        <f>M25*N25</f>
        <v>864085500</v>
      </c>
    </row>
  </sheetData>
  <mergeCells count="51">
    <mergeCell ref="B1:C1"/>
    <mergeCell ref="A3:A15"/>
    <mergeCell ref="D2:D3"/>
    <mergeCell ref="D5:D6"/>
    <mergeCell ref="D8:D10"/>
    <mergeCell ref="D11:D12"/>
    <mergeCell ref="D14:D15"/>
    <mergeCell ref="E2:E3"/>
    <mergeCell ref="E5:E6"/>
    <mergeCell ref="E8:E10"/>
    <mergeCell ref="E11:E12"/>
    <mergeCell ref="E14:E15"/>
    <mergeCell ref="F2:F3"/>
    <mergeCell ref="F5:F6"/>
    <mergeCell ref="F8:F10"/>
    <mergeCell ref="F11:F12"/>
    <mergeCell ref="F14:F15"/>
    <mergeCell ref="G2:G3"/>
    <mergeCell ref="G5:G6"/>
    <mergeCell ref="G8:G10"/>
    <mergeCell ref="G11:G12"/>
    <mergeCell ref="G14:G15"/>
    <mergeCell ref="G16:G17"/>
    <mergeCell ref="G18:G19"/>
    <mergeCell ref="G20:G21"/>
    <mergeCell ref="G22:G23"/>
    <mergeCell ref="I2:I3"/>
    <mergeCell ref="I4:I6"/>
    <mergeCell ref="I8:I10"/>
    <mergeCell ref="I11:I12"/>
    <mergeCell ref="K2:K4"/>
    <mergeCell ref="K5:K7"/>
    <mergeCell ref="K8:K12"/>
    <mergeCell ref="K16:K17"/>
    <mergeCell ref="K18:K19"/>
    <mergeCell ref="K20:K21"/>
    <mergeCell ref="K22:K23"/>
    <mergeCell ref="L2:L4"/>
    <mergeCell ref="L5:L7"/>
    <mergeCell ref="L8:L12"/>
    <mergeCell ref="L16:L17"/>
    <mergeCell ref="L18:L19"/>
    <mergeCell ref="L20:L21"/>
    <mergeCell ref="L22:L23"/>
    <mergeCell ref="M2:M4"/>
    <mergeCell ref="M5:M7"/>
    <mergeCell ref="M8:M12"/>
    <mergeCell ref="M16:M17"/>
    <mergeCell ref="M18:M19"/>
    <mergeCell ref="M20:M21"/>
    <mergeCell ref="M22:M23"/>
  </mergeCells>
  <conditionalFormatting sqref="F11">
    <cfRule type="duplicateValues" dxfId="0" priority="1"/>
  </conditionalFormatting>
  <conditionalFormatting sqref="F16:F1048576 F1:F2 F4:F5 F13:F14 F7:F8">
    <cfRule type="duplicateValues" dxfId="0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view="pageBreakPreview" zoomScale="60" zoomScaleNormal="70" topLeftCell="A4" workbookViewId="0">
      <selection activeCell="J20" sqref="J20:J21"/>
    </sheetView>
  </sheetViews>
  <sheetFormatPr defaultColWidth="9" defaultRowHeight="17.5"/>
  <cols>
    <col min="1" max="1" width="10.3727272727273" customWidth="1"/>
    <col min="2" max="2" width="17.5" customWidth="1"/>
    <col min="3" max="3" width="25.5" customWidth="1"/>
    <col min="4" max="4" width="26" customWidth="1"/>
    <col min="5" max="5" width="20.5" customWidth="1"/>
    <col min="6" max="6" width="24.7545454545455" customWidth="1"/>
    <col min="7" max="7" width="25.7545454545455" customWidth="1"/>
    <col min="8" max="8" width="26.7545454545455" customWidth="1"/>
    <col min="9" max="11" width="16.8727272727273" customWidth="1"/>
    <col min="12" max="12" width="17.6272727272727" style="50" customWidth="1"/>
    <col min="13" max="13" width="11.2545454545455" style="50" customWidth="1"/>
    <col min="14" max="14" width="10.7545454545455" style="50" customWidth="1"/>
    <col min="15" max="15" width="13.2545454545455" style="51" customWidth="1"/>
    <col min="16" max="16" width="11.2545454545455" style="50" customWidth="1"/>
    <col min="17" max="17" width="15.5" style="51" customWidth="1"/>
    <col min="18" max="18" width="18.5" style="1" customWidth="1"/>
    <col min="19" max="19" width="17.2545454545455" customWidth="1"/>
    <col min="20" max="20" width="45.6272727272727" customWidth="1"/>
  </cols>
  <sheetData>
    <row r="1" ht="74.25" customHeight="1" spans="1:18">
      <c r="A1" s="49" t="s">
        <v>0</v>
      </c>
      <c r="B1" s="52" t="s">
        <v>73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74</v>
      </c>
      <c r="K1" s="52" t="s">
        <v>75</v>
      </c>
      <c r="L1" s="75" t="s">
        <v>11</v>
      </c>
      <c r="M1" s="76" t="s">
        <v>76</v>
      </c>
      <c r="N1" s="76" t="s">
        <v>77</v>
      </c>
      <c r="O1" s="76" t="s">
        <v>78</v>
      </c>
      <c r="P1" s="76" t="s">
        <v>79</v>
      </c>
      <c r="Q1" s="76" t="s">
        <v>80</v>
      </c>
      <c r="R1" s="85" t="s">
        <v>81</v>
      </c>
    </row>
    <row r="2" ht="38.25" customHeight="1" spans="1:18">
      <c r="A2" s="53" t="s">
        <v>82</v>
      </c>
      <c r="B2" s="54" t="s">
        <v>83</v>
      </c>
      <c r="C2" s="3" t="s">
        <v>12</v>
      </c>
      <c r="D2" s="14" t="s">
        <v>13</v>
      </c>
      <c r="E2" s="55" t="s">
        <v>14</v>
      </c>
      <c r="F2" s="56" t="s">
        <v>15</v>
      </c>
      <c r="G2" s="57" t="s">
        <v>16</v>
      </c>
      <c r="H2" s="58" t="s">
        <v>17</v>
      </c>
      <c r="I2" s="52"/>
      <c r="J2" s="77" t="s">
        <v>84</v>
      </c>
      <c r="K2" s="77">
        <v>1</v>
      </c>
      <c r="L2" s="75">
        <f>模具费!M2</f>
        <v>11500</v>
      </c>
      <c r="M2" s="75">
        <v>1581</v>
      </c>
      <c r="N2" s="75">
        <v>393</v>
      </c>
      <c r="O2" s="75">
        <v>400</v>
      </c>
      <c r="P2" s="75">
        <f>SUM(M2:O4)</f>
        <v>2374</v>
      </c>
      <c r="Q2" s="75">
        <f>P2*L2/100000</f>
        <v>273.01</v>
      </c>
      <c r="R2" s="86">
        <f>L2-Q2</f>
        <v>11226.99</v>
      </c>
    </row>
    <row r="3" ht="30" customHeight="1" spans="1:18">
      <c r="A3" s="59"/>
      <c r="B3" s="60"/>
      <c r="C3" s="3"/>
      <c r="D3" s="14"/>
      <c r="E3" s="55"/>
      <c r="F3" s="56"/>
      <c r="G3" s="57" t="s">
        <v>19</v>
      </c>
      <c r="H3" s="58"/>
      <c r="I3" s="78"/>
      <c r="J3" s="79"/>
      <c r="K3" s="79"/>
      <c r="L3" s="75"/>
      <c r="M3" s="75"/>
      <c r="N3" s="75"/>
      <c r="O3" s="75"/>
      <c r="P3" s="75"/>
      <c r="Q3" s="75"/>
      <c r="R3" s="86"/>
    </row>
    <row r="4" ht="48.75" customHeight="1" spans="1:18">
      <c r="A4" s="59"/>
      <c r="B4" s="61" t="s">
        <v>85</v>
      </c>
      <c r="C4" s="3" t="s">
        <v>20</v>
      </c>
      <c r="D4" s="14" t="s">
        <v>21</v>
      </c>
      <c r="E4" s="62" t="s">
        <v>22</v>
      </c>
      <c r="F4" s="63" t="s">
        <v>23</v>
      </c>
      <c r="G4" s="57" t="s">
        <v>16</v>
      </c>
      <c r="H4" s="58" t="s">
        <v>24</v>
      </c>
      <c r="I4" s="78"/>
      <c r="J4" s="80"/>
      <c r="K4" s="80"/>
      <c r="L4" s="75"/>
      <c r="M4" s="75"/>
      <c r="N4" s="75"/>
      <c r="O4" s="75"/>
      <c r="P4" s="75"/>
      <c r="Q4" s="75">
        <f>M4*0.82</f>
        <v>0</v>
      </c>
      <c r="R4" s="86"/>
    </row>
    <row r="5" ht="36" customHeight="1" spans="1:18">
      <c r="A5" s="59"/>
      <c r="B5" s="54" t="s">
        <v>86</v>
      </c>
      <c r="C5" s="3" t="s">
        <v>25</v>
      </c>
      <c r="D5" s="14" t="s">
        <v>26</v>
      </c>
      <c r="E5" s="55" t="s">
        <v>27</v>
      </c>
      <c r="F5" s="56" t="s">
        <v>28</v>
      </c>
      <c r="G5" s="57" t="s">
        <v>19</v>
      </c>
      <c r="H5" s="58"/>
      <c r="I5" s="78"/>
      <c r="J5" s="81" t="s">
        <v>84</v>
      </c>
      <c r="K5" s="81" t="s">
        <v>87</v>
      </c>
      <c r="L5" s="75">
        <f>模具费!M5</f>
        <v>11500</v>
      </c>
      <c r="M5" s="75">
        <v>1581</v>
      </c>
      <c r="N5" s="75">
        <v>392</v>
      </c>
      <c r="O5" s="75">
        <v>400</v>
      </c>
      <c r="P5" s="75">
        <f>SUM(M5:O7)</f>
        <v>2373</v>
      </c>
      <c r="Q5" s="75">
        <f>P5*L5/100000</f>
        <v>272.895</v>
      </c>
      <c r="R5" s="86">
        <f>L5-Q5</f>
        <v>11227.105</v>
      </c>
    </row>
    <row r="6" ht="30" customHeight="1" spans="1:18">
      <c r="A6" s="59"/>
      <c r="B6" s="60"/>
      <c r="C6" s="3"/>
      <c r="D6" s="14"/>
      <c r="E6" s="55"/>
      <c r="F6" s="56"/>
      <c r="G6" s="57" t="s">
        <v>29</v>
      </c>
      <c r="H6" s="58"/>
      <c r="I6" s="78"/>
      <c r="J6" s="82"/>
      <c r="K6" s="82"/>
      <c r="L6" s="75"/>
      <c r="M6" s="75"/>
      <c r="N6" s="75"/>
      <c r="O6" s="75"/>
      <c r="P6" s="75"/>
      <c r="Q6" s="75"/>
      <c r="R6" s="86"/>
    </row>
    <row r="7" ht="47.25" customHeight="1" spans="1:18">
      <c r="A7" s="64"/>
      <c r="B7" s="61" t="s">
        <v>88</v>
      </c>
      <c r="C7" s="3" t="s">
        <v>30</v>
      </c>
      <c r="D7" s="14" t="s">
        <v>31</v>
      </c>
      <c r="E7" s="62" t="s">
        <v>32</v>
      </c>
      <c r="F7" s="63" t="s">
        <v>33</v>
      </c>
      <c r="G7" s="57" t="s">
        <v>16</v>
      </c>
      <c r="H7" s="65"/>
      <c r="I7" s="78"/>
      <c r="J7" s="83"/>
      <c r="K7" s="83"/>
      <c r="L7" s="75"/>
      <c r="M7" s="75"/>
      <c r="N7" s="75"/>
      <c r="O7" s="75"/>
      <c r="P7" s="75"/>
      <c r="Q7" s="75">
        <f>M7*0.82</f>
        <v>0</v>
      </c>
      <c r="R7" s="86"/>
    </row>
    <row r="8" ht="39.75" customHeight="1" spans="1:18">
      <c r="A8" s="53" t="s">
        <v>89</v>
      </c>
      <c r="B8" s="54" t="s">
        <v>83</v>
      </c>
      <c r="C8" s="3" t="s">
        <v>34</v>
      </c>
      <c r="D8" s="14" t="s">
        <v>35</v>
      </c>
      <c r="E8" s="58" t="s">
        <v>36</v>
      </c>
      <c r="F8" s="56" t="s">
        <v>37</v>
      </c>
      <c r="G8" s="57" t="s">
        <v>38</v>
      </c>
      <c r="H8" s="58" t="s">
        <v>17</v>
      </c>
      <c r="I8" s="78"/>
      <c r="J8" s="81" t="s">
        <v>84</v>
      </c>
      <c r="K8" s="81" t="s">
        <v>87</v>
      </c>
      <c r="L8" s="75">
        <f>模具费!M8</f>
        <v>15000</v>
      </c>
      <c r="M8" s="75">
        <v>3593</v>
      </c>
      <c r="N8" s="75">
        <v>1595</v>
      </c>
      <c r="O8" s="75">
        <v>2700</v>
      </c>
      <c r="P8" s="75">
        <f>M8+N8+O8</f>
        <v>7888</v>
      </c>
      <c r="Q8" s="75">
        <f>P8*L8/100000</f>
        <v>1183.2</v>
      </c>
      <c r="R8" s="86">
        <f>L8-Q8</f>
        <v>13816.8</v>
      </c>
    </row>
    <row r="9" ht="39.75" customHeight="1" spans="1:18">
      <c r="A9" s="59"/>
      <c r="B9" s="66"/>
      <c r="C9" s="3"/>
      <c r="D9" s="14"/>
      <c r="E9" s="58"/>
      <c r="F9" s="56"/>
      <c r="G9" s="57" t="s">
        <v>39</v>
      </c>
      <c r="H9" s="58"/>
      <c r="I9" s="78"/>
      <c r="J9" s="82"/>
      <c r="K9" s="82"/>
      <c r="L9" s="75"/>
      <c r="M9" s="75"/>
      <c r="N9" s="75"/>
      <c r="O9" s="75"/>
      <c r="P9" s="75"/>
      <c r="Q9" s="75"/>
      <c r="R9" s="86"/>
    </row>
    <row r="10" ht="39.75" customHeight="1" spans="1:18">
      <c r="A10" s="59"/>
      <c r="B10" s="60"/>
      <c r="C10" s="3"/>
      <c r="D10" s="14"/>
      <c r="E10" s="58"/>
      <c r="F10" s="56"/>
      <c r="G10" s="57" t="s">
        <v>29</v>
      </c>
      <c r="H10" s="58"/>
      <c r="I10" s="78"/>
      <c r="J10" s="82"/>
      <c r="K10" s="82"/>
      <c r="L10" s="75"/>
      <c r="M10" s="75"/>
      <c r="N10" s="75"/>
      <c r="O10" s="75"/>
      <c r="P10" s="75"/>
      <c r="Q10" s="75"/>
      <c r="R10" s="86"/>
    </row>
    <row r="11" ht="30" customHeight="1" spans="1:18">
      <c r="A11" s="59"/>
      <c r="B11" s="54" t="s">
        <v>90</v>
      </c>
      <c r="C11" s="3" t="s">
        <v>45</v>
      </c>
      <c r="D11" s="14" t="s">
        <v>46</v>
      </c>
      <c r="E11" s="58" t="s">
        <v>47</v>
      </c>
      <c r="F11" s="67" t="s">
        <v>48</v>
      </c>
      <c r="G11" s="68" t="s">
        <v>49</v>
      </c>
      <c r="H11" s="69" t="s">
        <v>17</v>
      </c>
      <c r="I11" s="78"/>
      <c r="J11" s="83"/>
      <c r="K11" s="83"/>
      <c r="L11" s="75"/>
      <c r="M11" s="75"/>
      <c r="N11" s="75"/>
      <c r="O11" s="75"/>
      <c r="P11" s="75"/>
      <c r="Q11" s="75"/>
      <c r="R11" s="86"/>
    </row>
    <row r="12" ht="47.25" customHeight="1" spans="1:18">
      <c r="A12" s="59"/>
      <c r="B12" s="66"/>
      <c r="C12" s="3" t="s">
        <v>41</v>
      </c>
      <c r="D12" s="14" t="s">
        <v>42</v>
      </c>
      <c r="E12" s="58" t="s">
        <v>43</v>
      </c>
      <c r="F12" s="70" t="s">
        <v>44</v>
      </c>
      <c r="G12" s="57" t="s">
        <v>19</v>
      </c>
      <c r="H12" s="58" t="s">
        <v>24</v>
      </c>
      <c r="I12" s="78"/>
      <c r="J12" s="81" t="s">
        <v>84</v>
      </c>
      <c r="K12" s="81" t="s">
        <v>87</v>
      </c>
      <c r="L12" s="75">
        <v>25000</v>
      </c>
      <c r="M12" s="75">
        <v>3574</v>
      </c>
      <c r="N12" s="75">
        <v>1598</v>
      </c>
      <c r="O12" s="75">
        <v>2700</v>
      </c>
      <c r="P12" s="75">
        <f>O12+N12+M12</f>
        <v>7872</v>
      </c>
      <c r="Q12" s="75">
        <f>P12*L12/100000</f>
        <v>1968</v>
      </c>
      <c r="R12" s="86">
        <f>L12-Q12</f>
        <v>23032</v>
      </c>
    </row>
    <row r="13" ht="47.25" customHeight="1" spans="1:18">
      <c r="A13" s="59"/>
      <c r="B13" s="60"/>
      <c r="C13" s="3"/>
      <c r="D13" s="14"/>
      <c r="E13" s="58"/>
      <c r="F13" s="70"/>
      <c r="G13" s="57" t="s">
        <v>29</v>
      </c>
      <c r="H13" s="58"/>
      <c r="I13" s="78"/>
      <c r="J13" s="82"/>
      <c r="K13" s="82"/>
      <c r="L13" s="75"/>
      <c r="M13" s="75"/>
      <c r="N13" s="75"/>
      <c r="O13" s="75"/>
      <c r="P13" s="75"/>
      <c r="Q13" s="75"/>
      <c r="R13" s="86"/>
    </row>
    <row r="14" ht="30" customHeight="1" spans="1:20">
      <c r="A14" s="59"/>
      <c r="B14" s="54" t="s">
        <v>86</v>
      </c>
      <c r="C14" s="3" t="s">
        <v>50</v>
      </c>
      <c r="D14" s="14" t="s">
        <v>51</v>
      </c>
      <c r="E14" s="58" t="s">
        <v>52</v>
      </c>
      <c r="F14" s="70" t="s">
        <v>53</v>
      </c>
      <c r="G14" s="57" t="s">
        <v>54</v>
      </c>
      <c r="H14" s="69"/>
      <c r="I14" s="78"/>
      <c r="J14" s="82"/>
      <c r="K14" s="82"/>
      <c r="L14" s="75"/>
      <c r="M14" s="75"/>
      <c r="N14" s="75"/>
      <c r="O14" s="75"/>
      <c r="P14" s="75"/>
      <c r="Q14" s="75">
        <f>M12*0.82</f>
        <v>2930.68</v>
      </c>
      <c r="R14" s="86"/>
      <c r="T14" s="38"/>
    </row>
    <row r="15" ht="30" customHeight="1" spans="1:18">
      <c r="A15" s="64"/>
      <c r="B15" s="60"/>
      <c r="C15" s="3"/>
      <c r="D15" s="14"/>
      <c r="E15" s="58"/>
      <c r="F15" s="70"/>
      <c r="G15" s="57" t="s">
        <v>55</v>
      </c>
      <c r="H15" s="69" t="s">
        <v>17</v>
      </c>
      <c r="I15" s="78"/>
      <c r="J15" s="83"/>
      <c r="K15" s="83"/>
      <c r="L15" s="75"/>
      <c r="M15" s="75"/>
      <c r="N15" s="75"/>
      <c r="O15" s="75"/>
      <c r="P15" s="75"/>
      <c r="Q15" s="75"/>
      <c r="R15" s="86"/>
    </row>
    <row r="16" ht="33.75" customHeight="1" spans="1:18">
      <c r="A16" s="71"/>
      <c r="B16" s="47" t="s">
        <v>91</v>
      </c>
      <c r="C16" s="3" t="s">
        <v>56</v>
      </c>
      <c r="D16" s="14" t="s">
        <v>57</v>
      </c>
      <c r="E16" s="2"/>
      <c r="F16" s="3" t="s">
        <v>58</v>
      </c>
      <c r="G16" s="3"/>
      <c r="H16" s="49"/>
      <c r="I16" s="49"/>
      <c r="J16" s="54" t="s">
        <v>84</v>
      </c>
      <c r="K16" s="54">
        <v>1</v>
      </c>
      <c r="L16" s="75">
        <v>16500</v>
      </c>
      <c r="M16" s="75"/>
      <c r="N16" s="75"/>
      <c r="O16" s="75"/>
      <c r="P16" s="75">
        <f>SUM(P2:P15)</f>
        <v>20507</v>
      </c>
      <c r="Q16" s="75">
        <f>L16/100000*P16</f>
        <v>3383.655</v>
      </c>
      <c r="R16" s="86">
        <f>L16-Q16</f>
        <v>13116.345</v>
      </c>
    </row>
    <row r="17" ht="33.75" customHeight="1" spans="1:18">
      <c r="A17" s="71"/>
      <c r="B17" s="47"/>
      <c r="C17" s="3" t="s">
        <v>59</v>
      </c>
      <c r="D17" s="14" t="s">
        <v>60</v>
      </c>
      <c r="E17" s="2"/>
      <c r="F17" s="3"/>
      <c r="G17" s="3"/>
      <c r="H17" s="49"/>
      <c r="I17" s="49"/>
      <c r="J17" s="60"/>
      <c r="K17" s="60"/>
      <c r="L17" s="75"/>
      <c r="M17" s="75"/>
      <c r="N17" s="75"/>
      <c r="O17" s="75"/>
      <c r="P17" s="75"/>
      <c r="Q17" s="75"/>
      <c r="R17" s="86"/>
    </row>
    <row r="18" ht="33.75" customHeight="1" spans="1:18">
      <c r="A18" s="71"/>
      <c r="B18" s="47"/>
      <c r="C18" s="3" t="s">
        <v>62</v>
      </c>
      <c r="D18" s="14" t="s">
        <v>63</v>
      </c>
      <c r="E18" s="2"/>
      <c r="F18" s="3" t="s">
        <v>58</v>
      </c>
      <c r="G18" s="3"/>
      <c r="H18" s="49"/>
      <c r="I18" s="49"/>
      <c r="J18" s="54" t="s">
        <v>84</v>
      </c>
      <c r="K18" s="54">
        <v>1</v>
      </c>
      <c r="L18" s="75"/>
      <c r="M18" s="75"/>
      <c r="N18" s="75"/>
      <c r="O18" s="75"/>
      <c r="P18" s="75"/>
      <c r="Q18" s="75"/>
      <c r="R18" s="86"/>
    </row>
    <row r="19" ht="33.75" customHeight="1" spans="1:18">
      <c r="A19" s="71"/>
      <c r="B19" s="47"/>
      <c r="C19" s="3" t="s">
        <v>65</v>
      </c>
      <c r="D19" s="14" t="s">
        <v>66</v>
      </c>
      <c r="E19" s="2"/>
      <c r="F19" s="3"/>
      <c r="G19" s="3"/>
      <c r="H19" s="49"/>
      <c r="I19" s="49"/>
      <c r="J19" s="60"/>
      <c r="K19" s="60"/>
      <c r="L19" s="75"/>
      <c r="M19" s="75"/>
      <c r="N19" s="75"/>
      <c r="O19" s="75"/>
      <c r="P19" s="75"/>
      <c r="Q19" s="75"/>
      <c r="R19" s="86"/>
    </row>
    <row r="20" ht="33.75" customHeight="1" spans="1:18">
      <c r="A20" s="71"/>
      <c r="B20" s="47"/>
      <c r="C20" s="3" t="s">
        <v>68</v>
      </c>
      <c r="D20" s="14" t="s">
        <v>57</v>
      </c>
      <c r="E20" s="2"/>
      <c r="F20" s="3" t="s">
        <v>58</v>
      </c>
      <c r="G20" s="3"/>
      <c r="H20" s="49"/>
      <c r="I20" s="49"/>
      <c r="J20" s="54" t="s">
        <v>84</v>
      </c>
      <c r="K20" s="54">
        <v>1</v>
      </c>
      <c r="L20" s="75"/>
      <c r="M20" s="75"/>
      <c r="N20" s="75"/>
      <c r="O20" s="75"/>
      <c r="P20" s="75"/>
      <c r="Q20" s="75"/>
      <c r="R20" s="86"/>
    </row>
    <row r="21" ht="33.75" customHeight="1" spans="1:18">
      <c r="A21" s="71"/>
      <c r="B21" s="47"/>
      <c r="C21" s="3" t="s">
        <v>70</v>
      </c>
      <c r="D21" s="14" t="s">
        <v>60</v>
      </c>
      <c r="E21" s="2"/>
      <c r="F21" s="3"/>
      <c r="G21" s="3"/>
      <c r="H21" s="49"/>
      <c r="I21" s="49"/>
      <c r="J21" s="60"/>
      <c r="K21" s="60"/>
      <c r="L21" s="75"/>
      <c r="M21" s="75"/>
      <c r="N21" s="75"/>
      <c r="O21" s="75"/>
      <c r="P21" s="75"/>
      <c r="Q21" s="75"/>
      <c r="R21" s="86"/>
    </row>
    <row r="22" ht="33.75" customHeight="1" spans="1:18">
      <c r="A22" s="71"/>
      <c r="B22" s="47"/>
      <c r="C22" s="3" t="s">
        <v>71</v>
      </c>
      <c r="D22" s="14" t="s">
        <v>63</v>
      </c>
      <c r="E22" s="2"/>
      <c r="F22" s="3" t="s">
        <v>58</v>
      </c>
      <c r="G22" s="3"/>
      <c r="H22" s="49"/>
      <c r="I22" s="49"/>
      <c r="J22" s="54" t="s">
        <v>84</v>
      </c>
      <c r="K22" s="54">
        <v>1</v>
      </c>
      <c r="L22" s="75"/>
      <c r="M22" s="75"/>
      <c r="N22" s="75"/>
      <c r="O22" s="75"/>
      <c r="P22" s="75"/>
      <c r="Q22" s="75"/>
      <c r="R22" s="86"/>
    </row>
    <row r="23" ht="33.75" customHeight="1" spans="1:18">
      <c r="A23" s="71"/>
      <c r="B23" s="47"/>
      <c r="C23" s="3" t="s">
        <v>72</v>
      </c>
      <c r="D23" s="14" t="s">
        <v>66</v>
      </c>
      <c r="E23" s="2"/>
      <c r="F23" s="3"/>
      <c r="G23" s="3"/>
      <c r="H23" s="49"/>
      <c r="I23" s="49"/>
      <c r="J23" s="60"/>
      <c r="K23" s="60"/>
      <c r="L23" s="75"/>
      <c r="M23" s="75"/>
      <c r="N23" s="75"/>
      <c r="O23" s="75"/>
      <c r="P23" s="75"/>
      <c r="Q23" s="75"/>
      <c r="R23" s="86"/>
    </row>
    <row r="24" ht="59.25" customHeight="1" spans="1:18">
      <c r="A24" s="72" t="s">
        <v>92</v>
      </c>
      <c r="B24" s="73"/>
      <c r="C24" s="74"/>
      <c r="D24" s="49"/>
      <c r="E24" s="49"/>
      <c r="F24" s="49"/>
      <c r="G24" s="49"/>
      <c r="H24" s="49"/>
      <c r="I24" s="49"/>
      <c r="J24" s="49"/>
      <c r="K24" s="49"/>
      <c r="L24" s="84">
        <f>SUM(L2:L23)</f>
        <v>79500</v>
      </c>
      <c r="M24" s="84"/>
      <c r="N24" s="84"/>
      <c r="O24" s="75"/>
      <c r="P24" s="84"/>
      <c r="Q24" s="75"/>
      <c r="R24" s="86">
        <f>SUM(R2:R23)</f>
        <v>72419.24</v>
      </c>
    </row>
  </sheetData>
  <mergeCells count="88">
    <mergeCell ref="A24:C24"/>
    <mergeCell ref="A2:A7"/>
    <mergeCell ref="A8:A15"/>
    <mergeCell ref="B2:B3"/>
    <mergeCell ref="B5:B6"/>
    <mergeCell ref="B8:B10"/>
    <mergeCell ref="B11:B13"/>
    <mergeCell ref="B14:B15"/>
    <mergeCell ref="B16:B23"/>
    <mergeCell ref="C2:C3"/>
    <mergeCell ref="C5:C6"/>
    <mergeCell ref="C8:C10"/>
    <mergeCell ref="C12:C13"/>
    <mergeCell ref="C14:C15"/>
    <mergeCell ref="D2:D3"/>
    <mergeCell ref="D5:D6"/>
    <mergeCell ref="D8:D10"/>
    <mergeCell ref="D12:D13"/>
    <mergeCell ref="D14:D15"/>
    <mergeCell ref="E2:E3"/>
    <mergeCell ref="E5:E6"/>
    <mergeCell ref="E8:E10"/>
    <mergeCell ref="E12:E13"/>
    <mergeCell ref="E14:E15"/>
    <mergeCell ref="F2:F3"/>
    <mergeCell ref="F5:F6"/>
    <mergeCell ref="F8:F10"/>
    <mergeCell ref="F12:F13"/>
    <mergeCell ref="F14:F15"/>
    <mergeCell ref="F16:F17"/>
    <mergeCell ref="F18:F19"/>
    <mergeCell ref="F20:F21"/>
    <mergeCell ref="F22:F23"/>
    <mergeCell ref="H2:H3"/>
    <mergeCell ref="H4:H6"/>
    <mergeCell ref="H8:H10"/>
    <mergeCell ref="H12:H13"/>
    <mergeCell ref="J2:J4"/>
    <mergeCell ref="J5:J7"/>
    <mergeCell ref="J8:J11"/>
    <mergeCell ref="J12:J15"/>
    <mergeCell ref="J16:J17"/>
    <mergeCell ref="J18:J19"/>
    <mergeCell ref="J20:J21"/>
    <mergeCell ref="J22:J23"/>
    <mergeCell ref="K2:K4"/>
    <mergeCell ref="K5:K7"/>
    <mergeCell ref="K8:K11"/>
    <mergeCell ref="K12:K15"/>
    <mergeCell ref="K16:K17"/>
    <mergeCell ref="K18:K19"/>
    <mergeCell ref="K20:K21"/>
    <mergeCell ref="K22:K23"/>
    <mergeCell ref="L2:L4"/>
    <mergeCell ref="L5:L7"/>
    <mergeCell ref="L8:L11"/>
    <mergeCell ref="L12:L15"/>
    <mergeCell ref="L16:L23"/>
    <mergeCell ref="M2:M4"/>
    <mergeCell ref="M5:M7"/>
    <mergeCell ref="M8:M11"/>
    <mergeCell ref="M12:M15"/>
    <mergeCell ref="M16:M23"/>
    <mergeCell ref="N2:N4"/>
    <mergeCell ref="N5:N7"/>
    <mergeCell ref="N8:N11"/>
    <mergeCell ref="N12:N15"/>
    <mergeCell ref="N16:N23"/>
    <mergeCell ref="O2:O4"/>
    <mergeCell ref="O5:O7"/>
    <mergeCell ref="O8:O11"/>
    <mergeCell ref="O12:O15"/>
    <mergeCell ref="O16:O23"/>
    <mergeCell ref="P2:P4"/>
    <mergeCell ref="P5:P7"/>
    <mergeCell ref="P8:P11"/>
    <mergeCell ref="P12:P15"/>
    <mergeCell ref="P16:P23"/>
    <mergeCell ref="Q2:Q4"/>
    <mergeCell ref="Q5:Q7"/>
    <mergeCell ref="Q8:Q11"/>
    <mergeCell ref="Q12:Q15"/>
    <mergeCell ref="Q16:Q23"/>
    <mergeCell ref="R2:R4"/>
    <mergeCell ref="R5:R7"/>
    <mergeCell ref="R8:R11"/>
    <mergeCell ref="R12:R15"/>
    <mergeCell ref="R16:R23"/>
  </mergeCells>
  <conditionalFormatting sqref="E11">
    <cfRule type="duplicateValues" dxfId="0" priority="1"/>
  </conditionalFormatting>
  <conditionalFormatting sqref="E12">
    <cfRule type="duplicateValues" dxfId="0" priority="2"/>
  </conditionalFormatting>
  <conditionalFormatting sqref="E16:E1048576 E1:E2 E4:E5 E14 E7:E8">
    <cfRule type="duplicateValues" dxfId="0" priority="3"/>
  </conditionalFormatting>
  <pageMargins left="0.7" right="0.7" top="0.75" bottom="0.75" header="0.3" footer="0.3"/>
  <pageSetup paperSize="9" scale="46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0" sqref="K10"/>
    </sheetView>
  </sheetViews>
  <sheetFormatPr defaultColWidth="9" defaultRowHeight="14" outlineLevelCol="7"/>
  <cols>
    <col min="2" max="2" width="20.2545454545455" customWidth="1"/>
    <col min="8" max="8" width="15.6272727272727" customWidth="1"/>
  </cols>
  <sheetData>
    <row r="1" spans="3:8">
      <c r="C1" t="s">
        <v>93</v>
      </c>
      <c r="D1" t="s">
        <v>94</v>
      </c>
      <c r="E1" t="s">
        <v>95</v>
      </c>
      <c r="F1" t="s">
        <v>96</v>
      </c>
      <c r="G1" t="s">
        <v>92</v>
      </c>
      <c r="H1" t="s">
        <v>97</v>
      </c>
    </row>
    <row r="2" spans="1:8">
      <c r="A2" s="47" t="s">
        <v>98</v>
      </c>
      <c r="B2" s="48" t="s">
        <v>99</v>
      </c>
      <c r="C2" s="49">
        <v>4660</v>
      </c>
      <c r="D2" s="49">
        <v>1497</v>
      </c>
      <c r="E2" s="49">
        <v>257</v>
      </c>
      <c r="F2" s="49">
        <v>200</v>
      </c>
      <c r="G2" s="49">
        <f>SUM(C2:F2)</f>
        <v>6614</v>
      </c>
      <c r="H2" s="49">
        <f>G2-400</f>
        <v>6214</v>
      </c>
    </row>
    <row r="3" spans="1:8">
      <c r="A3" s="47"/>
      <c r="B3" s="49" t="s">
        <v>100</v>
      </c>
      <c r="C3" s="49">
        <v>1880</v>
      </c>
      <c r="D3" s="49">
        <v>1497</v>
      </c>
      <c r="E3" s="49">
        <v>257</v>
      </c>
      <c r="F3" s="49">
        <v>200</v>
      </c>
      <c r="G3" s="49">
        <f t="shared" ref="G3:G9" si="0">SUM(C3:F3)</f>
        <v>3834</v>
      </c>
      <c r="H3" s="49">
        <f t="shared" ref="H3:H5" si="1">G3-400</f>
        <v>3434</v>
      </c>
    </row>
    <row r="4" spans="1:8">
      <c r="A4" s="47"/>
      <c r="B4" s="48" t="s">
        <v>101</v>
      </c>
      <c r="C4" s="49">
        <v>4720</v>
      </c>
      <c r="D4" s="49">
        <v>1116</v>
      </c>
      <c r="E4" s="49">
        <v>384</v>
      </c>
      <c r="F4" s="49">
        <v>200</v>
      </c>
      <c r="G4" s="49">
        <f t="shared" si="0"/>
        <v>6420</v>
      </c>
      <c r="H4" s="49">
        <f t="shared" si="1"/>
        <v>6020</v>
      </c>
    </row>
    <row r="5" spans="1:8">
      <c r="A5" s="47"/>
      <c r="B5" s="49" t="s">
        <v>102</v>
      </c>
      <c r="C5" s="49">
        <v>1200</v>
      </c>
      <c r="D5" s="49">
        <v>1116</v>
      </c>
      <c r="E5" s="49">
        <v>384</v>
      </c>
      <c r="F5" s="49">
        <v>200</v>
      </c>
      <c r="G5" s="49">
        <f t="shared" si="0"/>
        <v>2900</v>
      </c>
      <c r="H5" s="49">
        <f t="shared" si="1"/>
        <v>2500</v>
      </c>
    </row>
    <row r="6" spans="1:8">
      <c r="A6" s="47" t="s">
        <v>89</v>
      </c>
      <c r="B6" s="49" t="s">
        <v>99</v>
      </c>
      <c r="C6" s="49">
        <v>1980</v>
      </c>
      <c r="D6" s="49">
        <v>611</v>
      </c>
      <c r="E6" s="49">
        <v>166</v>
      </c>
      <c r="F6" s="49">
        <v>200</v>
      </c>
      <c r="G6" s="49">
        <f t="shared" si="0"/>
        <v>2957</v>
      </c>
      <c r="H6" s="49">
        <f>G6-2700</f>
        <v>257</v>
      </c>
    </row>
    <row r="7" spans="1:8">
      <c r="A7" s="47"/>
      <c r="B7" s="49" t="s">
        <v>100</v>
      </c>
      <c r="C7" s="49">
        <v>1120</v>
      </c>
      <c r="D7" s="49">
        <v>611</v>
      </c>
      <c r="E7" s="49">
        <v>166</v>
      </c>
      <c r="F7" s="49">
        <v>200</v>
      </c>
      <c r="G7" s="49">
        <f t="shared" si="0"/>
        <v>2097</v>
      </c>
      <c r="H7" s="49">
        <f t="shared" ref="H7:H9" si="2">G7-2700</f>
        <v>-603</v>
      </c>
    </row>
    <row r="8" spans="1:8">
      <c r="A8" s="47"/>
      <c r="B8" s="49" t="s">
        <v>101</v>
      </c>
      <c r="C8" s="49">
        <v>1540</v>
      </c>
      <c r="D8" s="49">
        <v>146</v>
      </c>
      <c r="E8" s="49">
        <v>570</v>
      </c>
      <c r="F8" s="49">
        <v>200</v>
      </c>
      <c r="G8" s="49">
        <f t="shared" si="0"/>
        <v>2456</v>
      </c>
      <c r="H8" s="49">
        <f t="shared" si="2"/>
        <v>-244</v>
      </c>
    </row>
    <row r="9" spans="1:8">
      <c r="A9" s="47"/>
      <c r="B9" s="49" t="s">
        <v>102</v>
      </c>
      <c r="C9" s="49">
        <v>2080</v>
      </c>
      <c r="D9" s="49">
        <v>146</v>
      </c>
      <c r="E9" s="49">
        <v>570</v>
      </c>
      <c r="F9" s="49">
        <v>200</v>
      </c>
      <c r="G9" s="49">
        <f t="shared" si="0"/>
        <v>2996</v>
      </c>
      <c r="H9" s="49">
        <f t="shared" si="2"/>
        <v>296</v>
      </c>
    </row>
    <row r="10" spans="1:8">
      <c r="A10" s="49"/>
      <c r="B10" s="49"/>
      <c r="C10" s="49"/>
      <c r="D10" s="49"/>
      <c r="E10" s="49"/>
      <c r="F10" s="49"/>
      <c r="G10" s="49"/>
      <c r="H10" s="49"/>
    </row>
    <row r="11" spans="1:8">
      <c r="A11" s="49"/>
      <c r="B11" s="49"/>
      <c r="C11" s="49"/>
      <c r="D11" s="49"/>
      <c r="E11" s="49"/>
      <c r="F11" s="49"/>
      <c r="G11" s="49"/>
      <c r="H11" s="49"/>
    </row>
    <row r="12" spans="1:8">
      <c r="A12" s="49"/>
      <c r="B12" s="49"/>
      <c r="C12" s="49"/>
      <c r="D12" s="49"/>
      <c r="E12" s="49"/>
      <c r="F12" s="49"/>
      <c r="G12" s="49"/>
      <c r="H12" s="49"/>
    </row>
    <row r="13" spans="1:8">
      <c r="A13" s="49"/>
      <c r="B13" s="49"/>
      <c r="C13" s="49"/>
      <c r="D13" s="49"/>
      <c r="E13" s="49"/>
      <c r="F13" s="49"/>
      <c r="G13" s="49"/>
      <c r="H13" s="49"/>
    </row>
  </sheetData>
  <mergeCells count="2">
    <mergeCell ref="A2:A5"/>
    <mergeCell ref="A6:A9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190" zoomScaleNormal="190" workbookViewId="0">
      <selection activeCell="K10" sqref="K10"/>
    </sheetView>
  </sheetViews>
  <sheetFormatPr defaultColWidth="9" defaultRowHeight="14"/>
  <sheetData>
    <row r="1" ht="27.75" spans="1:9">
      <c r="A1" s="41" t="s">
        <v>73</v>
      </c>
      <c r="B1" s="42"/>
      <c r="C1" s="42" t="s">
        <v>103</v>
      </c>
      <c r="D1" s="42" t="s">
        <v>104</v>
      </c>
      <c r="E1" s="42" t="s">
        <v>105</v>
      </c>
      <c r="F1" s="42" t="s">
        <v>106</v>
      </c>
      <c r="G1" s="42" t="s">
        <v>107</v>
      </c>
      <c r="H1" s="42" t="s">
        <v>108</v>
      </c>
      <c r="I1" s="42" t="s">
        <v>109</v>
      </c>
    </row>
    <row r="2" ht="14.75" spans="1:9">
      <c r="A2" s="43">
        <v>1</v>
      </c>
      <c r="B2" s="44"/>
      <c r="C2" s="44"/>
      <c r="D2" s="44"/>
      <c r="E2" s="44"/>
      <c r="F2" s="44"/>
      <c r="G2" s="44"/>
      <c r="H2" s="44"/>
      <c r="I2" s="44"/>
    </row>
    <row r="3" ht="14.75" spans="1:9">
      <c r="A3" s="43">
        <v>2</v>
      </c>
      <c r="B3" s="44"/>
      <c r="C3" s="44"/>
      <c r="D3" s="44"/>
      <c r="E3" s="44"/>
      <c r="F3" s="44"/>
      <c r="G3" s="44"/>
      <c r="H3" s="44"/>
      <c r="I3" s="44"/>
    </row>
    <row r="4" ht="14.75" spans="1:9">
      <c r="A4" s="43">
        <v>3</v>
      </c>
      <c r="B4" s="44"/>
      <c r="C4" s="44"/>
      <c r="D4" s="44"/>
      <c r="E4" s="44"/>
      <c r="F4" s="44"/>
      <c r="G4" s="44"/>
      <c r="H4" s="44"/>
      <c r="I4" s="44"/>
    </row>
    <row r="5" ht="14.75" spans="1:9">
      <c r="A5" s="43">
        <v>4</v>
      </c>
      <c r="B5" s="44"/>
      <c r="C5" s="44"/>
      <c r="D5" s="44"/>
      <c r="E5" s="44"/>
      <c r="F5" s="44"/>
      <c r="G5" s="44"/>
      <c r="H5" s="44"/>
      <c r="I5" s="44"/>
    </row>
    <row r="6" ht="14.75" spans="1:9">
      <c r="A6" s="43">
        <v>5</v>
      </c>
      <c r="B6" s="44"/>
      <c r="C6" s="44"/>
      <c r="D6" s="44"/>
      <c r="E6" s="44"/>
      <c r="F6" s="44"/>
      <c r="G6" s="44"/>
      <c r="H6" s="44"/>
      <c r="I6" s="44"/>
    </row>
    <row r="7" ht="14.75" spans="1:9">
      <c r="A7" s="43">
        <v>6</v>
      </c>
      <c r="B7" s="44"/>
      <c r="C7" s="44"/>
      <c r="D7" s="44"/>
      <c r="E7" s="44"/>
      <c r="F7" s="44"/>
      <c r="G7" s="44"/>
      <c r="H7" s="44"/>
      <c r="I7" s="44"/>
    </row>
    <row r="8" ht="14.75" spans="1:9">
      <c r="A8" s="43">
        <v>7</v>
      </c>
      <c r="B8" s="44"/>
      <c r="C8" s="44"/>
      <c r="D8" s="44"/>
      <c r="E8" s="44"/>
      <c r="F8" s="44"/>
      <c r="G8" s="44"/>
      <c r="H8" s="44"/>
      <c r="I8" s="44"/>
    </row>
    <row r="9" ht="14.75" spans="1:9">
      <c r="A9" s="43">
        <v>8</v>
      </c>
      <c r="B9" s="44"/>
      <c r="C9" s="44"/>
      <c r="D9" s="44"/>
      <c r="E9" s="44"/>
      <c r="F9" s="44"/>
      <c r="G9" s="44"/>
      <c r="H9" s="44"/>
      <c r="I9" s="44"/>
    </row>
    <row r="10" ht="14.75" spans="1:9">
      <c r="A10" s="43">
        <v>9</v>
      </c>
      <c r="B10" s="44"/>
      <c r="C10" s="44"/>
      <c r="D10" s="44"/>
      <c r="E10" s="44"/>
      <c r="F10" s="44"/>
      <c r="G10" s="44"/>
      <c r="H10" s="44"/>
      <c r="I10" s="44"/>
    </row>
    <row r="11" ht="14.75" spans="1:9">
      <c r="A11" s="43">
        <v>10</v>
      </c>
      <c r="B11" s="44"/>
      <c r="C11" s="44"/>
      <c r="D11" s="44"/>
      <c r="E11" s="44"/>
      <c r="F11" s="44"/>
      <c r="G11" s="44"/>
      <c r="H11" s="44"/>
      <c r="I11" s="44"/>
    </row>
    <row r="12" ht="14.75" spans="1:9">
      <c r="A12" s="43">
        <v>11</v>
      </c>
      <c r="B12" s="44"/>
      <c r="C12" s="44"/>
      <c r="D12" s="44"/>
      <c r="E12" s="44"/>
      <c r="F12" s="44"/>
      <c r="G12" s="44"/>
      <c r="H12" s="44"/>
      <c r="I12" s="44"/>
    </row>
    <row r="13" ht="14.75" spans="1:9">
      <c r="A13" s="43">
        <v>12</v>
      </c>
      <c r="B13" s="44"/>
      <c r="C13" s="44"/>
      <c r="D13" s="44"/>
      <c r="E13" s="44"/>
      <c r="F13" s="44"/>
      <c r="G13" s="44"/>
      <c r="H13" s="44"/>
      <c r="I13" s="44"/>
    </row>
    <row r="14" ht="14.75" spans="1:9">
      <c r="A14" s="43">
        <v>13</v>
      </c>
      <c r="B14" s="44"/>
      <c r="C14" s="44"/>
      <c r="D14" s="44"/>
      <c r="E14" s="44"/>
      <c r="F14" s="44"/>
      <c r="G14" s="44"/>
      <c r="H14" s="44"/>
      <c r="I14" s="44"/>
    </row>
    <row r="15" ht="14.75" spans="1:9">
      <c r="A15" s="43">
        <v>14</v>
      </c>
      <c r="B15" s="44"/>
      <c r="C15" s="44"/>
      <c r="D15" s="44"/>
      <c r="E15" s="44"/>
      <c r="F15" s="44"/>
      <c r="G15" s="44"/>
      <c r="H15" s="44"/>
      <c r="I15" s="44"/>
    </row>
    <row r="16" ht="14.75" spans="1:9">
      <c r="A16" s="43">
        <v>15</v>
      </c>
      <c r="B16" s="44"/>
      <c r="C16" s="44"/>
      <c r="D16" s="44"/>
      <c r="E16" s="44"/>
      <c r="F16" s="44"/>
      <c r="G16" s="44"/>
      <c r="H16" s="44"/>
      <c r="I16" s="44"/>
    </row>
    <row r="17" ht="14.75" spans="1:9">
      <c r="A17" s="43">
        <v>16</v>
      </c>
      <c r="B17" s="44"/>
      <c r="C17" s="44"/>
      <c r="D17" s="44"/>
      <c r="E17" s="44"/>
      <c r="F17" s="44"/>
      <c r="G17" s="44"/>
      <c r="H17" s="44"/>
      <c r="I17" s="44"/>
    </row>
    <row r="18" ht="14.75" spans="1:9">
      <c r="A18" s="45" t="s">
        <v>92</v>
      </c>
      <c r="B18" s="46"/>
      <c r="C18" s="44"/>
      <c r="D18" s="44"/>
      <c r="E18" s="44"/>
      <c r="F18" s="44"/>
      <c r="G18" s="44"/>
      <c r="H18" s="44"/>
      <c r="I18" s="44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="70" zoomScaleNormal="70" topLeftCell="B1" workbookViewId="0">
      <selection activeCell="P10" sqref="P10"/>
    </sheetView>
  </sheetViews>
  <sheetFormatPr defaultColWidth="9" defaultRowHeight="17.5"/>
  <cols>
    <col min="1" max="1" width="10.3727272727273" customWidth="1"/>
    <col min="2" max="2" width="8.5" customWidth="1"/>
    <col min="3" max="3" width="20.3727272727273" customWidth="1"/>
    <col min="4" max="4" width="24.3727272727273" customWidth="1"/>
    <col min="5" max="5" width="13.7545454545455" customWidth="1"/>
    <col min="6" max="6" width="18.5" customWidth="1"/>
    <col min="7" max="7" width="19.3727272727273" customWidth="1"/>
    <col min="8" max="8" width="17.6272727272727" hidden="1" customWidth="1"/>
    <col min="9" max="9" width="6.87272727272727" customWidth="1"/>
    <col min="10" max="10" width="8.12727272727273" customWidth="1"/>
    <col min="11" max="11" width="11.5" customWidth="1"/>
    <col min="12" max="12" width="12" customWidth="1"/>
    <col min="13" max="13" width="10.1272727272727" customWidth="1"/>
    <col min="14" max="14" width="13.8727272727273" style="1" customWidth="1"/>
    <col min="15" max="15" width="12.3727272727273" customWidth="1"/>
    <col min="16" max="16" width="45.6272727272727" customWidth="1"/>
  </cols>
  <sheetData>
    <row r="1" ht="74.25" customHeight="1" spans="1:15">
      <c r="A1" s="2" t="s">
        <v>0</v>
      </c>
      <c r="B1" s="3" t="s">
        <v>73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74</v>
      </c>
      <c r="J1" s="3" t="s">
        <v>75</v>
      </c>
      <c r="K1" s="3" t="s">
        <v>110</v>
      </c>
      <c r="L1" s="3" t="s">
        <v>111</v>
      </c>
      <c r="M1" s="3" t="s">
        <v>112</v>
      </c>
      <c r="N1" s="28" t="s">
        <v>81</v>
      </c>
      <c r="O1" s="2" t="s">
        <v>113</v>
      </c>
    </row>
    <row r="2" ht="38.25" customHeight="1" spans="1:15">
      <c r="A2" s="4" t="s">
        <v>82</v>
      </c>
      <c r="B2" s="5">
        <v>1</v>
      </c>
      <c r="C2" s="6" t="s">
        <v>12</v>
      </c>
      <c r="D2" s="7" t="s">
        <v>13</v>
      </c>
      <c r="E2" s="8" t="s">
        <v>14</v>
      </c>
      <c r="F2" s="9" t="s">
        <v>37</v>
      </c>
      <c r="G2" s="9" t="s">
        <v>114</v>
      </c>
      <c r="H2" s="10" t="s">
        <v>17</v>
      </c>
      <c r="I2" s="5" t="s">
        <v>84</v>
      </c>
      <c r="J2" s="5">
        <v>1</v>
      </c>
      <c r="K2" s="29">
        <f>N2/1.13</f>
        <v>9935.38938053097</v>
      </c>
      <c r="L2" s="29">
        <f>K2*J2</f>
        <v>9935.38938053097</v>
      </c>
      <c r="M2" s="29">
        <f>L2*0.13</f>
        <v>1291.60061946903</v>
      </c>
      <c r="N2" s="5">
        <v>11226.99</v>
      </c>
      <c r="O2" s="5" t="s">
        <v>83</v>
      </c>
    </row>
    <row r="3" ht="30" customHeight="1" spans="1:15">
      <c r="A3" s="11"/>
      <c r="B3" s="12"/>
      <c r="C3" s="6"/>
      <c r="D3" s="7"/>
      <c r="E3" s="8"/>
      <c r="F3" s="9"/>
      <c r="G3" s="9" t="s">
        <v>115</v>
      </c>
      <c r="H3" s="10"/>
      <c r="I3" s="12"/>
      <c r="J3" s="12"/>
      <c r="K3" s="30"/>
      <c r="L3" s="30"/>
      <c r="M3" s="30"/>
      <c r="N3" s="12"/>
      <c r="O3" s="13"/>
    </row>
    <row r="4" ht="48.75" customHeight="1" spans="1:15">
      <c r="A4" s="11"/>
      <c r="B4" s="13"/>
      <c r="C4" s="3" t="s">
        <v>20</v>
      </c>
      <c r="D4" s="14" t="s">
        <v>21</v>
      </c>
      <c r="E4" s="15" t="s">
        <v>22</v>
      </c>
      <c r="F4" s="16" t="s">
        <v>48</v>
      </c>
      <c r="G4" s="10" t="s">
        <v>116</v>
      </c>
      <c r="H4" s="10" t="s">
        <v>24</v>
      </c>
      <c r="I4" s="13"/>
      <c r="J4" s="13"/>
      <c r="K4" s="31"/>
      <c r="L4" s="31"/>
      <c r="M4" s="31"/>
      <c r="N4" s="13"/>
      <c r="O4" s="5" t="s">
        <v>117</v>
      </c>
    </row>
    <row r="5" ht="48.75" customHeight="1" spans="1:15">
      <c r="A5" s="11"/>
      <c r="B5" s="5">
        <v>2</v>
      </c>
      <c r="C5" s="3" t="s">
        <v>25</v>
      </c>
      <c r="D5" s="14" t="s">
        <v>26</v>
      </c>
      <c r="E5" s="15" t="s">
        <v>27</v>
      </c>
      <c r="F5" s="16" t="s">
        <v>44</v>
      </c>
      <c r="G5" s="10" t="s">
        <v>118</v>
      </c>
      <c r="H5" s="10"/>
      <c r="I5" s="32" t="s">
        <v>84</v>
      </c>
      <c r="J5" s="32" t="s">
        <v>87</v>
      </c>
      <c r="K5" s="29">
        <f>N5/1.13</f>
        <v>9935.49115044248</v>
      </c>
      <c r="L5" s="33">
        <f>K5*J5</f>
        <v>9935.49115044248</v>
      </c>
      <c r="M5" s="33">
        <f>L5*0.13</f>
        <v>1291.61384955752</v>
      </c>
      <c r="N5" s="33">
        <v>11227.105</v>
      </c>
      <c r="O5" s="12"/>
    </row>
    <row r="6" ht="30" customHeight="1" spans="1:15">
      <c r="A6" s="11"/>
      <c r="B6" s="12"/>
      <c r="C6" s="3"/>
      <c r="D6" s="14"/>
      <c r="E6" s="15"/>
      <c r="F6" s="16"/>
      <c r="G6" s="10" t="s">
        <v>119</v>
      </c>
      <c r="H6" s="10"/>
      <c r="I6" s="34"/>
      <c r="J6" s="34"/>
      <c r="K6" s="30"/>
      <c r="L6" s="33"/>
      <c r="M6" s="33"/>
      <c r="N6" s="33"/>
      <c r="O6" s="13"/>
    </row>
    <row r="7" ht="47.25" customHeight="1" spans="1:15">
      <c r="A7" s="17"/>
      <c r="B7" s="13"/>
      <c r="C7" s="18" t="s">
        <v>30</v>
      </c>
      <c r="D7" s="19" t="s">
        <v>31</v>
      </c>
      <c r="E7" s="20" t="s">
        <v>32</v>
      </c>
      <c r="F7" s="21" t="s">
        <v>53</v>
      </c>
      <c r="G7" s="22" t="s">
        <v>120</v>
      </c>
      <c r="H7" s="23"/>
      <c r="I7" s="35"/>
      <c r="J7" s="35"/>
      <c r="K7" s="31"/>
      <c r="L7" s="33"/>
      <c r="M7" s="33"/>
      <c r="N7" s="33"/>
      <c r="O7" s="36" t="s">
        <v>121</v>
      </c>
    </row>
    <row r="8" ht="47.25" customHeight="1" spans="1:15">
      <c r="A8" s="4" t="s">
        <v>89</v>
      </c>
      <c r="B8" s="5">
        <v>3</v>
      </c>
      <c r="C8" s="6" t="s">
        <v>34</v>
      </c>
      <c r="D8" s="7" t="s">
        <v>35</v>
      </c>
      <c r="E8" s="9" t="s">
        <v>36</v>
      </c>
      <c r="F8" s="9" t="s">
        <v>15</v>
      </c>
      <c r="G8" s="9" t="s">
        <v>122</v>
      </c>
      <c r="H8" s="10" t="s">
        <v>17</v>
      </c>
      <c r="I8" s="32" t="s">
        <v>84</v>
      </c>
      <c r="J8" s="32" t="s">
        <v>87</v>
      </c>
      <c r="K8" s="29">
        <f>N8/1.13</f>
        <v>12227.2566371681</v>
      </c>
      <c r="L8" s="33">
        <f>K8*J8</f>
        <v>12227.2566371681</v>
      </c>
      <c r="M8" s="33">
        <f>L8*0.13</f>
        <v>1589.54336283186</v>
      </c>
      <c r="N8" s="33">
        <v>13816.8</v>
      </c>
      <c r="O8" s="5" t="s">
        <v>83</v>
      </c>
    </row>
    <row r="9" ht="47.25" customHeight="1" spans="1:15">
      <c r="A9" s="11"/>
      <c r="B9" s="12"/>
      <c r="C9" s="6"/>
      <c r="D9" s="7"/>
      <c r="E9" s="9"/>
      <c r="F9" s="9"/>
      <c r="G9" s="9" t="s">
        <v>123</v>
      </c>
      <c r="H9" s="10"/>
      <c r="I9" s="34"/>
      <c r="J9" s="34"/>
      <c r="K9" s="30"/>
      <c r="L9" s="33"/>
      <c r="M9" s="33"/>
      <c r="N9" s="33"/>
      <c r="O9" s="12"/>
    </row>
    <row r="10" ht="30" customHeight="1" spans="1:15">
      <c r="A10" s="11"/>
      <c r="B10" s="12"/>
      <c r="C10" s="6"/>
      <c r="D10" s="7"/>
      <c r="E10" s="9"/>
      <c r="F10" s="9"/>
      <c r="G10" s="9" t="s">
        <v>124</v>
      </c>
      <c r="H10" s="10"/>
      <c r="I10" s="34"/>
      <c r="J10" s="34"/>
      <c r="K10" s="30"/>
      <c r="L10" s="33"/>
      <c r="M10" s="33"/>
      <c r="N10" s="33"/>
      <c r="O10" s="13"/>
    </row>
    <row r="11" ht="30" customHeight="1" spans="1:15">
      <c r="A11" s="11"/>
      <c r="B11" s="12"/>
      <c r="C11" s="3" t="s">
        <v>45</v>
      </c>
      <c r="D11" s="14" t="s">
        <v>46</v>
      </c>
      <c r="E11" s="10" t="s">
        <v>47</v>
      </c>
      <c r="F11" s="16" t="s">
        <v>23</v>
      </c>
      <c r="G11" s="10" t="s">
        <v>125</v>
      </c>
      <c r="H11" s="23" t="s">
        <v>17</v>
      </c>
      <c r="I11" s="35"/>
      <c r="J11" s="35"/>
      <c r="K11" s="30"/>
      <c r="L11" s="33"/>
      <c r="M11" s="33"/>
      <c r="N11" s="33"/>
      <c r="O11" s="37" t="s">
        <v>126</v>
      </c>
    </row>
    <row r="12" ht="47.25" customHeight="1" spans="1:17">
      <c r="A12" s="11"/>
      <c r="B12" s="12">
        <v>4</v>
      </c>
      <c r="C12" s="18" t="s">
        <v>41</v>
      </c>
      <c r="D12" s="19" t="s">
        <v>42</v>
      </c>
      <c r="E12" s="22" t="s">
        <v>43</v>
      </c>
      <c r="F12" s="22" t="s">
        <v>28</v>
      </c>
      <c r="G12" s="22" t="s">
        <v>127</v>
      </c>
      <c r="H12" s="10" t="s">
        <v>24</v>
      </c>
      <c r="I12" s="32" t="s">
        <v>84</v>
      </c>
      <c r="J12" s="32" t="s">
        <v>87</v>
      </c>
      <c r="K12" s="30">
        <f>N12/1.13</f>
        <v>20382.3008849558</v>
      </c>
      <c r="L12" s="33">
        <f>K12*J12</f>
        <v>20382.3008849558</v>
      </c>
      <c r="M12" s="33">
        <f>L12*0.13</f>
        <v>2649.69911504425</v>
      </c>
      <c r="N12" s="33">
        <v>23032</v>
      </c>
      <c r="O12" s="12" t="s">
        <v>128</v>
      </c>
      <c r="Q12">
        <v>15320152816</v>
      </c>
    </row>
    <row r="13" ht="47.25" customHeight="1" spans="1:15">
      <c r="A13" s="11"/>
      <c r="B13" s="12"/>
      <c r="C13" s="18"/>
      <c r="D13" s="19"/>
      <c r="E13" s="22"/>
      <c r="F13" s="22"/>
      <c r="G13" s="22" t="s">
        <v>129</v>
      </c>
      <c r="H13" s="10"/>
      <c r="I13" s="34"/>
      <c r="J13" s="34"/>
      <c r="K13" s="30"/>
      <c r="L13" s="33"/>
      <c r="M13" s="33"/>
      <c r="N13" s="33"/>
      <c r="O13" s="13"/>
    </row>
    <row r="14" ht="30" customHeight="1" spans="1:16">
      <c r="A14" s="11"/>
      <c r="B14" s="12"/>
      <c r="C14" s="3" t="s">
        <v>50</v>
      </c>
      <c r="D14" s="14" t="s">
        <v>51</v>
      </c>
      <c r="E14" s="10" t="s">
        <v>52</v>
      </c>
      <c r="F14" s="10" t="s">
        <v>33</v>
      </c>
      <c r="G14" s="10" t="s">
        <v>130</v>
      </c>
      <c r="H14" s="23"/>
      <c r="I14" s="34"/>
      <c r="J14" s="34"/>
      <c r="K14" s="30"/>
      <c r="L14" s="33"/>
      <c r="M14" s="33"/>
      <c r="N14" s="33"/>
      <c r="O14" s="5" t="s">
        <v>131</v>
      </c>
      <c r="P14" s="38"/>
    </row>
    <row r="15" ht="30" customHeight="1" spans="1:15">
      <c r="A15" s="17"/>
      <c r="B15" s="13"/>
      <c r="C15" s="3"/>
      <c r="D15" s="14"/>
      <c r="E15" s="10"/>
      <c r="F15" s="10"/>
      <c r="G15" s="10" t="s">
        <v>132</v>
      </c>
      <c r="H15" s="23" t="s">
        <v>17</v>
      </c>
      <c r="I15" s="35"/>
      <c r="J15" s="35"/>
      <c r="K15" s="31"/>
      <c r="L15" s="33"/>
      <c r="M15" s="33"/>
      <c r="N15" s="33"/>
      <c r="O15" s="13"/>
    </row>
    <row r="16" ht="33.75" customHeight="1" spans="1:15">
      <c r="A16" s="24"/>
      <c r="B16" s="3" t="s">
        <v>91</v>
      </c>
      <c r="C16" s="3" t="s">
        <v>56</v>
      </c>
      <c r="D16" s="14" t="s">
        <v>57</v>
      </c>
      <c r="E16" s="2"/>
      <c r="F16" s="3" t="s">
        <v>58</v>
      </c>
      <c r="G16" s="3"/>
      <c r="H16" s="2"/>
      <c r="I16" s="5" t="s">
        <v>84</v>
      </c>
      <c r="J16" s="5">
        <v>1</v>
      </c>
      <c r="K16" s="29">
        <f>N16/1.13</f>
        <v>11607.3849557522</v>
      </c>
      <c r="L16" s="29">
        <f>K16*J16</f>
        <v>11607.3849557522</v>
      </c>
      <c r="M16" s="29">
        <f>L16*0.13</f>
        <v>1508.96004424779</v>
      </c>
      <c r="N16" s="33">
        <v>13116.345</v>
      </c>
      <c r="O16" s="3" t="s">
        <v>91</v>
      </c>
    </row>
    <row r="17" ht="33.75" customHeight="1" spans="1:15">
      <c r="A17" s="24"/>
      <c r="B17" s="3"/>
      <c r="C17" s="3" t="s">
        <v>59</v>
      </c>
      <c r="D17" s="14" t="s">
        <v>60</v>
      </c>
      <c r="E17" s="2"/>
      <c r="F17" s="3"/>
      <c r="G17" s="3"/>
      <c r="H17" s="2"/>
      <c r="I17" s="13"/>
      <c r="J17" s="13"/>
      <c r="K17" s="30"/>
      <c r="L17" s="30"/>
      <c r="M17" s="30"/>
      <c r="N17" s="33"/>
      <c r="O17" s="3"/>
    </row>
    <row r="18" ht="33.75" customHeight="1" spans="1:15">
      <c r="A18" s="24"/>
      <c r="B18" s="3"/>
      <c r="C18" s="3" t="s">
        <v>62</v>
      </c>
      <c r="D18" s="14" t="s">
        <v>63</v>
      </c>
      <c r="E18" s="2"/>
      <c r="F18" s="3" t="s">
        <v>58</v>
      </c>
      <c r="G18" s="3"/>
      <c r="H18" s="2"/>
      <c r="I18" s="5" t="s">
        <v>84</v>
      </c>
      <c r="J18" s="5">
        <v>1</v>
      </c>
      <c r="K18" s="30"/>
      <c r="L18" s="30"/>
      <c r="M18" s="30"/>
      <c r="N18" s="33"/>
      <c r="O18" s="3"/>
    </row>
    <row r="19" ht="33.75" customHeight="1" spans="1:15">
      <c r="A19" s="24"/>
      <c r="B19" s="3"/>
      <c r="C19" s="3" t="s">
        <v>65</v>
      </c>
      <c r="D19" s="14" t="s">
        <v>66</v>
      </c>
      <c r="E19" s="2"/>
      <c r="F19" s="3"/>
      <c r="G19" s="3"/>
      <c r="H19" s="2"/>
      <c r="I19" s="13"/>
      <c r="J19" s="13"/>
      <c r="K19" s="30"/>
      <c r="L19" s="30"/>
      <c r="M19" s="30"/>
      <c r="N19" s="33"/>
      <c r="O19" s="3"/>
    </row>
    <row r="20" ht="33.75" customHeight="1" spans="1:15">
      <c r="A20" s="24"/>
      <c r="B20" s="3"/>
      <c r="C20" s="3" t="s">
        <v>68</v>
      </c>
      <c r="D20" s="14" t="s">
        <v>57</v>
      </c>
      <c r="E20" s="2"/>
      <c r="F20" s="3" t="s">
        <v>58</v>
      </c>
      <c r="G20" s="3"/>
      <c r="H20" s="2"/>
      <c r="I20" s="5" t="s">
        <v>84</v>
      </c>
      <c r="J20" s="5">
        <v>1</v>
      </c>
      <c r="K20" s="30"/>
      <c r="L20" s="30"/>
      <c r="M20" s="30"/>
      <c r="N20" s="33"/>
      <c r="O20" s="3"/>
    </row>
    <row r="21" ht="33.75" customHeight="1" spans="1:15">
      <c r="A21" s="24"/>
      <c r="B21" s="3"/>
      <c r="C21" s="3" t="s">
        <v>70</v>
      </c>
      <c r="D21" s="14" t="s">
        <v>60</v>
      </c>
      <c r="E21" s="2"/>
      <c r="F21" s="3"/>
      <c r="G21" s="3"/>
      <c r="H21" s="2"/>
      <c r="I21" s="13"/>
      <c r="J21" s="13"/>
      <c r="K21" s="30"/>
      <c r="L21" s="30"/>
      <c r="M21" s="30"/>
      <c r="N21" s="33"/>
      <c r="O21" s="3"/>
    </row>
    <row r="22" ht="33.75" customHeight="1" spans="1:15">
      <c r="A22" s="24"/>
      <c r="B22" s="3"/>
      <c r="C22" s="3" t="s">
        <v>71</v>
      </c>
      <c r="D22" s="14" t="s">
        <v>63</v>
      </c>
      <c r="E22" s="2"/>
      <c r="F22" s="3" t="s">
        <v>58</v>
      </c>
      <c r="G22" s="3"/>
      <c r="H22" s="2"/>
      <c r="I22" s="5" t="s">
        <v>84</v>
      </c>
      <c r="J22" s="5">
        <v>1</v>
      </c>
      <c r="K22" s="30"/>
      <c r="L22" s="30"/>
      <c r="M22" s="30"/>
      <c r="N22" s="33"/>
      <c r="O22" s="3"/>
    </row>
    <row r="23" ht="33.75" customHeight="1" spans="1:15">
      <c r="A23" s="24"/>
      <c r="B23" s="3"/>
      <c r="C23" s="3" t="s">
        <v>72</v>
      </c>
      <c r="D23" s="14" t="s">
        <v>66</v>
      </c>
      <c r="E23" s="2"/>
      <c r="F23" s="3"/>
      <c r="G23" s="3"/>
      <c r="H23" s="2"/>
      <c r="I23" s="13"/>
      <c r="J23" s="13"/>
      <c r="K23" s="31"/>
      <c r="L23" s="31"/>
      <c r="M23" s="31"/>
      <c r="N23" s="33"/>
      <c r="O23" s="3"/>
    </row>
    <row r="24" ht="59.25" customHeight="1" spans="1:15">
      <c r="A24" s="25" t="s">
        <v>92</v>
      </c>
      <c r="B24" s="26"/>
      <c r="C24" s="27"/>
      <c r="D24" s="2"/>
      <c r="E24" s="2"/>
      <c r="F24" s="2"/>
      <c r="G24" s="2"/>
      <c r="H24" s="2"/>
      <c r="I24" s="2"/>
      <c r="J24" s="39">
        <f>J22+J20+J18+J16+J12+J8+J5+J2</f>
        <v>8</v>
      </c>
      <c r="K24" s="40">
        <f>K16+K12+K8+K5+K2</f>
        <v>64087.8230088496</v>
      </c>
      <c r="L24" s="40">
        <f t="shared" ref="L24:N24" si="0">L16+L12+L8+L5+L2</f>
        <v>64087.8230088496</v>
      </c>
      <c r="M24" s="40">
        <f t="shared" si="0"/>
        <v>8331.41699115044</v>
      </c>
      <c r="N24" s="40">
        <f t="shared" si="0"/>
        <v>72419.24</v>
      </c>
      <c r="O24" s="2"/>
    </row>
  </sheetData>
  <mergeCells count="78">
    <mergeCell ref="A24:C24"/>
    <mergeCell ref="A2:A7"/>
    <mergeCell ref="A8:A15"/>
    <mergeCell ref="B2:B4"/>
    <mergeCell ref="B5:B7"/>
    <mergeCell ref="B8:B11"/>
    <mergeCell ref="B12:B15"/>
    <mergeCell ref="B16:B23"/>
    <mergeCell ref="C2:C3"/>
    <mergeCell ref="C5:C6"/>
    <mergeCell ref="C8:C10"/>
    <mergeCell ref="C12:C13"/>
    <mergeCell ref="C14:C15"/>
    <mergeCell ref="D2:D3"/>
    <mergeCell ref="D5:D6"/>
    <mergeCell ref="D8:D10"/>
    <mergeCell ref="D12:D13"/>
    <mergeCell ref="D14:D15"/>
    <mergeCell ref="E2:E3"/>
    <mergeCell ref="E5:E6"/>
    <mergeCell ref="E8:E10"/>
    <mergeCell ref="E12:E13"/>
    <mergeCell ref="E14:E15"/>
    <mergeCell ref="F2:F3"/>
    <mergeCell ref="F5:F6"/>
    <mergeCell ref="F8:F10"/>
    <mergeCell ref="F12:F13"/>
    <mergeCell ref="F14:F15"/>
    <mergeCell ref="F16:F17"/>
    <mergeCell ref="F18:F19"/>
    <mergeCell ref="F20:F21"/>
    <mergeCell ref="F22:F23"/>
    <mergeCell ref="H2:H3"/>
    <mergeCell ref="H4:H6"/>
    <mergeCell ref="H8:H10"/>
    <mergeCell ref="H12:H13"/>
    <mergeCell ref="I2:I4"/>
    <mergeCell ref="I5:I7"/>
    <mergeCell ref="I8:I11"/>
    <mergeCell ref="I12:I15"/>
    <mergeCell ref="I16:I17"/>
    <mergeCell ref="I18:I19"/>
    <mergeCell ref="I20:I21"/>
    <mergeCell ref="I22:I23"/>
    <mergeCell ref="J2:J4"/>
    <mergeCell ref="J5:J7"/>
    <mergeCell ref="J8:J11"/>
    <mergeCell ref="J12:J15"/>
    <mergeCell ref="J16:J17"/>
    <mergeCell ref="J18:J19"/>
    <mergeCell ref="J20:J21"/>
    <mergeCell ref="J22:J23"/>
    <mergeCell ref="K2:K4"/>
    <mergeCell ref="K5:K7"/>
    <mergeCell ref="K8:K11"/>
    <mergeCell ref="K12:K15"/>
    <mergeCell ref="K16:K23"/>
    <mergeCell ref="L2:L4"/>
    <mergeCell ref="L5:L7"/>
    <mergeCell ref="L8:L11"/>
    <mergeCell ref="L12:L15"/>
    <mergeCell ref="L16:L23"/>
    <mergeCell ref="M2:M4"/>
    <mergeCell ref="M5:M7"/>
    <mergeCell ref="M8:M11"/>
    <mergeCell ref="M12:M15"/>
    <mergeCell ref="M16:M23"/>
    <mergeCell ref="N2:N4"/>
    <mergeCell ref="N5:N7"/>
    <mergeCell ref="N8:N11"/>
    <mergeCell ref="N12:N15"/>
    <mergeCell ref="N16:N23"/>
    <mergeCell ref="O2:O3"/>
    <mergeCell ref="O4:O6"/>
    <mergeCell ref="O8:O10"/>
    <mergeCell ref="O12:O13"/>
    <mergeCell ref="O14:O15"/>
    <mergeCell ref="O16:O23"/>
  </mergeCells>
  <conditionalFormatting sqref="E11">
    <cfRule type="duplicateValues" dxfId="0" priority="1"/>
  </conditionalFormatting>
  <conditionalFormatting sqref="E12">
    <cfRule type="duplicateValues" dxfId="0" priority="2"/>
  </conditionalFormatting>
  <conditionalFormatting sqref="E16:E1048576 E1:E2 E4:E5 E14 E7:E8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模具费</vt:lpstr>
      <vt:lpstr>分摊后金额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冯敬乾</cp:lastModifiedBy>
  <dcterms:created xsi:type="dcterms:W3CDTF">2022-05-11T08:13:00Z</dcterms:created>
  <cp:lastPrinted>2023-09-01T07:19:00Z</cp:lastPrinted>
  <dcterms:modified xsi:type="dcterms:W3CDTF">2023-09-07T06:46:24Z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D3D89564BF914E04B6714DA53A0441E6</vt:lpwstr>
  </property>
  <property fmtid="{D5CDD505-2E9C-101B-9397-08002B2CF9AE}" pid="3" name="KSOProductBuildVer">
    <vt:lpwstr>2052-11.1.0.13703</vt:lpwstr>
  </property>
</Properties>
</file>