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成都王牌V5J正副司机座椅项目\"/>
    </mc:Choice>
  </mc:AlternateContent>
  <bookViews>
    <workbookView xWindow="0" yWindow="450" windowWidth="18525" windowHeight="6240" tabRatio="89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65" r:id="rId7"/>
    <sheet name="2027年" sheetId="66" r:id="rId8"/>
    <sheet name="2028年" sheetId="64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</sheets>
  <externalReferences>
    <externalReference r:id="rId15"/>
  </externalReferences>
  <definedNames>
    <definedName name="_xlnm.Print_Area" localSheetId="3">'2023年'!$A$1:$L$48</definedName>
    <definedName name="_xlnm.Print_Area" localSheetId="4">'2024年'!$A$1:$L$48</definedName>
    <definedName name="_xlnm.Print_Area" localSheetId="5">'2025年'!$A$1:$L$48</definedName>
    <definedName name="_xlnm.Print_Area" localSheetId="6">'2026年'!$A$1:$L$48</definedName>
    <definedName name="_xlnm.Print_Area" localSheetId="7">'2027年'!$A$1:$L$48</definedName>
    <definedName name="_xlnm.Print_Area" localSheetId="8">'2028年'!$A$1:$L$48</definedName>
    <definedName name="_xlnm.Print_Area" localSheetId="1">损益表!$A$1:$I$62</definedName>
    <definedName name="_xlnm.Print_Area" localSheetId="9">项目投资!$A$1:$C$35</definedName>
  </definedNames>
  <calcPr calcId="162913"/>
</workbook>
</file>

<file path=xl/calcChain.xml><?xml version="1.0" encoding="utf-8"?>
<calcChain xmlns="http://schemas.openxmlformats.org/spreadsheetml/2006/main">
  <c r="D8" i="53" l="1"/>
  <c r="E8" i="53"/>
  <c r="F8" i="53" s="1"/>
  <c r="G8" i="53" s="1"/>
  <c r="H8" i="53" s="1"/>
  <c r="I8" i="53" s="1"/>
  <c r="J8" i="53"/>
  <c r="E110" i="50"/>
  <c r="E111" i="50"/>
  <c r="E112" i="50"/>
  <c r="E113" i="50"/>
  <c r="E114" i="50"/>
  <c r="E115" i="50"/>
  <c r="E116" i="50"/>
  <c r="E117" i="50"/>
  <c r="E97" i="50"/>
  <c r="E98" i="50"/>
  <c r="E99" i="50"/>
  <c r="E100" i="50"/>
  <c r="E101" i="50"/>
  <c r="E102" i="50"/>
  <c r="E103" i="50"/>
  <c r="E104" i="50"/>
  <c r="E84" i="50"/>
  <c r="E85" i="50"/>
  <c r="E86" i="50"/>
  <c r="E87" i="50"/>
  <c r="E88" i="50"/>
  <c r="E89" i="50"/>
  <c r="E90" i="50"/>
  <c r="E91" i="50"/>
  <c r="E71" i="50"/>
  <c r="E72" i="50"/>
  <c r="E73" i="50"/>
  <c r="E74" i="50"/>
  <c r="E75" i="50"/>
  <c r="E76" i="50"/>
  <c r="E77" i="50"/>
  <c r="E78" i="50"/>
  <c r="E58" i="50"/>
  <c r="E59" i="50"/>
  <c r="E60" i="50"/>
  <c r="E61" i="50"/>
  <c r="E62" i="50"/>
  <c r="E63" i="50"/>
  <c r="E64" i="50"/>
  <c r="E65" i="50"/>
  <c r="E45" i="50"/>
  <c r="E46" i="50"/>
  <c r="E47" i="50"/>
  <c r="E48" i="50"/>
  <c r="E49" i="50"/>
  <c r="E50" i="50"/>
  <c r="E51" i="50"/>
  <c r="E52" i="50"/>
  <c r="E32" i="50"/>
  <c r="E33" i="50"/>
  <c r="E34" i="50"/>
  <c r="E35" i="50"/>
  <c r="E36" i="50"/>
  <c r="E37" i="50"/>
  <c r="E38" i="50"/>
  <c r="E39" i="50"/>
  <c r="E18" i="50"/>
  <c r="E19" i="50"/>
  <c r="E20" i="50"/>
  <c r="E21" i="50"/>
  <c r="E22" i="50"/>
  <c r="E23" i="50"/>
  <c r="E24" i="50"/>
  <c r="E25" i="50"/>
  <c r="K15" i="53" l="1"/>
  <c r="L15" i="53"/>
  <c r="L16" i="53" s="1"/>
  <c r="L17" i="53" s="1"/>
  <c r="L18" i="53" s="1"/>
  <c r="L19" i="53" s="1"/>
  <c r="K16" i="53"/>
  <c r="K17" i="53" s="1"/>
  <c r="K18" i="53" s="1"/>
  <c r="K19" i="53" s="1"/>
  <c r="J14" i="53" l="1"/>
  <c r="J15" i="53" s="1"/>
  <c r="J16" i="53" s="1"/>
  <c r="J17" i="53" s="1"/>
  <c r="J18" i="53" s="1"/>
  <c r="J19" i="53" s="1"/>
  <c r="K14" i="53"/>
  <c r="L14" i="53"/>
  <c r="D6" i="53"/>
  <c r="E6" i="53"/>
  <c r="F6" i="53"/>
  <c r="G6" i="53"/>
  <c r="I15" i="55"/>
  <c r="H15" i="55"/>
  <c r="G15" i="55"/>
  <c r="F15" i="55"/>
  <c r="E15" i="55"/>
  <c r="D15" i="55"/>
  <c r="C15" i="55"/>
  <c r="L21" i="64" l="1"/>
  <c r="L18" i="64"/>
  <c r="L21" i="66"/>
  <c r="L18" i="66"/>
  <c r="L21" i="65"/>
  <c r="L18" i="65"/>
  <c r="L21" i="57"/>
  <c r="L18" i="57"/>
  <c r="L21" i="56"/>
  <c r="L18" i="56"/>
  <c r="B5" i="51"/>
  <c r="B8" i="51"/>
  <c r="B26" i="51"/>
  <c r="D26" i="51"/>
  <c r="E26" i="51"/>
  <c r="F26" i="51"/>
  <c r="G26" i="51"/>
  <c r="H26" i="51"/>
  <c r="B9" i="51"/>
  <c r="B27" i="51"/>
  <c r="D27" i="51"/>
  <c r="E27" i="51"/>
  <c r="F27" i="51"/>
  <c r="G27" i="51"/>
  <c r="H27" i="51"/>
  <c r="H28" i="51"/>
  <c r="I27" i="51"/>
  <c r="I26" i="51"/>
  <c r="H61" i="2"/>
  <c r="G61" i="2"/>
  <c r="F61" i="2"/>
  <c r="E61" i="2"/>
  <c r="K18" i="64"/>
  <c r="K17" i="64" s="1"/>
  <c r="E19" i="2"/>
  <c r="F19" i="2"/>
  <c r="G19" i="2"/>
  <c r="H19" i="2"/>
  <c r="D116" i="50"/>
  <c r="D103" i="50"/>
  <c r="J38" i="43" s="1"/>
  <c r="D90" i="50"/>
  <c r="D24" i="50"/>
  <c r="D38" i="43" s="1"/>
  <c r="H11" i="50"/>
  <c r="H10" i="50"/>
  <c r="H6" i="50"/>
  <c r="H4" i="50"/>
  <c r="I38" i="43"/>
  <c r="K38" i="43"/>
  <c r="K13" i="43" s="1"/>
  <c r="K38" i="56"/>
  <c r="K13" i="56" s="1"/>
  <c r="K38" i="57"/>
  <c r="K13" i="57" s="1"/>
  <c r="K38" i="65"/>
  <c r="K13" i="65" s="1"/>
  <c r="K38" i="66"/>
  <c r="K13" i="66" s="1"/>
  <c r="K38" i="64"/>
  <c r="K13" i="64" s="1"/>
  <c r="L21" i="43"/>
  <c r="C19" i="2"/>
  <c r="L18" i="43"/>
  <c r="H16" i="2"/>
  <c r="G16" i="2"/>
  <c r="F16" i="2"/>
  <c r="E16" i="2"/>
  <c r="D6" i="64"/>
  <c r="E6" i="64"/>
  <c r="F6" i="64"/>
  <c r="G6" i="64"/>
  <c r="H6" i="64"/>
  <c r="I6" i="64"/>
  <c r="J6" i="64"/>
  <c r="K6" i="64"/>
  <c r="C6" i="64"/>
  <c r="D6" i="66"/>
  <c r="E6" i="66"/>
  <c r="F6" i="66"/>
  <c r="G6" i="66"/>
  <c r="H6" i="66"/>
  <c r="I6" i="66"/>
  <c r="J6" i="66"/>
  <c r="K6" i="66"/>
  <c r="C6" i="66"/>
  <c r="D6" i="65"/>
  <c r="E6" i="65"/>
  <c r="F6" i="65"/>
  <c r="G6" i="65"/>
  <c r="H6" i="65"/>
  <c r="I6" i="65"/>
  <c r="J6" i="65"/>
  <c r="K6" i="65"/>
  <c r="C6" i="65"/>
  <c r="K10" i="64"/>
  <c r="I33" i="64"/>
  <c r="I10" i="64" s="1"/>
  <c r="J33" i="64"/>
  <c r="J10" i="64" s="1"/>
  <c r="K33" i="64"/>
  <c r="J10" i="66"/>
  <c r="I33" i="66"/>
  <c r="I10" i="66" s="1"/>
  <c r="J33" i="66"/>
  <c r="K33" i="66"/>
  <c r="K34" i="66" s="1"/>
  <c r="I33" i="65"/>
  <c r="I10" i="65" s="1"/>
  <c r="J33" i="65"/>
  <c r="J10" i="65" s="1"/>
  <c r="K33" i="65"/>
  <c r="K10" i="65" s="1"/>
  <c r="I33" i="43"/>
  <c r="I10" i="43" s="1"/>
  <c r="J33" i="43"/>
  <c r="J10" i="43" s="1"/>
  <c r="K33" i="43"/>
  <c r="K34" i="43" s="1"/>
  <c r="I33" i="56"/>
  <c r="J33" i="56"/>
  <c r="J10" i="56" s="1"/>
  <c r="K33" i="56"/>
  <c r="K10" i="56"/>
  <c r="I33" i="57"/>
  <c r="J33" i="57"/>
  <c r="J10" i="57" s="1"/>
  <c r="K33" i="57"/>
  <c r="K10" i="57" s="1"/>
  <c r="K7" i="66"/>
  <c r="K8" i="66"/>
  <c r="K9" i="66"/>
  <c r="K32" i="66"/>
  <c r="K43" i="66"/>
  <c r="K44" i="66"/>
  <c r="K45" i="66"/>
  <c r="J7" i="66"/>
  <c r="J8" i="66"/>
  <c r="J9" i="66"/>
  <c r="J32" i="66"/>
  <c r="J34" i="66"/>
  <c r="J43" i="66"/>
  <c r="J44" i="66"/>
  <c r="J45" i="66"/>
  <c r="I7" i="66"/>
  <c r="I43" i="66"/>
  <c r="I44" i="66"/>
  <c r="I45" i="66"/>
  <c r="H43" i="66"/>
  <c r="H44" i="66"/>
  <c r="H45" i="66"/>
  <c r="G7" i="66"/>
  <c r="G43" i="66"/>
  <c r="G44" i="66"/>
  <c r="G45" i="66"/>
  <c r="F7" i="66"/>
  <c r="F43" i="66"/>
  <c r="F44" i="66"/>
  <c r="F45" i="66"/>
  <c r="E7" i="66"/>
  <c r="E8" i="66" s="1"/>
  <c r="E9" i="66"/>
  <c r="E43" i="66"/>
  <c r="E44" i="66"/>
  <c r="E45" i="66"/>
  <c r="D7" i="66"/>
  <c r="D8" i="66" s="1"/>
  <c r="D9" i="66"/>
  <c r="D32" i="66"/>
  <c r="D43" i="66"/>
  <c r="D44" i="66"/>
  <c r="D45" i="66"/>
  <c r="C43" i="66"/>
  <c r="C44" i="66"/>
  <c r="C45" i="66"/>
  <c r="K31" i="66"/>
  <c r="J31" i="66"/>
  <c r="I31" i="66"/>
  <c r="H31" i="66"/>
  <c r="G31" i="66"/>
  <c r="F31" i="66"/>
  <c r="E31" i="66"/>
  <c r="D31" i="66"/>
  <c r="C31" i="66"/>
  <c r="D20" i="66"/>
  <c r="E20" i="66"/>
  <c r="G20" i="66"/>
  <c r="H20" i="66"/>
  <c r="J20" i="66"/>
  <c r="K20" i="66"/>
  <c r="D19" i="66"/>
  <c r="E19" i="66"/>
  <c r="G19" i="66"/>
  <c r="H19" i="66"/>
  <c r="J19" i="66"/>
  <c r="K19" i="66"/>
  <c r="K4" i="66"/>
  <c r="J4" i="66"/>
  <c r="I4" i="66"/>
  <c r="H4" i="66"/>
  <c r="G4" i="66"/>
  <c r="F4" i="66"/>
  <c r="E4" i="66"/>
  <c r="D4" i="66"/>
  <c r="C4" i="66"/>
  <c r="K3" i="66"/>
  <c r="J3" i="66"/>
  <c r="I3" i="66"/>
  <c r="H3" i="66"/>
  <c r="G3" i="66"/>
  <c r="F3" i="66"/>
  <c r="E3" i="66"/>
  <c r="D3" i="66"/>
  <c r="C3" i="66"/>
  <c r="C2" i="66"/>
  <c r="K7" i="65"/>
  <c r="K8" i="65"/>
  <c r="K9" i="65"/>
  <c r="K32" i="65"/>
  <c r="K34" i="65"/>
  <c r="K43" i="65"/>
  <c r="K44" i="65"/>
  <c r="K45" i="65"/>
  <c r="L6" i="65"/>
  <c r="J7" i="65"/>
  <c r="J8" i="65"/>
  <c r="J9" i="65"/>
  <c r="J32" i="65"/>
  <c r="J43" i="65"/>
  <c r="J44" i="65"/>
  <c r="J45" i="65"/>
  <c r="I7" i="65"/>
  <c r="I8" i="65" s="1"/>
  <c r="I9" i="65"/>
  <c r="I43" i="65"/>
  <c r="I44" i="65"/>
  <c r="I45" i="65"/>
  <c r="H7" i="65"/>
  <c r="H8" i="65" s="1"/>
  <c r="H9" i="65"/>
  <c r="H32" i="65"/>
  <c r="H43" i="65"/>
  <c r="H44" i="65"/>
  <c r="H45" i="65"/>
  <c r="G7" i="65"/>
  <c r="G43" i="65"/>
  <c r="G44" i="65"/>
  <c r="G45" i="65"/>
  <c r="G47" i="65"/>
  <c r="G22" i="65" s="1"/>
  <c r="F43" i="65"/>
  <c r="F44" i="65"/>
  <c r="F45" i="65"/>
  <c r="E43" i="65"/>
  <c r="E44" i="65"/>
  <c r="E45" i="65"/>
  <c r="D7" i="65"/>
  <c r="D8" i="65"/>
  <c r="D9" i="65"/>
  <c r="D36" i="65"/>
  <c r="D11" i="65" s="1"/>
  <c r="D43" i="65"/>
  <c r="D44" i="65"/>
  <c r="D45" i="65"/>
  <c r="C43" i="65"/>
  <c r="C44" i="65"/>
  <c r="C45" i="65"/>
  <c r="K31" i="65"/>
  <c r="J31" i="65"/>
  <c r="I31" i="65"/>
  <c r="H31" i="65"/>
  <c r="G31" i="65"/>
  <c r="F31" i="65"/>
  <c r="E31" i="65"/>
  <c r="D31" i="65"/>
  <c r="C31" i="65"/>
  <c r="C20" i="65"/>
  <c r="D20" i="65"/>
  <c r="F20" i="65"/>
  <c r="G20" i="65"/>
  <c r="J20" i="65"/>
  <c r="K20" i="65"/>
  <c r="D19" i="65"/>
  <c r="F19" i="65"/>
  <c r="G19" i="65"/>
  <c r="I19" i="65"/>
  <c r="J19" i="65"/>
  <c r="K19" i="65"/>
  <c r="K4" i="65"/>
  <c r="J4" i="65"/>
  <c r="I4" i="65"/>
  <c r="H4" i="65"/>
  <c r="G4" i="65"/>
  <c r="F4" i="65"/>
  <c r="E4" i="65"/>
  <c r="D4" i="65"/>
  <c r="C4" i="65"/>
  <c r="K3" i="65"/>
  <c r="J3" i="65"/>
  <c r="I3" i="65"/>
  <c r="H3" i="65"/>
  <c r="G3" i="65"/>
  <c r="F3" i="65"/>
  <c r="E3" i="65"/>
  <c r="D3" i="65"/>
  <c r="C3" i="65"/>
  <c r="C2" i="65"/>
  <c r="K7" i="64"/>
  <c r="K8" i="64"/>
  <c r="K9" i="64"/>
  <c r="K32" i="64"/>
  <c r="K34" i="64"/>
  <c r="K43" i="64"/>
  <c r="K44" i="64"/>
  <c r="K45" i="64"/>
  <c r="L6" i="64"/>
  <c r="J7" i="64"/>
  <c r="J8" i="64"/>
  <c r="J9" i="64"/>
  <c r="J32" i="64"/>
  <c r="J34" i="64"/>
  <c r="J43" i="64"/>
  <c r="J44" i="64"/>
  <c r="J45" i="64"/>
  <c r="I43" i="64"/>
  <c r="I44" i="64"/>
  <c r="I45" i="64"/>
  <c r="H43" i="64"/>
  <c r="H44" i="64"/>
  <c r="H45" i="64"/>
  <c r="G7" i="64"/>
  <c r="G8" i="64"/>
  <c r="G9" i="64" s="1"/>
  <c r="G32" i="64" s="1"/>
  <c r="G43" i="64"/>
  <c r="G44" i="64"/>
  <c r="G45" i="64"/>
  <c r="G21" i="64"/>
  <c r="G46" i="64" s="1"/>
  <c r="F7" i="64"/>
  <c r="F8" i="64"/>
  <c r="F43" i="64"/>
  <c r="F44" i="64"/>
  <c r="F45" i="64"/>
  <c r="F21" i="64"/>
  <c r="F46" i="64"/>
  <c r="E7" i="64"/>
  <c r="E8" i="64"/>
  <c r="E43" i="64"/>
  <c r="E44" i="64"/>
  <c r="E45" i="64"/>
  <c r="D7" i="64"/>
  <c r="D43" i="64"/>
  <c r="D44" i="64"/>
  <c r="D45" i="64"/>
  <c r="D21" i="64"/>
  <c r="D46" i="64" s="1"/>
  <c r="C7" i="64"/>
  <c r="C8" i="64"/>
  <c r="C43" i="64"/>
  <c r="C44" i="64"/>
  <c r="C45" i="64"/>
  <c r="C21" i="64"/>
  <c r="C46" i="64"/>
  <c r="K31" i="64"/>
  <c r="J31" i="64"/>
  <c r="I31" i="64"/>
  <c r="H31" i="64"/>
  <c r="G31" i="64"/>
  <c r="F31" i="64"/>
  <c r="E31" i="64"/>
  <c r="D31" i="64"/>
  <c r="C31" i="64"/>
  <c r="D20" i="64"/>
  <c r="E20" i="64"/>
  <c r="G20" i="64"/>
  <c r="H20" i="64"/>
  <c r="J20" i="64"/>
  <c r="K20" i="64"/>
  <c r="D19" i="64"/>
  <c r="E19" i="64"/>
  <c r="G19" i="64"/>
  <c r="H19" i="64"/>
  <c r="J19" i="64"/>
  <c r="K19" i="64"/>
  <c r="K4" i="64"/>
  <c r="J4" i="64"/>
  <c r="I4" i="64"/>
  <c r="H4" i="64"/>
  <c r="G4" i="64"/>
  <c r="F4" i="64"/>
  <c r="E4" i="64"/>
  <c r="D4" i="64"/>
  <c r="C4" i="64"/>
  <c r="K3" i="64"/>
  <c r="J3" i="64"/>
  <c r="I3" i="64"/>
  <c r="H3" i="64"/>
  <c r="G3" i="64"/>
  <c r="F3" i="64"/>
  <c r="E3" i="64"/>
  <c r="D3" i="64"/>
  <c r="C3" i="64"/>
  <c r="C2" i="64"/>
  <c r="D14" i="53"/>
  <c r="C17" i="55" s="1"/>
  <c r="C18" i="55" s="1"/>
  <c r="E14" i="53"/>
  <c r="D33" i="43" s="1"/>
  <c r="F14" i="53"/>
  <c r="E33" i="43" s="1"/>
  <c r="E34" i="43" s="1"/>
  <c r="G14" i="53"/>
  <c r="F17" i="55" s="1"/>
  <c r="L8" i="55"/>
  <c r="I17" i="55"/>
  <c r="I18" i="55" s="1"/>
  <c r="I19" i="55" s="1"/>
  <c r="J17" i="55"/>
  <c r="J18" i="55" s="1"/>
  <c r="J19" i="55" s="1"/>
  <c r="K17" i="55"/>
  <c r="K18" i="55" s="1"/>
  <c r="K19" i="55" s="1"/>
  <c r="N7" i="55"/>
  <c r="N8" i="55"/>
  <c r="N9" i="55"/>
  <c r="N10" i="55"/>
  <c r="N11" i="55"/>
  <c r="O11" i="55"/>
  <c r="H3" i="50"/>
  <c r="C43" i="43"/>
  <c r="D43" i="43"/>
  <c r="E43" i="43"/>
  <c r="F43" i="43"/>
  <c r="G43" i="43"/>
  <c r="H43" i="43"/>
  <c r="I43" i="43"/>
  <c r="J43" i="43"/>
  <c r="K43" i="43"/>
  <c r="C44" i="43"/>
  <c r="D44" i="43"/>
  <c r="E44" i="43"/>
  <c r="F44" i="43"/>
  <c r="G44" i="43"/>
  <c r="H44" i="43"/>
  <c r="I44" i="43"/>
  <c r="J44" i="43"/>
  <c r="K44" i="43"/>
  <c r="E4" i="53"/>
  <c r="F4" i="53"/>
  <c r="G4" i="53"/>
  <c r="H4" i="53"/>
  <c r="I4" i="53"/>
  <c r="J4" i="53"/>
  <c r="K4" i="53"/>
  <c r="L4" i="53"/>
  <c r="H6" i="53"/>
  <c r="I6" i="53"/>
  <c r="J6" i="53"/>
  <c r="K6" i="53"/>
  <c r="L6" i="53"/>
  <c r="D4" i="53"/>
  <c r="D43" i="57"/>
  <c r="E43" i="57"/>
  <c r="F43" i="57"/>
  <c r="G43" i="57"/>
  <c r="H43" i="57"/>
  <c r="I43" i="57"/>
  <c r="J43" i="57"/>
  <c r="K43" i="57"/>
  <c r="D44" i="57"/>
  <c r="E44" i="57"/>
  <c r="F44" i="57"/>
  <c r="G44" i="57"/>
  <c r="H44" i="57"/>
  <c r="I44" i="57"/>
  <c r="J44" i="57"/>
  <c r="K44" i="57"/>
  <c r="D43" i="56"/>
  <c r="E43" i="56"/>
  <c r="F43" i="56"/>
  <c r="G43" i="56"/>
  <c r="H43" i="56"/>
  <c r="I43" i="56"/>
  <c r="J43" i="56"/>
  <c r="K43" i="56"/>
  <c r="D44" i="56"/>
  <c r="E44" i="56"/>
  <c r="F44" i="56"/>
  <c r="G44" i="56"/>
  <c r="H44" i="56"/>
  <c r="I44" i="56"/>
  <c r="J44" i="56"/>
  <c r="K44" i="56"/>
  <c r="H109" i="50"/>
  <c r="K45" i="43"/>
  <c r="H96" i="50"/>
  <c r="J45" i="43"/>
  <c r="H83" i="50"/>
  <c r="I45" i="43"/>
  <c r="H70" i="50"/>
  <c r="H57" i="50"/>
  <c r="H44" i="50"/>
  <c r="G114" i="50"/>
  <c r="G113" i="50"/>
  <c r="G101" i="50"/>
  <c r="G100" i="50"/>
  <c r="G88" i="50"/>
  <c r="G87" i="50"/>
  <c r="D117" i="50"/>
  <c r="K47" i="43" s="1"/>
  <c r="D112" i="50"/>
  <c r="K37" i="43" s="1"/>
  <c r="J45" i="56"/>
  <c r="J45" i="57"/>
  <c r="I45" i="56"/>
  <c r="I45" i="57"/>
  <c r="D87" i="50"/>
  <c r="D97" i="50"/>
  <c r="J36" i="43" s="1"/>
  <c r="D100" i="50"/>
  <c r="D91" i="50"/>
  <c r="I47" i="43"/>
  <c r="I47" i="66" s="1"/>
  <c r="I22" i="66" s="1"/>
  <c r="I47" i="57"/>
  <c r="D104" i="50"/>
  <c r="J47" i="43" s="1"/>
  <c r="D99" i="50"/>
  <c r="J37" i="43" s="1"/>
  <c r="D84" i="50"/>
  <c r="I36" i="43" s="1"/>
  <c r="D86" i="50"/>
  <c r="I37" i="43"/>
  <c r="I37" i="64" s="1"/>
  <c r="I12" i="64" s="1"/>
  <c r="K45" i="56"/>
  <c r="K45" i="57"/>
  <c r="D110" i="50"/>
  <c r="K36" i="43"/>
  <c r="K36" i="66" s="1"/>
  <c r="K11" i="66" s="1"/>
  <c r="D113" i="50"/>
  <c r="E31" i="57"/>
  <c r="F31" i="57"/>
  <c r="G31" i="57"/>
  <c r="H31" i="57"/>
  <c r="I31" i="57"/>
  <c r="J31" i="57"/>
  <c r="K31" i="57"/>
  <c r="I6" i="57"/>
  <c r="I20" i="57"/>
  <c r="K6" i="57"/>
  <c r="F6" i="57"/>
  <c r="I7" i="57"/>
  <c r="E6" i="57"/>
  <c r="G6" i="57"/>
  <c r="G7" i="57"/>
  <c r="H6" i="57"/>
  <c r="H7" i="57"/>
  <c r="H9" i="57" s="1"/>
  <c r="I19" i="57"/>
  <c r="J6" i="57"/>
  <c r="E3" i="57"/>
  <c r="F3" i="57"/>
  <c r="G3" i="57"/>
  <c r="H3" i="57"/>
  <c r="I3" i="57"/>
  <c r="J3" i="57"/>
  <c r="K3" i="57"/>
  <c r="E4" i="57"/>
  <c r="F4" i="57"/>
  <c r="G4" i="57"/>
  <c r="H4" i="57"/>
  <c r="I4" i="57"/>
  <c r="J4" i="57"/>
  <c r="K4" i="57"/>
  <c r="E31" i="56"/>
  <c r="F31" i="56"/>
  <c r="G31" i="56"/>
  <c r="H31" i="56"/>
  <c r="I31" i="56"/>
  <c r="J31" i="56"/>
  <c r="K31" i="56"/>
  <c r="I6" i="56"/>
  <c r="F6" i="56"/>
  <c r="E3" i="56"/>
  <c r="F3" i="56"/>
  <c r="G3" i="56"/>
  <c r="H3" i="56"/>
  <c r="I3" i="56"/>
  <c r="J3" i="56"/>
  <c r="K3" i="56"/>
  <c r="E4" i="56"/>
  <c r="F4" i="56"/>
  <c r="G4" i="56"/>
  <c r="H4" i="56"/>
  <c r="I4" i="56"/>
  <c r="J4" i="56"/>
  <c r="K4" i="56"/>
  <c r="E6" i="56"/>
  <c r="G6" i="56"/>
  <c r="H6" i="56"/>
  <c r="H7" i="56"/>
  <c r="J6" i="56"/>
  <c r="J7" i="56"/>
  <c r="K6" i="56"/>
  <c r="F31" i="43"/>
  <c r="F32" i="43" s="1"/>
  <c r="G31" i="43"/>
  <c r="G32" i="43"/>
  <c r="H31" i="43"/>
  <c r="H32" i="43"/>
  <c r="I31" i="43"/>
  <c r="I32" i="43" s="1"/>
  <c r="J31" i="43"/>
  <c r="J32" i="43"/>
  <c r="K31" i="43"/>
  <c r="K32" i="43"/>
  <c r="L8" i="43"/>
  <c r="D6" i="43"/>
  <c r="E6" i="43"/>
  <c r="E19" i="43" s="1"/>
  <c r="F6" i="43"/>
  <c r="G6" i="43"/>
  <c r="H6" i="43"/>
  <c r="H7" i="43"/>
  <c r="H9" i="43" s="1"/>
  <c r="I6" i="43"/>
  <c r="J6" i="43"/>
  <c r="K6" i="43"/>
  <c r="D4" i="43"/>
  <c r="E4" i="43"/>
  <c r="F4" i="43"/>
  <c r="G4" i="43"/>
  <c r="H4" i="43"/>
  <c r="I4" i="43"/>
  <c r="J4" i="43"/>
  <c r="K4" i="43"/>
  <c r="F3" i="43"/>
  <c r="G3" i="43"/>
  <c r="H3" i="43"/>
  <c r="I3" i="43"/>
  <c r="J3" i="43"/>
  <c r="K3" i="43"/>
  <c r="J15" i="55"/>
  <c r="K15" i="55"/>
  <c r="J7" i="43"/>
  <c r="J9" i="43"/>
  <c r="J20" i="43"/>
  <c r="J19" i="43"/>
  <c r="K7" i="56"/>
  <c r="J20" i="56"/>
  <c r="J19" i="56"/>
  <c r="J7" i="57"/>
  <c r="J20" i="57"/>
  <c r="J19" i="57"/>
  <c r="I7" i="43"/>
  <c r="I9" i="43" s="1"/>
  <c r="I12" i="43"/>
  <c r="I11" i="43"/>
  <c r="I22" i="43"/>
  <c r="I19" i="43"/>
  <c r="K20" i="57"/>
  <c r="K7" i="43"/>
  <c r="K9" i="43"/>
  <c r="K11" i="43"/>
  <c r="K20" i="43"/>
  <c r="K19" i="43"/>
  <c r="K20" i="56"/>
  <c r="K19" i="56"/>
  <c r="K7" i="57"/>
  <c r="K19" i="57"/>
  <c r="J34" i="43"/>
  <c r="I36" i="56"/>
  <c r="I37" i="56"/>
  <c r="K36" i="56"/>
  <c r="K11" i="56"/>
  <c r="K36" i="57"/>
  <c r="K11" i="57" s="1"/>
  <c r="E7" i="50"/>
  <c r="H14" i="53"/>
  <c r="I14" i="53"/>
  <c r="G75" i="50"/>
  <c r="G74" i="50"/>
  <c r="G62" i="50"/>
  <c r="G61" i="50"/>
  <c r="G49" i="50"/>
  <c r="G48" i="50"/>
  <c r="H31" i="50"/>
  <c r="D38" i="50" s="1"/>
  <c r="E38" i="43" s="1"/>
  <c r="G36" i="50"/>
  <c r="G35" i="50"/>
  <c r="H17" i="50"/>
  <c r="G22" i="50"/>
  <c r="G21" i="50"/>
  <c r="D3" i="57"/>
  <c r="D4" i="57"/>
  <c r="D6" i="57"/>
  <c r="D7" i="57"/>
  <c r="D31" i="57"/>
  <c r="D31" i="56"/>
  <c r="D3" i="56"/>
  <c r="D4" i="56"/>
  <c r="D6" i="56"/>
  <c r="E7" i="56"/>
  <c r="D73" i="50"/>
  <c r="H37" i="43" s="1"/>
  <c r="H45" i="43"/>
  <c r="D74" i="50"/>
  <c r="F45" i="43"/>
  <c r="D34" i="50"/>
  <c r="E37" i="43" s="1"/>
  <c r="E37" i="65" s="1"/>
  <c r="E12" i="65" s="1"/>
  <c r="D35" i="50"/>
  <c r="D32" i="50"/>
  <c r="E36" i="43" s="1"/>
  <c r="E45" i="43"/>
  <c r="D39" i="50"/>
  <c r="E47" i="43" s="1"/>
  <c r="D64" i="50"/>
  <c r="G38" i="43" s="1"/>
  <c r="D60" i="50"/>
  <c r="G37" i="43" s="1"/>
  <c r="G37" i="57" s="1"/>
  <c r="D65" i="50"/>
  <c r="G47" i="43" s="1"/>
  <c r="G47" i="64" s="1"/>
  <c r="G22" i="64" s="1"/>
  <c r="D61" i="50"/>
  <c r="D58" i="50"/>
  <c r="G36" i="43" s="1"/>
  <c r="G36" i="64" s="1"/>
  <c r="G11" i="64" s="1"/>
  <c r="G45" i="43"/>
  <c r="D4" i="50"/>
  <c r="C36" i="43" s="1"/>
  <c r="C45" i="43"/>
  <c r="D45" i="43"/>
  <c r="D18" i="50"/>
  <c r="D36" i="43" s="1"/>
  <c r="F19" i="57"/>
  <c r="H19" i="57"/>
  <c r="D19" i="57"/>
  <c r="D7" i="56"/>
  <c r="D8" i="56" s="1"/>
  <c r="E19" i="56"/>
  <c r="D19" i="56"/>
  <c r="H19" i="56"/>
  <c r="F45" i="57"/>
  <c r="F45" i="56"/>
  <c r="G36" i="57"/>
  <c r="H45" i="57"/>
  <c r="H45" i="56"/>
  <c r="G45" i="56"/>
  <c r="G45" i="57"/>
  <c r="E45" i="56"/>
  <c r="E45" i="57"/>
  <c r="D45" i="56"/>
  <c r="D45" i="57"/>
  <c r="D36" i="57"/>
  <c r="D11" i="57" s="1"/>
  <c r="G47" i="56"/>
  <c r="G47" i="57"/>
  <c r="G22" i="57" s="1"/>
  <c r="E47" i="56"/>
  <c r="E22" i="56" s="1"/>
  <c r="C44" i="56"/>
  <c r="C44" i="57"/>
  <c r="C45" i="56"/>
  <c r="C45" i="57"/>
  <c r="C43" i="56"/>
  <c r="C43" i="57"/>
  <c r="D31" i="43"/>
  <c r="D32" i="43"/>
  <c r="E31" i="43"/>
  <c r="E32" i="43" s="1"/>
  <c r="E3" i="43"/>
  <c r="D3" i="43"/>
  <c r="L10" i="55"/>
  <c r="L11" i="55"/>
  <c r="L12" i="55"/>
  <c r="L15" i="55" s="1"/>
  <c r="L13" i="55"/>
  <c r="L14" i="55"/>
  <c r="G11" i="43"/>
  <c r="E12" i="43"/>
  <c r="E7" i="43"/>
  <c r="E9" i="43" s="1"/>
  <c r="G22" i="43"/>
  <c r="F19" i="43"/>
  <c r="D19" i="43"/>
  <c r="D11" i="43"/>
  <c r="D20" i="43"/>
  <c r="F20" i="43"/>
  <c r="G20" i="43"/>
  <c r="H20" i="43"/>
  <c r="D7" i="43"/>
  <c r="D9" i="43" s="1"/>
  <c r="H19" i="43"/>
  <c r="E20" i="43"/>
  <c r="C2" i="57"/>
  <c r="C2" i="56"/>
  <c r="G7" i="50"/>
  <c r="C4" i="57"/>
  <c r="C3" i="57"/>
  <c r="C3" i="56"/>
  <c r="C4" i="56"/>
  <c r="C3" i="43"/>
  <c r="C4" i="43"/>
  <c r="O8" i="55"/>
  <c r="O7" i="55"/>
  <c r="C6" i="57"/>
  <c r="L6" i="57"/>
  <c r="C31" i="57"/>
  <c r="C6" i="56"/>
  <c r="L6" i="56"/>
  <c r="C31" i="56"/>
  <c r="J8" i="56"/>
  <c r="J9" i="56"/>
  <c r="K8" i="56"/>
  <c r="K9" i="56"/>
  <c r="K8" i="57"/>
  <c r="K9" i="57"/>
  <c r="J8" i="57"/>
  <c r="J9" i="57"/>
  <c r="E8" i="56"/>
  <c r="E9" i="56"/>
  <c r="D9" i="56"/>
  <c r="D8" i="57"/>
  <c r="D9" i="57"/>
  <c r="H8" i="57"/>
  <c r="D4" i="2"/>
  <c r="C7" i="57"/>
  <c r="O9" i="55"/>
  <c r="O10" i="55"/>
  <c r="K32" i="56"/>
  <c r="K34" i="56"/>
  <c r="J32" i="57"/>
  <c r="J34" i="57"/>
  <c r="J32" i="56"/>
  <c r="J34" i="56"/>
  <c r="K32" i="57"/>
  <c r="K34" i="57"/>
  <c r="D32" i="56"/>
  <c r="C8" i="57"/>
  <c r="C19" i="57"/>
  <c r="C19" i="56"/>
  <c r="G20" i="57"/>
  <c r="F20" i="56"/>
  <c r="E20" i="56"/>
  <c r="D20" i="56"/>
  <c r="H20" i="57"/>
  <c r="H20" i="56"/>
  <c r="D20" i="57"/>
  <c r="F20" i="57"/>
  <c r="E20" i="57"/>
  <c r="L20" i="57" s="1"/>
  <c r="E18" i="2" s="1"/>
  <c r="C20" i="56"/>
  <c r="C20" i="57"/>
  <c r="G8" i="50"/>
  <c r="H7" i="50"/>
  <c r="L9" i="55"/>
  <c r="G22" i="51"/>
  <c r="B7" i="51"/>
  <c r="C31" i="43"/>
  <c r="C32" i="43" s="1"/>
  <c r="C6" i="43"/>
  <c r="L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M14" i="36" s="1"/>
  <c r="C14" i="36"/>
  <c r="L13" i="36"/>
  <c r="K13" i="36"/>
  <c r="J13" i="36"/>
  <c r="I13" i="36"/>
  <c r="H13" i="36"/>
  <c r="H10" i="36" s="1"/>
  <c r="G13" i="36"/>
  <c r="F13" i="36"/>
  <c r="E13" i="36"/>
  <c r="D13" i="36"/>
  <c r="C13" i="36"/>
  <c r="L12" i="36"/>
  <c r="L10" i="36" s="1"/>
  <c r="K12" i="36"/>
  <c r="J12" i="36"/>
  <c r="I12" i="36"/>
  <c r="I10" i="36" s="1"/>
  <c r="I17" i="36" s="1"/>
  <c r="I19" i="36" s="1"/>
  <c r="H12" i="36"/>
  <c r="G12" i="36"/>
  <c r="F12" i="36"/>
  <c r="F10" i="36" s="1"/>
  <c r="E12" i="36"/>
  <c r="D12" i="36"/>
  <c r="C12" i="36"/>
  <c r="C10" i="36" s="1"/>
  <c r="L11" i="36"/>
  <c r="K11" i="36"/>
  <c r="K10" i="36" s="1"/>
  <c r="K17" i="36" s="1"/>
  <c r="K19" i="36" s="1"/>
  <c r="J11" i="36"/>
  <c r="J10" i="36" s="1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E6" i="36"/>
  <c r="E5" i="36"/>
  <c r="K5" i="36"/>
  <c r="J5" i="36"/>
  <c r="J17" i="36" s="1"/>
  <c r="J19" i="36" s="1"/>
  <c r="D5" i="36"/>
  <c r="C5" i="36"/>
  <c r="D4" i="36"/>
  <c r="E4" i="36"/>
  <c r="F4" i="36"/>
  <c r="G4" i="36"/>
  <c r="H4" i="36"/>
  <c r="I4" i="36"/>
  <c r="J4" i="36"/>
  <c r="K4" i="36"/>
  <c r="L4" i="36"/>
  <c r="C6" i="2"/>
  <c r="C57" i="2"/>
  <c r="E10" i="36"/>
  <c r="E17" i="36" s="1"/>
  <c r="E19" i="36" s="1"/>
  <c r="C19" i="43"/>
  <c r="C7" i="43"/>
  <c r="M6" i="36"/>
  <c r="G10" i="36"/>
  <c r="M15" i="36"/>
  <c r="B10" i="51"/>
  <c r="M7" i="36"/>
  <c r="D10" i="36"/>
  <c r="D17" i="36" s="1"/>
  <c r="D19" i="36" s="1"/>
  <c r="M5" i="36"/>
  <c r="M11" i="36"/>
  <c r="M13" i="36"/>
  <c r="K26" i="51"/>
  <c r="C58" i="2"/>
  <c r="C56" i="2"/>
  <c r="D61" i="2"/>
  <c r="J21" i="43"/>
  <c r="D28" i="51"/>
  <c r="F28" i="51"/>
  <c r="H21" i="43"/>
  <c r="H46" i="43" s="1"/>
  <c r="E21" i="43"/>
  <c r="E46" i="43" s="1"/>
  <c r="E21" i="57"/>
  <c r="E46" i="57" s="1"/>
  <c r="D19" i="2"/>
  <c r="J27" i="51"/>
  <c r="C61" i="2"/>
  <c r="E28" i="51"/>
  <c r="I19" i="2"/>
  <c r="G28" i="51"/>
  <c r="I28" i="51"/>
  <c r="J26" i="51"/>
  <c r="I61" i="2"/>
  <c r="I34" i="43" l="1"/>
  <c r="E15" i="53"/>
  <c r="D33" i="56" s="1"/>
  <c r="D10" i="56" s="1"/>
  <c r="D34" i="43"/>
  <c r="C33" i="43"/>
  <c r="C10" i="43" s="1"/>
  <c r="C34" i="43"/>
  <c r="F15" i="53"/>
  <c r="E17" i="55"/>
  <c r="E18" i="55" s="1"/>
  <c r="E19" i="55" s="1"/>
  <c r="D34" i="56"/>
  <c r="G33" i="43"/>
  <c r="H15" i="53"/>
  <c r="H33" i="43"/>
  <c r="H10" i="43" s="1"/>
  <c r="I15" i="53"/>
  <c r="D15" i="53"/>
  <c r="D17" i="55"/>
  <c r="D18" i="55" s="1"/>
  <c r="D19" i="55" s="1"/>
  <c r="I40" i="43"/>
  <c r="H12" i="50"/>
  <c r="K47" i="64"/>
  <c r="K22" i="64" s="1"/>
  <c r="K47" i="56"/>
  <c r="K22" i="56" s="1"/>
  <c r="K47" i="65"/>
  <c r="K22" i="65" s="1"/>
  <c r="K47" i="66"/>
  <c r="K22" i="66" s="1"/>
  <c r="K47" i="57"/>
  <c r="K22" i="57" s="1"/>
  <c r="K22" i="43"/>
  <c r="K12" i="43"/>
  <c r="K14" i="43" s="1"/>
  <c r="K37" i="66"/>
  <c r="K12" i="66" s="1"/>
  <c r="K14" i="66" s="1"/>
  <c r="K37" i="64"/>
  <c r="K12" i="64" s="1"/>
  <c r="K37" i="57"/>
  <c r="K12" i="57" s="1"/>
  <c r="K14" i="57" s="1"/>
  <c r="K15" i="57" s="1"/>
  <c r="K16" i="57" s="1"/>
  <c r="K37" i="65"/>
  <c r="K12" i="65" s="1"/>
  <c r="K37" i="56"/>
  <c r="K40" i="66"/>
  <c r="K40" i="57"/>
  <c r="K36" i="65"/>
  <c r="K40" i="43"/>
  <c r="K36" i="64"/>
  <c r="J38" i="56"/>
  <c r="J13" i="56" s="1"/>
  <c r="J38" i="57"/>
  <c r="J13" i="57" s="1"/>
  <c r="J38" i="65"/>
  <c r="J13" i="65" s="1"/>
  <c r="J38" i="66"/>
  <c r="J13" i="66" s="1"/>
  <c r="J38" i="64"/>
  <c r="J13" i="64" s="1"/>
  <c r="J13" i="43"/>
  <c r="J37" i="66"/>
  <c r="J12" i="66" s="1"/>
  <c r="J37" i="65"/>
  <c r="J12" i="65" s="1"/>
  <c r="J37" i="64"/>
  <c r="J12" i="64" s="1"/>
  <c r="J37" i="57"/>
  <c r="J12" i="57" s="1"/>
  <c r="J12" i="43"/>
  <c r="J37" i="56"/>
  <c r="J12" i="56" s="1"/>
  <c r="J11" i="43"/>
  <c r="J14" i="43" s="1"/>
  <c r="J36" i="57"/>
  <c r="J11" i="57" s="1"/>
  <c r="J14" i="57" s="1"/>
  <c r="J36" i="56"/>
  <c r="J11" i="56" s="1"/>
  <c r="J36" i="66"/>
  <c r="J36" i="65"/>
  <c r="J11" i="65" s="1"/>
  <c r="J36" i="64"/>
  <c r="J47" i="65"/>
  <c r="J22" i="65" s="1"/>
  <c r="J22" i="43"/>
  <c r="J47" i="66"/>
  <c r="J22" i="66" s="1"/>
  <c r="J47" i="64"/>
  <c r="J22" i="64" s="1"/>
  <c r="J47" i="57"/>
  <c r="J22" i="57" s="1"/>
  <c r="J47" i="56"/>
  <c r="J22" i="56" s="1"/>
  <c r="J15" i="57"/>
  <c r="J16" i="57" s="1"/>
  <c r="J40" i="57"/>
  <c r="J40" i="43"/>
  <c r="J15" i="43"/>
  <c r="J16" i="43" s="1"/>
  <c r="I47" i="64"/>
  <c r="I22" i="64" s="1"/>
  <c r="I37" i="65"/>
  <c r="I37" i="66"/>
  <c r="G47" i="66"/>
  <c r="G22" i="66" s="1"/>
  <c r="E38" i="57"/>
  <c r="E13" i="57" s="1"/>
  <c r="E13" i="43"/>
  <c r="E38" i="66"/>
  <c r="E38" i="64"/>
  <c r="E13" i="64" s="1"/>
  <c r="E40" i="43"/>
  <c r="E48" i="43" s="1"/>
  <c r="E37" i="56"/>
  <c r="E12" i="56" s="1"/>
  <c r="E37" i="64"/>
  <c r="E37" i="57"/>
  <c r="E12" i="57" s="1"/>
  <c r="J34" i="65"/>
  <c r="K10" i="66"/>
  <c r="K10" i="43"/>
  <c r="G34" i="43"/>
  <c r="H17" i="55"/>
  <c r="H18" i="55" s="1"/>
  <c r="H19" i="55" s="1"/>
  <c r="H34" i="43"/>
  <c r="G17" i="55"/>
  <c r="G18" i="55" s="1"/>
  <c r="G19" i="55" s="1"/>
  <c r="F18" i="55"/>
  <c r="F19" i="55" s="1"/>
  <c r="G15" i="53"/>
  <c r="F33" i="43"/>
  <c r="F34" i="43" s="1"/>
  <c r="J23" i="43"/>
  <c r="L19" i="43"/>
  <c r="C17" i="2" s="1"/>
  <c r="C18" i="56"/>
  <c r="F18" i="56"/>
  <c r="F17" i="56" s="1"/>
  <c r="E18" i="56"/>
  <c r="G18" i="56"/>
  <c r="G17" i="56" s="1"/>
  <c r="H18" i="56"/>
  <c r="H17" i="56" s="1"/>
  <c r="K18" i="56"/>
  <c r="K17" i="56" s="1"/>
  <c r="K21" i="56"/>
  <c r="G21" i="56"/>
  <c r="G46" i="56" s="1"/>
  <c r="D21" i="56"/>
  <c r="D46" i="56" s="1"/>
  <c r="D18" i="56"/>
  <c r="J18" i="56"/>
  <c r="J17" i="56" s="1"/>
  <c r="I21" i="56"/>
  <c r="I46" i="56" s="1"/>
  <c r="H21" i="56"/>
  <c r="H46" i="56" s="1"/>
  <c r="E21" i="56"/>
  <c r="E46" i="56" s="1"/>
  <c r="F21" i="56"/>
  <c r="F46" i="56" s="1"/>
  <c r="C21" i="56"/>
  <c r="C46" i="56" s="1"/>
  <c r="D18" i="57"/>
  <c r="D17" i="57" s="1"/>
  <c r="G18" i="57"/>
  <c r="J18" i="57"/>
  <c r="J17" i="57" s="1"/>
  <c r="C18" i="57"/>
  <c r="E18" i="57"/>
  <c r="E4" i="2"/>
  <c r="E44" i="2" s="1"/>
  <c r="I18" i="57"/>
  <c r="I17" i="57" s="1"/>
  <c r="I21" i="57"/>
  <c r="I46" i="57" s="1"/>
  <c r="F18" i="57"/>
  <c r="K18" i="57"/>
  <c r="K17" i="57" s="1"/>
  <c r="J21" i="57"/>
  <c r="G21" i="57"/>
  <c r="G46" i="57" s="1"/>
  <c r="F21" i="57"/>
  <c r="F46" i="57" s="1"/>
  <c r="C21" i="57"/>
  <c r="C46" i="57" s="1"/>
  <c r="G38" i="65"/>
  <c r="G13" i="65" s="1"/>
  <c r="G38" i="56"/>
  <c r="G13" i="56" s="1"/>
  <c r="G38" i="64"/>
  <c r="G13" i="64" s="1"/>
  <c r="G38" i="57"/>
  <c r="G38" i="66"/>
  <c r="G13" i="66" s="1"/>
  <c r="E36" i="64"/>
  <c r="E11" i="64" s="1"/>
  <c r="E36" i="57"/>
  <c r="E11" i="57" s="1"/>
  <c r="E36" i="65"/>
  <c r="E11" i="65" s="1"/>
  <c r="E11" i="43"/>
  <c r="E14" i="43" s="1"/>
  <c r="I19" i="56"/>
  <c r="I12" i="56"/>
  <c r="I7" i="56"/>
  <c r="I20" i="56"/>
  <c r="I11" i="56"/>
  <c r="I9" i="57"/>
  <c r="D8" i="64"/>
  <c r="D9" i="64" s="1"/>
  <c r="D32" i="65"/>
  <c r="I32" i="65"/>
  <c r="I34" i="65" s="1"/>
  <c r="E18" i="65"/>
  <c r="E17" i="65" s="1"/>
  <c r="H18" i="65"/>
  <c r="H17" i="65" s="1"/>
  <c r="K18" i="65"/>
  <c r="K17" i="65" s="1"/>
  <c r="G18" i="65"/>
  <c r="G17" i="65" s="1"/>
  <c r="I18" i="65"/>
  <c r="C18" i="65"/>
  <c r="C17" i="65" s="1"/>
  <c r="F18" i="65"/>
  <c r="J18" i="65"/>
  <c r="J17" i="65" s="1"/>
  <c r="F4" i="2"/>
  <c r="G21" i="65"/>
  <c r="G46" i="65" s="1"/>
  <c r="F21" i="65"/>
  <c r="F46" i="65" s="1"/>
  <c r="E21" i="65"/>
  <c r="E46" i="65" s="1"/>
  <c r="D21" i="65"/>
  <c r="D46" i="65" s="1"/>
  <c r="C21" i="65"/>
  <c r="C46" i="65" s="1"/>
  <c r="K21" i="65"/>
  <c r="H21" i="65"/>
  <c r="H46" i="65" s="1"/>
  <c r="I21" i="65"/>
  <c r="I46" i="65" s="1"/>
  <c r="I10" i="56"/>
  <c r="D18" i="65"/>
  <c r="J46" i="43"/>
  <c r="J48" i="43" s="1"/>
  <c r="H21" i="57"/>
  <c r="H46" i="57" s="1"/>
  <c r="J21" i="56"/>
  <c r="C18" i="43"/>
  <c r="C17" i="43" s="1"/>
  <c r="F18" i="43"/>
  <c r="F17" i="43" s="1"/>
  <c r="I18" i="43"/>
  <c r="E18" i="43"/>
  <c r="E17" i="43" s="1"/>
  <c r="G18" i="43"/>
  <c r="D18" i="43"/>
  <c r="H18" i="43"/>
  <c r="H17" i="43" s="1"/>
  <c r="K18" i="43"/>
  <c r="K17" i="43" s="1"/>
  <c r="C4" i="2"/>
  <c r="K21" i="43"/>
  <c r="G21" i="43"/>
  <c r="G46" i="43" s="1"/>
  <c r="I21" i="43"/>
  <c r="C21" i="43"/>
  <c r="C46" i="43" s="1"/>
  <c r="F21" i="43"/>
  <c r="F46" i="43" s="1"/>
  <c r="G8" i="57"/>
  <c r="G9" i="57" s="1"/>
  <c r="I8" i="57"/>
  <c r="C36" i="64"/>
  <c r="C36" i="56"/>
  <c r="C11" i="56" s="1"/>
  <c r="C36" i="57"/>
  <c r="C11" i="57" s="1"/>
  <c r="C36" i="65"/>
  <c r="C11" i="43"/>
  <c r="G36" i="66"/>
  <c r="G11" i="66" s="1"/>
  <c r="G36" i="56"/>
  <c r="G11" i="56" s="1"/>
  <c r="G37" i="66"/>
  <c r="G12" i="66" s="1"/>
  <c r="G37" i="64"/>
  <c r="G12" i="64" s="1"/>
  <c r="G14" i="64" s="1"/>
  <c r="G37" i="56"/>
  <c r="G37" i="65"/>
  <c r="G12" i="65" s="1"/>
  <c r="H37" i="64"/>
  <c r="H37" i="56"/>
  <c r="H12" i="56" s="1"/>
  <c r="H12" i="43"/>
  <c r="H37" i="66"/>
  <c r="H12" i="66" s="1"/>
  <c r="H37" i="65"/>
  <c r="H12" i="65" s="1"/>
  <c r="H37" i="57"/>
  <c r="H12" i="57" s="1"/>
  <c r="G19" i="56"/>
  <c r="G22" i="56"/>
  <c r="G7" i="56"/>
  <c r="G20" i="56"/>
  <c r="L20" i="56" s="1"/>
  <c r="D18" i="2" s="1"/>
  <c r="G12" i="56"/>
  <c r="H32" i="57"/>
  <c r="G36" i="65"/>
  <c r="G11" i="65" s="1"/>
  <c r="D38" i="65"/>
  <c r="D13" i="65" s="1"/>
  <c r="D38" i="64"/>
  <c r="D13" i="64" s="1"/>
  <c r="D38" i="56"/>
  <c r="D13" i="56" s="1"/>
  <c r="D38" i="57"/>
  <c r="D13" i="57" s="1"/>
  <c r="D38" i="66"/>
  <c r="G40" i="43"/>
  <c r="G48" i="43" s="1"/>
  <c r="D21" i="43"/>
  <c r="D46" i="43" s="1"/>
  <c r="D21" i="57"/>
  <c r="D46" i="57" s="1"/>
  <c r="K21" i="57"/>
  <c r="I18" i="56"/>
  <c r="I17" i="56" s="1"/>
  <c r="C9" i="43"/>
  <c r="C9" i="57"/>
  <c r="E32" i="56"/>
  <c r="E36" i="56"/>
  <c r="E11" i="56" s="1"/>
  <c r="G17" i="43"/>
  <c r="G10" i="43"/>
  <c r="G13" i="43"/>
  <c r="G19" i="43"/>
  <c r="G23" i="43" s="1"/>
  <c r="G7" i="43"/>
  <c r="G9" i="43" s="1"/>
  <c r="G12" i="43"/>
  <c r="G14" i="43" s="1"/>
  <c r="H8" i="56"/>
  <c r="H9" i="56"/>
  <c r="I36" i="66"/>
  <c r="I11" i="66" s="1"/>
  <c r="I36" i="57"/>
  <c r="I11" i="57" s="1"/>
  <c r="I36" i="64"/>
  <c r="I11" i="64" s="1"/>
  <c r="I36" i="65"/>
  <c r="I11" i="65" s="1"/>
  <c r="D77" i="50"/>
  <c r="H38" i="43" s="1"/>
  <c r="D78" i="50"/>
  <c r="H47" i="43" s="1"/>
  <c r="D71" i="50"/>
  <c r="H36" i="43" s="1"/>
  <c r="G8" i="65"/>
  <c r="G9" i="65"/>
  <c r="J21" i="65"/>
  <c r="C36" i="66"/>
  <c r="C11" i="66" s="1"/>
  <c r="E36" i="66"/>
  <c r="I9" i="66"/>
  <c r="I8" i="66"/>
  <c r="J18" i="43"/>
  <c r="J17" i="43" s="1"/>
  <c r="H18" i="57"/>
  <c r="C17" i="57"/>
  <c r="E47" i="66"/>
  <c r="E22" i="66" s="1"/>
  <c r="E47" i="64"/>
  <c r="E47" i="57"/>
  <c r="E22" i="57" s="1"/>
  <c r="E23" i="57" s="1"/>
  <c r="F7" i="43"/>
  <c r="F9" i="43" s="1"/>
  <c r="F7" i="56"/>
  <c r="G17" i="57"/>
  <c r="G19" i="57"/>
  <c r="G11" i="57"/>
  <c r="G13" i="57"/>
  <c r="G12" i="57"/>
  <c r="F17" i="57"/>
  <c r="F7" i="57"/>
  <c r="D51" i="50"/>
  <c r="F38" i="43" s="1"/>
  <c r="F13" i="43" s="1"/>
  <c r="D48" i="50"/>
  <c r="D52" i="50"/>
  <c r="F47" i="43" s="1"/>
  <c r="C9" i="64"/>
  <c r="F9" i="64"/>
  <c r="D18" i="64"/>
  <c r="D17" i="64" s="1"/>
  <c r="G18" i="64"/>
  <c r="G17" i="64" s="1"/>
  <c r="G23" i="64" s="1"/>
  <c r="J18" i="64"/>
  <c r="J17" i="64" s="1"/>
  <c r="F18" i="64"/>
  <c r="F17" i="64" s="1"/>
  <c r="H18" i="64"/>
  <c r="E18" i="64"/>
  <c r="E17" i="64" s="1"/>
  <c r="I18" i="64"/>
  <c r="K21" i="64"/>
  <c r="J21" i="64"/>
  <c r="I21" i="64"/>
  <c r="I46" i="64" s="1"/>
  <c r="H21" i="64"/>
  <c r="H46" i="64" s="1"/>
  <c r="E32" i="66"/>
  <c r="F8" i="66"/>
  <c r="F9" i="66"/>
  <c r="G8" i="66"/>
  <c r="G9" i="66" s="1"/>
  <c r="F10" i="43"/>
  <c r="C7" i="65"/>
  <c r="C11" i="65"/>
  <c r="I17" i="65"/>
  <c r="F17" i="65"/>
  <c r="F7" i="65"/>
  <c r="L6" i="66"/>
  <c r="C20" i="66"/>
  <c r="C19" i="66"/>
  <c r="I12" i="66"/>
  <c r="I20" i="66"/>
  <c r="I19" i="66"/>
  <c r="F20" i="66"/>
  <c r="F19" i="66"/>
  <c r="I7" i="64"/>
  <c r="H4" i="2"/>
  <c r="I38" i="65"/>
  <c r="I13" i="65" s="1"/>
  <c r="I38" i="56"/>
  <c r="I13" i="56" s="1"/>
  <c r="E38" i="65"/>
  <c r="E38" i="56"/>
  <c r="E13" i="56" s="1"/>
  <c r="I17" i="64"/>
  <c r="C20" i="43"/>
  <c r="D32" i="57"/>
  <c r="C7" i="56"/>
  <c r="E22" i="43"/>
  <c r="F19" i="56"/>
  <c r="L19" i="56" s="1"/>
  <c r="D17" i="2" s="1"/>
  <c r="D43" i="2" s="1"/>
  <c r="D36" i="66"/>
  <c r="D11" i="66" s="1"/>
  <c r="D36" i="64"/>
  <c r="D11" i="64" s="1"/>
  <c r="D36" i="56"/>
  <c r="D47" i="50"/>
  <c r="F37" i="43" s="1"/>
  <c r="D45" i="50"/>
  <c r="F36" i="43" s="1"/>
  <c r="D20" i="50"/>
  <c r="D37" i="43" s="1"/>
  <c r="D25" i="50"/>
  <c r="D47" i="43" s="1"/>
  <c r="I37" i="57"/>
  <c r="I12" i="57" s="1"/>
  <c r="I13" i="43"/>
  <c r="I14" i="43" s="1"/>
  <c r="I15" i="43" s="1"/>
  <c r="I17" i="43"/>
  <c r="I20" i="43"/>
  <c r="E17" i="57"/>
  <c r="E7" i="57"/>
  <c r="E19" i="57"/>
  <c r="L19" i="57" s="1"/>
  <c r="E17" i="2" s="1"/>
  <c r="E43" i="2" s="1"/>
  <c r="I10" i="57"/>
  <c r="I22" i="57"/>
  <c r="I47" i="56"/>
  <c r="I22" i="56" s="1"/>
  <c r="D10" i="50"/>
  <c r="C38" i="43" s="1"/>
  <c r="D11" i="50"/>
  <c r="C47" i="43" s="1"/>
  <c r="D6" i="50"/>
  <c r="C37" i="43" s="1"/>
  <c r="C12" i="43" s="1"/>
  <c r="C19" i="55"/>
  <c r="I19" i="64"/>
  <c r="F19" i="64"/>
  <c r="C19" i="64"/>
  <c r="I20" i="64"/>
  <c r="F20" i="64"/>
  <c r="C20" i="64"/>
  <c r="C11" i="64"/>
  <c r="E21" i="64"/>
  <c r="E46" i="64" s="1"/>
  <c r="E9" i="64"/>
  <c r="C19" i="65"/>
  <c r="I20" i="65"/>
  <c r="I12" i="65"/>
  <c r="E47" i="65"/>
  <c r="E22" i="65" s="1"/>
  <c r="I47" i="65"/>
  <c r="I22" i="65" s="1"/>
  <c r="I23" i="65" s="1"/>
  <c r="C7" i="66"/>
  <c r="E37" i="66"/>
  <c r="E12" i="66" s="1"/>
  <c r="E10" i="43"/>
  <c r="H20" i="65"/>
  <c r="H19" i="65"/>
  <c r="E13" i="65"/>
  <c r="E7" i="65"/>
  <c r="E20" i="65"/>
  <c r="L20" i="65" s="1"/>
  <c r="F18" i="2" s="1"/>
  <c r="E19" i="65"/>
  <c r="H7" i="66"/>
  <c r="E13" i="66"/>
  <c r="E11" i="66"/>
  <c r="H17" i="64"/>
  <c r="H7" i="64"/>
  <c r="H12" i="64"/>
  <c r="E12" i="64"/>
  <c r="E22" i="64"/>
  <c r="I38" i="64"/>
  <c r="I13" i="64" s="1"/>
  <c r="I38" i="66"/>
  <c r="I13" i="66" s="1"/>
  <c r="I38" i="57"/>
  <c r="I13" i="57" s="1"/>
  <c r="C17" i="56"/>
  <c r="C18" i="64"/>
  <c r="C17" i="64" s="1"/>
  <c r="D17" i="56"/>
  <c r="H13" i="43"/>
  <c r="D13" i="43"/>
  <c r="D17" i="43"/>
  <c r="D10" i="43"/>
  <c r="H17" i="57"/>
  <c r="D17" i="65"/>
  <c r="E17" i="56"/>
  <c r="D13" i="66"/>
  <c r="M10" i="36"/>
  <c r="C17" i="36"/>
  <c r="M12" i="36"/>
  <c r="E16" i="53" l="1"/>
  <c r="I16" i="53"/>
  <c r="H33" i="56"/>
  <c r="H10" i="56" s="1"/>
  <c r="H16" i="53"/>
  <c r="G33" i="56"/>
  <c r="G10" i="56" s="1"/>
  <c r="C33" i="56"/>
  <c r="C10" i="56" s="1"/>
  <c r="D16" i="53"/>
  <c r="D34" i="57"/>
  <c r="E15" i="43"/>
  <c r="D33" i="57"/>
  <c r="D10" i="57" s="1"/>
  <c r="E17" i="53"/>
  <c r="E33" i="56"/>
  <c r="E10" i="56" s="1"/>
  <c r="F16" i="53"/>
  <c r="J24" i="43"/>
  <c r="J26" i="43" s="1"/>
  <c r="J27" i="43" s="1"/>
  <c r="J14" i="56"/>
  <c r="J15" i="56" s="1"/>
  <c r="J16" i="56" s="1"/>
  <c r="J40" i="65"/>
  <c r="J40" i="56"/>
  <c r="J14" i="65"/>
  <c r="J15" i="65" s="1"/>
  <c r="J16" i="65" s="1"/>
  <c r="K11" i="64"/>
  <c r="K14" i="64" s="1"/>
  <c r="K15" i="64" s="1"/>
  <c r="K16" i="64" s="1"/>
  <c r="K40" i="64"/>
  <c r="K40" i="65"/>
  <c r="K11" i="65"/>
  <c r="K14" i="65" s="1"/>
  <c r="K15" i="65" s="1"/>
  <c r="K16" i="65" s="1"/>
  <c r="K15" i="43"/>
  <c r="K16" i="43" s="1"/>
  <c r="K15" i="66"/>
  <c r="K16" i="66" s="1"/>
  <c r="K12" i="56"/>
  <c r="K14" i="56" s="1"/>
  <c r="K15" i="56" s="1"/>
  <c r="K16" i="56" s="1"/>
  <c r="K40" i="56"/>
  <c r="J11" i="64"/>
  <c r="J14" i="64" s="1"/>
  <c r="J15" i="64" s="1"/>
  <c r="J16" i="64" s="1"/>
  <c r="J40" i="64"/>
  <c r="J40" i="66"/>
  <c r="J11" i="66"/>
  <c r="J14" i="66" s="1"/>
  <c r="J15" i="66" s="1"/>
  <c r="J16" i="66" s="1"/>
  <c r="E14" i="57"/>
  <c r="E14" i="65"/>
  <c r="G14" i="56"/>
  <c r="G15" i="43"/>
  <c r="G16" i="43" s="1"/>
  <c r="G14" i="65"/>
  <c r="L17" i="55"/>
  <c r="L18" i="55"/>
  <c r="L19" i="55" s="1"/>
  <c r="G16" i="53"/>
  <c r="F33" i="56"/>
  <c r="F10" i="56" s="1"/>
  <c r="F44" i="2"/>
  <c r="G32" i="66"/>
  <c r="G32" i="57"/>
  <c r="D32" i="64"/>
  <c r="L17" i="64"/>
  <c r="H15" i="2" s="1"/>
  <c r="H42" i="2" s="1"/>
  <c r="D44" i="2"/>
  <c r="L17" i="65"/>
  <c r="F15" i="2" s="1"/>
  <c r="F42" i="2" s="1"/>
  <c r="D15" i="43"/>
  <c r="L17" i="56"/>
  <c r="D15" i="2" s="1"/>
  <c r="D42" i="2" s="1"/>
  <c r="L19" i="65"/>
  <c r="F17" i="2" s="1"/>
  <c r="F43" i="2" s="1"/>
  <c r="C38" i="65"/>
  <c r="C13" i="65" s="1"/>
  <c r="C38" i="57"/>
  <c r="C13" i="57" s="1"/>
  <c r="C38" i="66"/>
  <c r="C13" i="66" s="1"/>
  <c r="C38" i="56"/>
  <c r="C13" i="56" s="1"/>
  <c r="C38" i="64"/>
  <c r="C13" i="64" s="1"/>
  <c r="E8" i="57"/>
  <c r="L8" i="57" s="1"/>
  <c r="E6" i="2" s="1"/>
  <c r="I16" i="43"/>
  <c r="D37" i="65"/>
  <c r="D12" i="65" s="1"/>
  <c r="D14" i="65" s="1"/>
  <c r="D37" i="66"/>
  <c r="D37" i="64"/>
  <c r="D12" i="64" s="1"/>
  <c r="D14" i="64" s="1"/>
  <c r="D12" i="43"/>
  <c r="D14" i="43" s="1"/>
  <c r="D37" i="57"/>
  <c r="D12" i="57" s="1"/>
  <c r="D14" i="57" s="1"/>
  <c r="D15" i="57" s="1"/>
  <c r="D37" i="56"/>
  <c r="D12" i="56" s="1"/>
  <c r="D11" i="56"/>
  <c r="C8" i="56"/>
  <c r="L7" i="56"/>
  <c r="D5" i="2" s="1"/>
  <c r="G6" i="36" s="1"/>
  <c r="G5" i="36" s="1"/>
  <c r="G17" i="36" s="1"/>
  <c r="G19" i="36" s="1"/>
  <c r="L12" i="43"/>
  <c r="C10" i="2" s="1"/>
  <c r="I8" i="64"/>
  <c r="I9" i="64"/>
  <c r="F32" i="66"/>
  <c r="F47" i="64"/>
  <c r="F22" i="64" s="1"/>
  <c r="F23" i="64" s="1"/>
  <c r="F47" i="57"/>
  <c r="F22" i="57" s="1"/>
  <c r="F23" i="57" s="1"/>
  <c r="F47" i="66"/>
  <c r="F22" i="66" s="1"/>
  <c r="F47" i="65"/>
  <c r="F22" i="65" s="1"/>
  <c r="F23" i="65" s="1"/>
  <c r="F47" i="56"/>
  <c r="F22" i="56" s="1"/>
  <c r="F23" i="56" s="1"/>
  <c r="F22" i="43"/>
  <c r="F23" i="43" s="1"/>
  <c r="F8" i="57"/>
  <c r="F9" i="57" s="1"/>
  <c r="L17" i="57"/>
  <c r="E15" i="2" s="1"/>
  <c r="E42" i="2" s="1"/>
  <c r="I32" i="66"/>
  <c r="I34" i="66" s="1"/>
  <c r="I40" i="66" s="1"/>
  <c r="J46" i="65"/>
  <c r="J48" i="65" s="1"/>
  <c r="J23" i="65"/>
  <c r="J24" i="65" s="1"/>
  <c r="H47" i="66"/>
  <c r="H22" i="66" s="1"/>
  <c r="H23" i="66" s="1"/>
  <c r="H47" i="57"/>
  <c r="H22" i="57" s="1"/>
  <c r="H23" i="57" s="1"/>
  <c r="H47" i="56"/>
  <c r="H22" i="56" s="1"/>
  <c r="H23" i="56" s="1"/>
  <c r="H22" i="43"/>
  <c r="H23" i="43" s="1"/>
  <c r="H47" i="64"/>
  <c r="H22" i="64" s="1"/>
  <c r="H23" i="64" s="1"/>
  <c r="H47" i="65"/>
  <c r="H22" i="65" s="1"/>
  <c r="H23" i="65" s="1"/>
  <c r="I14" i="64"/>
  <c r="H32" i="56"/>
  <c r="H34" i="56" s="1"/>
  <c r="E16" i="43"/>
  <c r="C32" i="57"/>
  <c r="C13" i="43"/>
  <c r="L13" i="43" s="1"/>
  <c r="C11" i="2" s="1"/>
  <c r="C14" i="43"/>
  <c r="C15" i="43" s="1"/>
  <c r="D40" i="43"/>
  <c r="D48" i="43" s="1"/>
  <c r="K23" i="43"/>
  <c r="K46" i="43"/>
  <c r="K48" i="43" s="1"/>
  <c r="L17" i="43"/>
  <c r="C15" i="2" s="1"/>
  <c r="G23" i="65"/>
  <c r="I8" i="56"/>
  <c r="I9" i="56"/>
  <c r="I23" i="56"/>
  <c r="C43" i="2"/>
  <c r="E14" i="66"/>
  <c r="E8" i="65"/>
  <c r="E9" i="65"/>
  <c r="C8" i="66"/>
  <c r="C9" i="66"/>
  <c r="L7" i="66"/>
  <c r="G5" i="2" s="1"/>
  <c r="E32" i="64"/>
  <c r="L20" i="64"/>
  <c r="H18" i="2" s="1"/>
  <c r="L19" i="64"/>
  <c r="H17" i="2" s="1"/>
  <c r="H43" i="2" s="1"/>
  <c r="L7" i="64"/>
  <c r="H5" i="2" s="1"/>
  <c r="H6" i="36" s="1"/>
  <c r="H5" i="36" s="1"/>
  <c r="H17" i="36" s="1"/>
  <c r="H19" i="36" s="1"/>
  <c r="C37" i="66"/>
  <c r="C12" i="66" s="1"/>
  <c r="C37" i="65"/>
  <c r="C12" i="65" s="1"/>
  <c r="C14" i="65" s="1"/>
  <c r="C37" i="57"/>
  <c r="C12" i="57" s="1"/>
  <c r="C37" i="64"/>
  <c r="C12" i="64" s="1"/>
  <c r="C37" i="56"/>
  <c r="C12" i="56" s="1"/>
  <c r="F36" i="64"/>
  <c r="F11" i="64" s="1"/>
  <c r="F36" i="57"/>
  <c r="F11" i="57" s="1"/>
  <c r="F36" i="66"/>
  <c r="F11" i="66" s="1"/>
  <c r="F36" i="56"/>
  <c r="F11" i="56" s="1"/>
  <c r="F36" i="65"/>
  <c r="F11" i="65" s="1"/>
  <c r="F40" i="43"/>
  <c r="F48" i="43" s="1"/>
  <c r="E23" i="43"/>
  <c r="E24" i="43" s="1"/>
  <c r="L20" i="43"/>
  <c r="C18" i="2" s="1"/>
  <c r="L19" i="66"/>
  <c r="G17" i="2" s="1"/>
  <c r="C18" i="66"/>
  <c r="C17" i="66" s="1"/>
  <c r="F18" i="66"/>
  <c r="F17" i="66" s="1"/>
  <c r="I18" i="66"/>
  <c r="I17" i="66" s="1"/>
  <c r="D18" i="66"/>
  <c r="D17" i="66" s="1"/>
  <c r="K18" i="66"/>
  <c r="K17" i="66" s="1"/>
  <c r="G4" i="2"/>
  <c r="K21" i="66"/>
  <c r="H21" i="66"/>
  <c r="H46" i="66" s="1"/>
  <c r="G21" i="66"/>
  <c r="D21" i="66"/>
  <c r="D46" i="66" s="1"/>
  <c r="G18" i="66"/>
  <c r="G17" i="66" s="1"/>
  <c r="I21" i="66"/>
  <c r="H18" i="66"/>
  <c r="H17" i="66" s="1"/>
  <c r="J21" i="66"/>
  <c r="E21" i="66"/>
  <c r="E46" i="66" s="1"/>
  <c r="C21" i="66"/>
  <c r="C46" i="66" s="1"/>
  <c r="J18" i="66"/>
  <c r="J17" i="66" s="1"/>
  <c r="F21" i="66"/>
  <c r="F46" i="66" s="1"/>
  <c r="E18" i="66"/>
  <c r="E17" i="66" s="1"/>
  <c r="C8" i="65"/>
  <c r="L8" i="65" s="1"/>
  <c r="F6" i="2" s="1"/>
  <c r="C9" i="65"/>
  <c r="L7" i="65"/>
  <c r="F5" i="2" s="1"/>
  <c r="J46" i="64"/>
  <c r="J48" i="64" s="1"/>
  <c r="J23" i="64"/>
  <c r="J24" i="64" s="1"/>
  <c r="F32" i="64"/>
  <c r="G14" i="57"/>
  <c r="F8" i="56"/>
  <c r="F9" i="56"/>
  <c r="F11" i="43"/>
  <c r="F14" i="43" s="1"/>
  <c r="F15" i="43" s="1"/>
  <c r="G32" i="65"/>
  <c r="H38" i="65"/>
  <c r="H13" i="65" s="1"/>
  <c r="H38" i="64"/>
  <c r="H13" i="64" s="1"/>
  <c r="H38" i="56"/>
  <c r="H13" i="56" s="1"/>
  <c r="H38" i="57"/>
  <c r="H13" i="57" s="1"/>
  <c r="H38" i="66"/>
  <c r="H13" i="66" s="1"/>
  <c r="I14" i="57"/>
  <c r="E14" i="56"/>
  <c r="E15" i="56" s="1"/>
  <c r="L7" i="57"/>
  <c r="E5" i="2" s="1"/>
  <c r="L9" i="43"/>
  <c r="K23" i="57"/>
  <c r="K24" i="57" s="1"/>
  <c r="K46" i="57"/>
  <c r="K48" i="57" s="1"/>
  <c r="G8" i="56"/>
  <c r="G9" i="56" s="1"/>
  <c r="I46" i="43"/>
  <c r="I48" i="43" s="1"/>
  <c r="I23" i="43"/>
  <c r="I24" i="43" s="1"/>
  <c r="J46" i="56"/>
  <c r="J23" i="56"/>
  <c r="J24" i="56" s="1"/>
  <c r="K46" i="65"/>
  <c r="K48" i="65" s="1"/>
  <c r="K23" i="65"/>
  <c r="I40" i="65"/>
  <c r="I48" i="65" s="1"/>
  <c r="I15" i="57"/>
  <c r="I32" i="57"/>
  <c r="I34" i="57" s="1"/>
  <c r="I40" i="57" s="1"/>
  <c r="I48" i="57" s="1"/>
  <c r="I14" i="56"/>
  <c r="K46" i="56"/>
  <c r="K23" i="56"/>
  <c r="K24" i="56" s="1"/>
  <c r="J25" i="43"/>
  <c r="E23" i="64"/>
  <c r="H8" i="64"/>
  <c r="L8" i="64" s="1"/>
  <c r="H6" i="2" s="1"/>
  <c r="H9" i="66"/>
  <c r="H8" i="66"/>
  <c r="E23" i="65"/>
  <c r="C47" i="64"/>
  <c r="C22" i="64" s="1"/>
  <c r="C47" i="66"/>
  <c r="C22" i="66" s="1"/>
  <c r="C47" i="56"/>
  <c r="C22" i="56" s="1"/>
  <c r="C22" i="43"/>
  <c r="C47" i="57"/>
  <c r="C22" i="57" s="1"/>
  <c r="C47" i="65"/>
  <c r="C22" i="65" s="1"/>
  <c r="I23" i="57"/>
  <c r="D47" i="64"/>
  <c r="D22" i="64" s="1"/>
  <c r="D23" i="64" s="1"/>
  <c r="D47" i="65"/>
  <c r="D22" i="65" s="1"/>
  <c r="D23" i="65" s="1"/>
  <c r="D47" i="57"/>
  <c r="D22" i="57" s="1"/>
  <c r="D23" i="57" s="1"/>
  <c r="D22" i="43"/>
  <c r="D23" i="43" s="1"/>
  <c r="D47" i="66"/>
  <c r="D22" i="66" s="1"/>
  <c r="D23" i="66" s="1"/>
  <c r="D47" i="56"/>
  <c r="D22" i="56" s="1"/>
  <c r="D23" i="56" s="1"/>
  <c r="F37" i="66"/>
  <c r="F12" i="66" s="1"/>
  <c r="F37" i="65"/>
  <c r="F12" i="65" s="1"/>
  <c r="F37" i="56"/>
  <c r="F12" i="56" s="1"/>
  <c r="F37" i="64"/>
  <c r="F12" i="64" s="1"/>
  <c r="F37" i="57"/>
  <c r="F12" i="57" s="1"/>
  <c r="F12" i="43"/>
  <c r="L20" i="66"/>
  <c r="G18" i="2" s="1"/>
  <c r="F9" i="65"/>
  <c r="F8" i="65"/>
  <c r="I14" i="65"/>
  <c r="I15" i="65" s="1"/>
  <c r="K23" i="64"/>
  <c r="K46" i="64"/>
  <c r="C32" i="64"/>
  <c r="F38" i="65"/>
  <c r="F13" i="65" s="1"/>
  <c r="F38" i="57"/>
  <c r="F13" i="57" s="1"/>
  <c r="F38" i="66"/>
  <c r="F13" i="66" s="1"/>
  <c r="F38" i="64"/>
  <c r="F13" i="64" s="1"/>
  <c r="F38" i="56"/>
  <c r="F13" i="56" s="1"/>
  <c r="H36" i="66"/>
  <c r="H11" i="66" s="1"/>
  <c r="H14" i="66" s="1"/>
  <c r="H36" i="57"/>
  <c r="H11" i="57" s="1"/>
  <c r="H11" i="43"/>
  <c r="H14" i="43" s="1"/>
  <c r="H15" i="43" s="1"/>
  <c r="H36" i="65"/>
  <c r="H36" i="56"/>
  <c r="H11" i="56" s="1"/>
  <c r="H14" i="56" s="1"/>
  <c r="H15" i="56" s="1"/>
  <c r="H36" i="64"/>
  <c r="H11" i="64" s="1"/>
  <c r="I14" i="66"/>
  <c r="I15" i="66" s="1"/>
  <c r="E23" i="56"/>
  <c r="L7" i="43"/>
  <c r="C5" i="2" s="1"/>
  <c r="G23" i="56"/>
  <c r="G14" i="66"/>
  <c r="C14" i="57"/>
  <c r="L11" i="57"/>
  <c r="E9" i="2" s="1"/>
  <c r="L10" i="43"/>
  <c r="C8" i="2" s="1"/>
  <c r="I23" i="64"/>
  <c r="H40" i="43"/>
  <c r="H48" i="43" s="1"/>
  <c r="E14" i="64"/>
  <c r="J46" i="57"/>
  <c r="J48" i="57" s="1"/>
  <c r="J23" i="57"/>
  <c r="J24" i="57" s="1"/>
  <c r="C40" i="43"/>
  <c r="C48" i="43" s="1"/>
  <c r="G23" i="57"/>
  <c r="E23" i="36"/>
  <c r="C18" i="36"/>
  <c r="D18" i="36" s="1"/>
  <c r="E18" i="36" s="1"/>
  <c r="C19" i="36"/>
  <c r="E22" i="36"/>
  <c r="M17" i="36"/>
  <c r="L10" i="56" l="1"/>
  <c r="D8" i="2" s="1"/>
  <c r="D31" i="2" s="1"/>
  <c r="F17" i="53"/>
  <c r="E33" i="57"/>
  <c r="E10" i="57" s="1"/>
  <c r="E34" i="56"/>
  <c r="E40" i="56" s="1"/>
  <c r="E48" i="56" s="1"/>
  <c r="H17" i="53"/>
  <c r="G33" i="57"/>
  <c r="G10" i="57" s="1"/>
  <c r="G15" i="57" s="1"/>
  <c r="G16" i="57" s="1"/>
  <c r="E18" i="53"/>
  <c r="D33" i="65"/>
  <c r="I17" i="53"/>
  <c r="H33" i="57"/>
  <c r="G34" i="57"/>
  <c r="G40" i="57" s="1"/>
  <c r="G48" i="57" s="1"/>
  <c r="D17" i="53"/>
  <c r="C33" i="57"/>
  <c r="C10" i="57" s="1"/>
  <c r="C15" i="57" s="1"/>
  <c r="H14" i="64"/>
  <c r="K48" i="64"/>
  <c r="K24" i="43"/>
  <c r="K24" i="64"/>
  <c r="K25" i="64" s="1"/>
  <c r="K26" i="64" s="1"/>
  <c r="K27" i="64" s="1"/>
  <c r="K48" i="56"/>
  <c r="K24" i="65"/>
  <c r="J48" i="56"/>
  <c r="L11" i="66"/>
  <c r="G9" i="2" s="1"/>
  <c r="F14" i="57"/>
  <c r="L12" i="64"/>
  <c r="H10" i="2" s="1"/>
  <c r="H36" i="2" s="1"/>
  <c r="L13" i="66"/>
  <c r="G11" i="2" s="1"/>
  <c r="G37" i="2" s="1"/>
  <c r="G24" i="43"/>
  <c r="G25" i="43" s="1"/>
  <c r="G26" i="43" s="1"/>
  <c r="G27" i="43" s="1"/>
  <c r="F33" i="57"/>
  <c r="F10" i="57" s="1"/>
  <c r="G17" i="53"/>
  <c r="G15" i="56"/>
  <c r="G32" i="56"/>
  <c r="G34" i="56" s="1"/>
  <c r="G40" i="56" s="1"/>
  <c r="G48" i="56" s="1"/>
  <c r="F24" i="43"/>
  <c r="F16" i="43"/>
  <c r="F32" i="57"/>
  <c r="F34" i="57" s="1"/>
  <c r="F40" i="57" s="1"/>
  <c r="F48" i="57" s="1"/>
  <c r="I25" i="43"/>
  <c r="I26" i="43" s="1"/>
  <c r="I27" i="43" s="1"/>
  <c r="E25" i="43"/>
  <c r="E26" i="43" s="1"/>
  <c r="E27" i="43" s="1"/>
  <c r="H16" i="56"/>
  <c r="H24" i="56"/>
  <c r="J25" i="57"/>
  <c r="J26" i="57" s="1"/>
  <c r="J27" i="57" s="1"/>
  <c r="E35" i="2"/>
  <c r="H16" i="43"/>
  <c r="H24" i="43"/>
  <c r="F32" i="65"/>
  <c r="L22" i="43"/>
  <c r="C23" i="43"/>
  <c r="C23" i="64"/>
  <c r="L22" i="64"/>
  <c r="H32" i="66"/>
  <c r="K25" i="56"/>
  <c r="K26" i="56" s="1"/>
  <c r="K27" i="56" s="1"/>
  <c r="J25" i="56"/>
  <c r="J26" i="56" s="1"/>
  <c r="J27" i="56" s="1"/>
  <c r="C24" i="43"/>
  <c r="C16" i="43"/>
  <c r="L15" i="43"/>
  <c r="E24" i="56"/>
  <c r="E16" i="56"/>
  <c r="J25" i="64"/>
  <c r="J26" i="64" s="1"/>
  <c r="J27" i="64" s="1"/>
  <c r="C32" i="65"/>
  <c r="L9" i="65"/>
  <c r="F7" i="2" s="1"/>
  <c r="I46" i="66"/>
  <c r="I48" i="66" s="1"/>
  <c r="I23" i="66"/>
  <c r="G46" i="66"/>
  <c r="G23" i="66"/>
  <c r="G43" i="2"/>
  <c r="F14" i="65"/>
  <c r="H44" i="2"/>
  <c r="E32" i="65"/>
  <c r="I32" i="56"/>
  <c r="I34" i="56" s="1"/>
  <c r="I40" i="56" s="1"/>
  <c r="I48" i="56" s="1"/>
  <c r="I15" i="56"/>
  <c r="C42" i="2"/>
  <c r="L11" i="43"/>
  <c r="C9" i="2" s="1"/>
  <c r="I24" i="66"/>
  <c r="I16" i="66"/>
  <c r="E23" i="66"/>
  <c r="F23" i="66"/>
  <c r="C36" i="2"/>
  <c r="L8" i="56"/>
  <c r="D6" i="2" s="1"/>
  <c r="L11" i="64"/>
  <c r="H9" i="2" s="1"/>
  <c r="G35" i="2"/>
  <c r="H14" i="57"/>
  <c r="I24" i="65"/>
  <c r="I16" i="65"/>
  <c r="G44" i="2"/>
  <c r="L22" i="65"/>
  <c r="C23" i="65"/>
  <c r="L22" i="56"/>
  <c r="C23" i="56"/>
  <c r="I16" i="57"/>
  <c r="I24" i="57"/>
  <c r="K25" i="65"/>
  <c r="K26" i="65" s="1"/>
  <c r="K27" i="65" s="1"/>
  <c r="F32" i="56"/>
  <c r="F34" i="56" s="1"/>
  <c r="F40" i="56" s="1"/>
  <c r="F48" i="56" s="1"/>
  <c r="J46" i="66"/>
  <c r="J48" i="66" s="1"/>
  <c r="J23" i="66"/>
  <c r="J24" i="66" s="1"/>
  <c r="I18" i="2"/>
  <c r="C44" i="2"/>
  <c r="F14" i="56"/>
  <c r="F15" i="56" s="1"/>
  <c r="F14" i="64"/>
  <c r="L12" i="57"/>
  <c r="E10" i="2" s="1"/>
  <c r="E36" i="2" s="1"/>
  <c r="C32" i="66"/>
  <c r="L9" i="66"/>
  <c r="G7" i="2" s="1"/>
  <c r="I17" i="2"/>
  <c r="L11" i="56"/>
  <c r="D9" i="2" s="1"/>
  <c r="L14" i="43"/>
  <c r="C12" i="2" s="1"/>
  <c r="H40" i="56"/>
  <c r="H48" i="56" s="1"/>
  <c r="J25" i="65"/>
  <c r="J26" i="65" s="1"/>
  <c r="J27" i="65" s="1"/>
  <c r="I15" i="64"/>
  <c r="I32" i="64"/>
  <c r="I34" i="64" s="1"/>
  <c r="I40" i="64" s="1"/>
  <c r="I48" i="64" s="1"/>
  <c r="D40" i="56"/>
  <c r="D48" i="56" s="1"/>
  <c r="D24" i="57"/>
  <c r="D16" i="57"/>
  <c r="D12" i="66"/>
  <c r="D14" i="66" s="1"/>
  <c r="L13" i="64"/>
  <c r="H11" i="2" s="1"/>
  <c r="L13" i="57"/>
  <c r="E11" i="2" s="1"/>
  <c r="C14" i="64"/>
  <c r="D16" i="43"/>
  <c r="D24" i="43"/>
  <c r="C31" i="2"/>
  <c r="F6" i="36"/>
  <c r="F5" i="36" s="1"/>
  <c r="F17" i="36" s="1"/>
  <c r="F19" i="36" s="1"/>
  <c r="C7" i="2"/>
  <c r="I5" i="2"/>
  <c r="L6" i="36" s="1"/>
  <c r="L5" i="36" s="1"/>
  <c r="L17" i="36" s="1"/>
  <c r="L19" i="36" s="1"/>
  <c r="H11" i="65"/>
  <c r="H14" i="65" s="1"/>
  <c r="C23" i="57"/>
  <c r="L22" i="57"/>
  <c r="L22" i="66"/>
  <c r="C23" i="66"/>
  <c r="H9" i="64"/>
  <c r="I4" i="2"/>
  <c r="K25" i="57"/>
  <c r="K26" i="57" s="1"/>
  <c r="K27" i="57" s="1"/>
  <c r="K46" i="66"/>
  <c r="K48" i="66" s="1"/>
  <c r="K23" i="66"/>
  <c r="K24" i="66" s="1"/>
  <c r="L17" i="66"/>
  <c r="G15" i="2" s="1"/>
  <c r="G42" i="2" s="1"/>
  <c r="D40" i="57"/>
  <c r="D48" i="57" s="1"/>
  <c r="F14" i="66"/>
  <c r="L12" i="56"/>
  <c r="D10" i="2" s="1"/>
  <c r="D36" i="2" s="1"/>
  <c r="L12" i="65"/>
  <c r="F10" i="2" s="1"/>
  <c r="F36" i="2" s="1"/>
  <c r="L8" i="66"/>
  <c r="G6" i="2" s="1"/>
  <c r="K25" i="43"/>
  <c r="K26" i="43" s="1"/>
  <c r="K27" i="43" s="1"/>
  <c r="C14" i="56"/>
  <c r="C37" i="2"/>
  <c r="L11" i="65"/>
  <c r="F9" i="2" s="1"/>
  <c r="C9" i="56"/>
  <c r="D14" i="56"/>
  <c r="D15" i="56" s="1"/>
  <c r="E9" i="57"/>
  <c r="L13" i="56"/>
  <c r="D11" i="2" s="1"/>
  <c r="L13" i="65"/>
  <c r="F11" i="2" s="1"/>
  <c r="C14" i="66"/>
  <c r="C20" i="36"/>
  <c r="D20" i="36" s="1"/>
  <c r="E20" i="36" s="1"/>
  <c r="F20" i="36" s="1"/>
  <c r="G20" i="36" s="1"/>
  <c r="H20" i="36" s="1"/>
  <c r="I22" i="36"/>
  <c r="I23" i="36"/>
  <c r="M19" i="36"/>
  <c r="G24" i="57" l="1"/>
  <c r="G25" i="57" s="1"/>
  <c r="G26" i="57" s="1"/>
  <c r="G27" i="57" s="1"/>
  <c r="C33" i="65"/>
  <c r="C10" i="65" s="1"/>
  <c r="C15" i="65" s="1"/>
  <c r="C24" i="65" s="1"/>
  <c r="D18" i="53"/>
  <c r="C34" i="57"/>
  <c r="C40" i="57" s="1"/>
  <c r="C48" i="57" s="1"/>
  <c r="D10" i="65"/>
  <c r="D15" i="65" s="1"/>
  <c r="D34" i="65"/>
  <c r="D40" i="65" s="1"/>
  <c r="D48" i="65" s="1"/>
  <c r="H10" i="57"/>
  <c r="H15" i="57" s="1"/>
  <c r="H34" i="57"/>
  <c r="H40" i="57" s="1"/>
  <c r="H48" i="57" s="1"/>
  <c r="E19" i="53"/>
  <c r="D33" i="64" s="1"/>
  <c r="D33" i="66"/>
  <c r="H18" i="53"/>
  <c r="G33" i="65"/>
  <c r="E33" i="65"/>
  <c r="E10" i="65" s="1"/>
  <c r="E15" i="65" s="1"/>
  <c r="F18" i="53"/>
  <c r="I18" i="53"/>
  <c r="H33" i="65"/>
  <c r="L14" i="65"/>
  <c r="F12" i="2" s="1"/>
  <c r="L14" i="57"/>
  <c r="E12" i="2" s="1"/>
  <c r="L12" i="66"/>
  <c r="G10" i="2" s="1"/>
  <c r="G36" i="2" s="1"/>
  <c r="F15" i="57"/>
  <c r="F16" i="57" s="1"/>
  <c r="F33" i="65"/>
  <c r="F10" i="65" s="1"/>
  <c r="G18" i="53"/>
  <c r="D37" i="2"/>
  <c r="F49" i="2"/>
  <c r="F35" i="2"/>
  <c r="C16" i="57"/>
  <c r="C24" i="57"/>
  <c r="K25" i="66"/>
  <c r="K26" i="66" s="1"/>
  <c r="K27" i="66" s="1"/>
  <c r="H37" i="2"/>
  <c r="G30" i="2"/>
  <c r="G51" i="2"/>
  <c r="J25" i="66"/>
  <c r="J26" i="66" s="1"/>
  <c r="J27" i="66" s="1"/>
  <c r="F16" i="56"/>
  <c r="F24" i="56"/>
  <c r="L23" i="65"/>
  <c r="F21" i="2" s="1"/>
  <c r="F20" i="2"/>
  <c r="F52" i="2" s="1"/>
  <c r="G48" i="2"/>
  <c r="I10" i="2"/>
  <c r="I36" i="2" s="1"/>
  <c r="I25" i="66"/>
  <c r="I26" i="66" s="1"/>
  <c r="I27" i="66" s="1"/>
  <c r="E24" i="65"/>
  <c r="E16" i="65"/>
  <c r="L16" i="43"/>
  <c r="C13" i="2"/>
  <c r="L23" i="64"/>
  <c r="H21" i="2" s="1"/>
  <c r="H20" i="2"/>
  <c r="C20" i="2"/>
  <c r="L23" i="43"/>
  <c r="L24" i="43" s="1"/>
  <c r="H25" i="43"/>
  <c r="H26" i="43" s="1"/>
  <c r="H27" i="43" s="1"/>
  <c r="E49" i="2"/>
  <c r="H25" i="56"/>
  <c r="H26" i="56" s="1"/>
  <c r="H27" i="56" s="1"/>
  <c r="F25" i="43"/>
  <c r="F26" i="43" s="1"/>
  <c r="F27" i="43" s="1"/>
  <c r="L14" i="66"/>
  <c r="G12" i="2" s="1"/>
  <c r="E15" i="57"/>
  <c r="E32" i="57"/>
  <c r="E34" i="57" s="1"/>
  <c r="E40" i="57" s="1"/>
  <c r="E48" i="57" s="1"/>
  <c r="L9" i="57"/>
  <c r="E7" i="2" s="1"/>
  <c r="D16" i="56"/>
  <c r="D24" i="56"/>
  <c r="I11" i="2"/>
  <c r="L14" i="56"/>
  <c r="D12" i="2" s="1"/>
  <c r="L23" i="66"/>
  <c r="G21" i="2" s="1"/>
  <c r="G20" i="2"/>
  <c r="G52" i="2" s="1"/>
  <c r="C30" i="2"/>
  <c r="C32" i="2" s="1"/>
  <c r="C33" i="2" s="1"/>
  <c r="C51" i="2"/>
  <c r="L14" i="64"/>
  <c r="H12" i="2" s="1"/>
  <c r="D25" i="57"/>
  <c r="D26" i="57" s="1"/>
  <c r="D27" i="57" s="1"/>
  <c r="I16" i="64"/>
  <c r="I24" i="64"/>
  <c r="D35" i="2"/>
  <c r="I44" i="2"/>
  <c r="I25" i="57"/>
  <c r="I26" i="57" s="1"/>
  <c r="I27" i="57" s="1"/>
  <c r="L23" i="56"/>
  <c r="D21" i="2" s="1"/>
  <c r="D20" i="2"/>
  <c r="I25" i="65"/>
  <c r="I26" i="65" s="1"/>
  <c r="I27" i="65" s="1"/>
  <c r="H49" i="2"/>
  <c r="H35" i="2"/>
  <c r="I6" i="2"/>
  <c r="I9" i="2"/>
  <c r="C35" i="2"/>
  <c r="C49" i="2"/>
  <c r="I24" i="56"/>
  <c r="I16" i="56"/>
  <c r="C16" i="65"/>
  <c r="F48" i="2"/>
  <c r="F37" i="2"/>
  <c r="C32" i="56"/>
  <c r="C34" i="56" s="1"/>
  <c r="C40" i="56" s="1"/>
  <c r="C48" i="56" s="1"/>
  <c r="L9" i="56"/>
  <c r="D7" i="2" s="1"/>
  <c r="C15" i="56"/>
  <c r="C48" i="2"/>
  <c r="H32" i="64"/>
  <c r="L9" i="64"/>
  <c r="H7" i="2" s="1"/>
  <c r="E20" i="2"/>
  <c r="E52" i="2" s="1"/>
  <c r="L23" i="57"/>
  <c r="E21" i="2" s="1"/>
  <c r="F18" i="36"/>
  <c r="G18" i="36" s="1"/>
  <c r="H18" i="36" s="1"/>
  <c r="D25" i="43"/>
  <c r="D26" i="43" s="1"/>
  <c r="D27" i="43" s="1"/>
  <c r="E37" i="2"/>
  <c r="E48" i="2"/>
  <c r="I43" i="2"/>
  <c r="C50" i="2"/>
  <c r="G50" i="2"/>
  <c r="G49" i="2"/>
  <c r="I15" i="2"/>
  <c r="I42" i="2" s="1"/>
  <c r="F51" i="2"/>
  <c r="F30" i="2"/>
  <c r="F50" i="2"/>
  <c r="E25" i="56"/>
  <c r="E26" i="56" s="1"/>
  <c r="E27" i="56" s="1"/>
  <c r="C25" i="43"/>
  <c r="C26" i="43" s="1"/>
  <c r="C27" i="43" s="1"/>
  <c r="G16" i="56"/>
  <c r="G24" i="56"/>
  <c r="I24" i="36"/>
  <c r="I20" i="36"/>
  <c r="J20" i="36" s="1"/>
  <c r="K20" i="36" s="1"/>
  <c r="L20" i="36" s="1"/>
  <c r="C34" i="65" l="1"/>
  <c r="C40" i="65" s="1"/>
  <c r="C48" i="65" s="1"/>
  <c r="H24" i="57"/>
  <c r="H16" i="57"/>
  <c r="C33" i="66"/>
  <c r="D19" i="53"/>
  <c r="C33" i="64" s="1"/>
  <c r="H34" i="64"/>
  <c r="H40" i="64" s="1"/>
  <c r="H48" i="64" s="1"/>
  <c r="I19" i="53"/>
  <c r="H33" i="64" s="1"/>
  <c r="H10" i="64" s="1"/>
  <c r="H15" i="64" s="1"/>
  <c r="H33" i="66"/>
  <c r="D10" i="66"/>
  <c r="D15" i="66" s="1"/>
  <c r="D34" i="66"/>
  <c r="D40" i="66" s="1"/>
  <c r="D48" i="66" s="1"/>
  <c r="L10" i="57"/>
  <c r="E8" i="2" s="1"/>
  <c r="E31" i="2" s="1"/>
  <c r="G10" i="65"/>
  <c r="G15" i="65" s="1"/>
  <c r="G34" i="65"/>
  <c r="G40" i="65" s="1"/>
  <c r="G48" i="65" s="1"/>
  <c r="D10" i="64"/>
  <c r="D15" i="64" s="1"/>
  <c r="D34" i="64"/>
  <c r="D40" i="64" s="1"/>
  <c r="D48" i="64" s="1"/>
  <c r="L15" i="57"/>
  <c r="H10" i="65"/>
  <c r="H15" i="65" s="1"/>
  <c r="H34" i="65"/>
  <c r="H40" i="65" s="1"/>
  <c r="H48" i="65" s="1"/>
  <c r="E34" i="65"/>
  <c r="E40" i="65" s="1"/>
  <c r="E48" i="65" s="1"/>
  <c r="E33" i="66"/>
  <c r="F19" i="53"/>
  <c r="E33" i="64" s="1"/>
  <c r="H19" i="53"/>
  <c r="G33" i="64" s="1"/>
  <c r="G33" i="66"/>
  <c r="D24" i="65"/>
  <c r="D16" i="65"/>
  <c r="F24" i="57"/>
  <c r="F25" i="57" s="1"/>
  <c r="F26" i="57" s="1"/>
  <c r="F27" i="57" s="1"/>
  <c r="I12" i="2"/>
  <c r="F15" i="65"/>
  <c r="F34" i="65"/>
  <c r="F40" i="65" s="1"/>
  <c r="F48" i="65" s="1"/>
  <c r="G19" i="53"/>
  <c r="F33" i="64" s="1"/>
  <c r="F33" i="66"/>
  <c r="L25" i="43"/>
  <c r="L26" i="43" s="1"/>
  <c r="L27" i="43" s="1"/>
  <c r="I18" i="36"/>
  <c r="J18" i="36" s="1"/>
  <c r="K18" i="36" s="1"/>
  <c r="L18" i="36" s="1"/>
  <c r="E24" i="36"/>
  <c r="H16" i="64"/>
  <c r="H24" i="64"/>
  <c r="D30" i="2"/>
  <c r="D32" i="2" s="1"/>
  <c r="D33" i="2" s="1"/>
  <c r="D51" i="2"/>
  <c r="D50" i="2"/>
  <c r="C25" i="65"/>
  <c r="C26" i="65" s="1"/>
  <c r="C27" i="65" s="1"/>
  <c r="D49" i="2"/>
  <c r="D25" i="56"/>
  <c r="D26" i="56" s="1"/>
  <c r="D27" i="56" s="1"/>
  <c r="F25" i="56"/>
  <c r="F26" i="56" s="1"/>
  <c r="F27" i="56" s="1"/>
  <c r="L24" i="57"/>
  <c r="E13" i="2"/>
  <c r="E39" i="2" s="1"/>
  <c r="E40" i="2" s="1"/>
  <c r="L16" i="57"/>
  <c r="E14" i="2" s="1"/>
  <c r="H25" i="57"/>
  <c r="H26" i="57" s="1"/>
  <c r="H27" i="57" s="1"/>
  <c r="I25" i="56"/>
  <c r="I26" i="56" s="1"/>
  <c r="I27" i="56" s="1"/>
  <c r="I35" i="2"/>
  <c r="D52" i="2"/>
  <c r="I7" i="2"/>
  <c r="E24" i="57"/>
  <c r="E16" i="57"/>
  <c r="I20" i="2"/>
  <c r="I52" i="2" s="1"/>
  <c r="C21" i="2"/>
  <c r="C22" i="2" s="1"/>
  <c r="C52" i="2"/>
  <c r="C25" i="57"/>
  <c r="C26" i="57" s="1"/>
  <c r="C27" i="57" s="1"/>
  <c r="G25" i="56"/>
  <c r="G26" i="56" s="1"/>
  <c r="G27" i="56" s="1"/>
  <c r="H51" i="2"/>
  <c r="H30" i="2"/>
  <c r="H50" i="2"/>
  <c r="L15" i="56"/>
  <c r="C16" i="56"/>
  <c r="C24" i="56"/>
  <c r="I25" i="64"/>
  <c r="I26" i="64" s="1"/>
  <c r="I27" i="64" s="1"/>
  <c r="I37" i="2"/>
  <c r="E30" i="2"/>
  <c r="E32" i="2" s="1"/>
  <c r="E33" i="2" s="1"/>
  <c r="E51" i="2"/>
  <c r="E50" i="2"/>
  <c r="H52" i="2"/>
  <c r="C14" i="2"/>
  <c r="C39" i="2"/>
  <c r="E25" i="65"/>
  <c r="E26" i="65" s="1"/>
  <c r="E27" i="65" s="1"/>
  <c r="H48" i="2"/>
  <c r="D48" i="2"/>
  <c r="L10" i="65" l="1"/>
  <c r="F8" i="2" s="1"/>
  <c r="G10" i="64"/>
  <c r="G15" i="64" s="1"/>
  <c r="G34" i="64"/>
  <c r="G40" i="64" s="1"/>
  <c r="G48" i="64" s="1"/>
  <c r="C10" i="66"/>
  <c r="C15" i="66" s="1"/>
  <c r="C34" i="66"/>
  <c r="C40" i="66" s="1"/>
  <c r="C48" i="66" s="1"/>
  <c r="D25" i="65"/>
  <c r="D26" i="65" s="1"/>
  <c r="D27" i="65" s="1"/>
  <c r="E10" i="64"/>
  <c r="E15" i="64" s="1"/>
  <c r="E34" i="64"/>
  <c r="E40" i="64" s="1"/>
  <c r="E48" i="64" s="1"/>
  <c r="G16" i="65"/>
  <c r="G24" i="65"/>
  <c r="G25" i="65" s="1"/>
  <c r="G26" i="65" s="1"/>
  <c r="G27" i="65" s="1"/>
  <c r="D24" i="66"/>
  <c r="D25" i="66" s="1"/>
  <c r="D26" i="66" s="1"/>
  <c r="D27" i="66" s="1"/>
  <c r="D16" i="66"/>
  <c r="G10" i="66"/>
  <c r="G15" i="66" s="1"/>
  <c r="G34" i="66"/>
  <c r="G40" i="66" s="1"/>
  <c r="G48" i="66" s="1"/>
  <c r="E10" i="66"/>
  <c r="E15" i="66" s="1"/>
  <c r="E34" i="66"/>
  <c r="E40" i="66" s="1"/>
  <c r="E48" i="66" s="1"/>
  <c r="H24" i="65"/>
  <c r="H25" i="65" s="1"/>
  <c r="H26" i="65" s="1"/>
  <c r="H27" i="65" s="1"/>
  <c r="H16" i="65"/>
  <c r="D16" i="64"/>
  <c r="D24" i="64"/>
  <c r="D25" i="64" s="1"/>
  <c r="D26" i="64" s="1"/>
  <c r="D27" i="64" s="1"/>
  <c r="H10" i="66"/>
  <c r="H15" i="66" s="1"/>
  <c r="H34" i="66"/>
  <c r="H40" i="66" s="1"/>
  <c r="H48" i="66" s="1"/>
  <c r="C10" i="64"/>
  <c r="C15" i="64" s="1"/>
  <c r="C34" i="64"/>
  <c r="C40" i="64" s="1"/>
  <c r="C48" i="64" s="1"/>
  <c r="F10" i="64"/>
  <c r="F34" i="64"/>
  <c r="F40" i="64" s="1"/>
  <c r="F48" i="64" s="1"/>
  <c r="F31" i="2"/>
  <c r="F32" i="2" s="1"/>
  <c r="F33" i="2" s="1"/>
  <c r="F10" i="66"/>
  <c r="F34" i="66"/>
  <c r="F40" i="66" s="1"/>
  <c r="F48" i="66" s="1"/>
  <c r="L15" i="65"/>
  <c r="F16" i="65"/>
  <c r="F24" i="65"/>
  <c r="F25" i="65" s="1"/>
  <c r="F26" i="65" s="1"/>
  <c r="F27" i="65" s="1"/>
  <c r="L24" i="56"/>
  <c r="D13" i="2"/>
  <c r="D39" i="2" s="1"/>
  <c r="D40" i="2" s="1"/>
  <c r="L16" i="56"/>
  <c r="D14" i="2" s="1"/>
  <c r="I51" i="2"/>
  <c r="I30" i="2"/>
  <c r="I50" i="2"/>
  <c r="H25" i="64"/>
  <c r="H26" i="64" s="1"/>
  <c r="H27" i="64" s="1"/>
  <c r="C23" i="2"/>
  <c r="C24" i="2" s="1"/>
  <c r="C54" i="2"/>
  <c r="C25" i="56"/>
  <c r="C26" i="56" s="1"/>
  <c r="C27" i="56" s="1"/>
  <c r="E22" i="2"/>
  <c r="E54" i="2" s="1"/>
  <c r="L25" i="57"/>
  <c r="E23" i="2" s="1"/>
  <c r="I48" i="2"/>
  <c r="I21" i="2"/>
  <c r="C40" i="2"/>
  <c r="E25" i="57"/>
  <c r="E26" i="57" s="1"/>
  <c r="E27" i="57" s="1"/>
  <c r="I49" i="2"/>
  <c r="C16" i="64" l="1"/>
  <c r="C24" i="64"/>
  <c r="C25" i="64" s="1"/>
  <c r="C26" i="64" s="1"/>
  <c r="C27" i="64" s="1"/>
  <c r="G24" i="66"/>
  <c r="G25" i="66" s="1"/>
  <c r="G26" i="66" s="1"/>
  <c r="G27" i="66" s="1"/>
  <c r="G16" i="66"/>
  <c r="E24" i="64"/>
  <c r="E25" i="64" s="1"/>
  <c r="E26" i="64" s="1"/>
  <c r="E27" i="64" s="1"/>
  <c r="E16" i="64"/>
  <c r="G24" i="64"/>
  <c r="G25" i="64" s="1"/>
  <c r="G26" i="64" s="1"/>
  <c r="G27" i="64" s="1"/>
  <c r="G16" i="64"/>
  <c r="H16" i="66"/>
  <c r="H24" i="66"/>
  <c r="H25" i="66" s="1"/>
  <c r="H26" i="66" s="1"/>
  <c r="H27" i="66" s="1"/>
  <c r="E16" i="66"/>
  <c r="E24" i="66"/>
  <c r="E25" i="66" s="1"/>
  <c r="E26" i="66" s="1"/>
  <c r="E27" i="66" s="1"/>
  <c r="C16" i="66"/>
  <c r="C24" i="66"/>
  <c r="C25" i="66" s="1"/>
  <c r="C26" i="66" s="1"/>
  <c r="C27" i="66" s="1"/>
  <c r="L26" i="57"/>
  <c r="E24" i="2" s="1"/>
  <c r="L10" i="66"/>
  <c r="G8" i="2" s="1"/>
  <c r="F15" i="66"/>
  <c r="L16" i="65"/>
  <c r="F14" i="2" s="1"/>
  <c r="F13" i="2"/>
  <c r="F39" i="2" s="1"/>
  <c r="F40" i="2" s="1"/>
  <c r="L24" i="65"/>
  <c r="L10" i="64"/>
  <c r="H8" i="2" s="1"/>
  <c r="H31" i="2" s="1"/>
  <c r="H32" i="2" s="1"/>
  <c r="H33" i="2" s="1"/>
  <c r="F15" i="64"/>
  <c r="C53" i="2"/>
  <c r="C25" i="2"/>
  <c r="C60" i="2"/>
  <c r="C59" i="2" s="1"/>
  <c r="D22" i="2"/>
  <c r="D54" i="2" s="1"/>
  <c r="L25" i="56"/>
  <c r="D23" i="2" s="1"/>
  <c r="L27" i="57" l="1"/>
  <c r="E25" i="2" s="1"/>
  <c r="L26" i="56"/>
  <c r="D24" i="2" s="1"/>
  <c r="F24" i="64"/>
  <c r="F16" i="64"/>
  <c r="L15" i="64"/>
  <c r="F22" i="2"/>
  <c r="F54" i="2" s="1"/>
  <c r="L25" i="65"/>
  <c r="F23" i="2" s="1"/>
  <c r="F24" i="66"/>
  <c r="F16" i="66"/>
  <c r="L15" i="66"/>
  <c r="G31" i="2"/>
  <c r="G32" i="2" s="1"/>
  <c r="G33" i="2" s="1"/>
  <c r="I8" i="2"/>
  <c r="E53" i="2"/>
  <c r="E60" i="2"/>
  <c r="E59" i="2" s="1"/>
  <c r="L27" i="56" l="1"/>
  <c r="D25" i="2" s="1"/>
  <c r="L26" i="65"/>
  <c r="F24" i="2" s="1"/>
  <c r="I31" i="2"/>
  <c r="I32" i="2" s="1"/>
  <c r="I33" i="2" s="1"/>
  <c r="I13" i="2"/>
  <c r="F25" i="66"/>
  <c r="F26" i="66" s="1"/>
  <c r="F27" i="66" s="1"/>
  <c r="F25" i="64"/>
  <c r="F26" i="64" s="1"/>
  <c r="F27" i="64" s="1"/>
  <c r="G13" i="2"/>
  <c r="G39" i="2" s="1"/>
  <c r="G40" i="2" s="1"/>
  <c r="L16" i="66"/>
  <c r="G14" i="2" s="1"/>
  <c r="L24" i="66"/>
  <c r="H13" i="2"/>
  <c r="H39" i="2" s="1"/>
  <c r="H40" i="2" s="1"/>
  <c r="L24" i="64"/>
  <c r="L16" i="64"/>
  <c r="H14" i="2" s="1"/>
  <c r="D53" i="2"/>
  <c r="D60" i="2"/>
  <c r="D59" i="2" s="1"/>
  <c r="L27" i="65" l="1"/>
  <c r="F25" i="2" s="1"/>
  <c r="L25" i="66"/>
  <c r="G23" i="2" s="1"/>
  <c r="G22" i="2"/>
  <c r="G54" i="2" s="1"/>
  <c r="I39" i="2"/>
  <c r="I40" i="2" s="1"/>
  <c r="I22" i="2"/>
  <c r="I14" i="2"/>
  <c r="L25" i="64"/>
  <c r="H23" i="2" s="1"/>
  <c r="H22" i="2"/>
  <c r="H54" i="2" s="1"/>
  <c r="F60" i="2"/>
  <c r="F59" i="2" s="1"/>
  <c r="F53" i="2"/>
  <c r="L26" i="64" l="1"/>
  <c r="L26" i="66"/>
  <c r="I54" i="2"/>
  <c r="I23" i="2"/>
  <c r="I24" i="2" s="1"/>
  <c r="J24" i="2" s="1"/>
  <c r="I60" i="2" l="1"/>
  <c r="I59" i="2" s="1"/>
  <c r="I25" i="2"/>
  <c r="I53" i="2"/>
  <c r="L27" i="66"/>
  <c r="G25" i="2" s="1"/>
  <c r="G24" i="2"/>
  <c r="H24" i="2"/>
  <c r="L27" i="64"/>
  <c r="H25" i="2" s="1"/>
  <c r="H53" i="2" l="1"/>
  <c r="H60" i="2"/>
  <c r="H59" i="2" s="1"/>
  <c r="G53" i="2"/>
  <c r="G60" i="2"/>
  <c r="G59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<sst xmlns="http://schemas.openxmlformats.org/spreadsheetml/2006/main" count="1659" uniqueCount="309">
  <si>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</si>
  <si>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</si>
  <si>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</si>
  <si>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</si>
  <si>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</si>
  <si>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</si>
  <si>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</si>
  <si>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</si>
  <si>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</si>
  <si>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</si>
  <si>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</si>
  <si>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</si>
  <si>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</si>
  <si>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</si>
  <si>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</si>
  <si>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</si>
  <si>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</si>
  <si>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</si>
  <si>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</si>
  <si>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</si>
  <si>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</si>
  <si>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</si>
  <si>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</si>
  <si>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</si>
  <si>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</si>
  <si>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</si>
  <si>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</si>
  <si>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</si>
  <si>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</si>
  <si>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</si>
  <si>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</si>
  <si>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</si>
  <si>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</si>
  <si>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</si>
  <si>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</si>
  <si>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</si>
  <si>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</si>
  <si>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</si>
  <si>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</si>
  <si>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</si>
  <si>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</si>
  <si>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</si>
  <si>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</si>
  <si>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</si>
  <si>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</si>
  <si>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</si>
  <si>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</si>
  <si>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</si>
  <si>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</si>
  <si>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</si>
  <si>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</si>
  <si>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</si>
  <si>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</si>
  <si>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</si>
  <si>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</si>
  <si>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</si>
  <si>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</si>
  <si>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</si>
  <si>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</si>
  <si>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</si>
  <si>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</si>
  <si>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</si>
  <si>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</si>
  <si>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</si>
  <si>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</si>
  <si>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</si>
  <si>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</si>
  <si>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</si>
  <si>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</si>
  <si>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</si>
  <si>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</si>
  <si>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</si>
  <si>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</si>
  <si>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</si>
  <si>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</si>
  <si>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</si>
  <si>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</si>
  <si>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</si>
  <si>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</si>
  <si>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</si>
  <si>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</si>
  <si>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</si>
  <si>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</si>
  <si>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</si>
  <si>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</si>
  <si>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</si>
  <si>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</si>
  <si>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</si>
  <si>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</si>
  <si>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</si>
  <si>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</si>
  <si>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</si>
  <si>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</si>
  <si>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</si>
  <si>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</si>
  <si>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</si>
  <si>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</si>
  <si>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</si>
  <si>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</si>
  <si>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</si>
  <si>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</si>
  <si>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</si>
  <si>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</si>
  <si>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</si>
  <si>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</si>
  <si>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</si>
  <si>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</si>
  <si>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</si>
  <si>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</si>
  <si>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</si>
  <si>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</si>
  <si>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</si>
  <si>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</si>
  <si>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</si>
  <si>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</si>
  <si>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</si>
  <si>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</si>
  <si>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</si>
  <si>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</si>
  <si>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</si>
  <si>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</si>
  <si>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</si>
  <si>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</si>
  <si>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</si>
  <si>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</si>
  <si>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</si>
  <si>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</si>
  <si>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</si>
  <si>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</si>
  <si>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</si>
  <si>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</si>
  <si>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</si>
  <si>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</si>
  <si>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</si>
  <si>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</si>
  <si>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</si>
  <si>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</si>
  <si>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</si>
  <si>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</si>
  <si>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</si>
  <si>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</si>
  <si>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</si>
  <si>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</si>
  <si>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</si>
  <si>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</si>
  <si>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</si>
  <si>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</si>
  <si>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</si>
  <si>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</si>
  <si>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</si>
  <si>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</si>
  <si>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</si>
  <si>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</si>
  <si>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</si>
  <si>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</si>
  <si>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</si>
  <si>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</si>
  <si>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</si>
  <si>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</si>
  <si>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</si>
  <si>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</si>
  <si>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</si>
  <si>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</si>
  <si>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</si>
  <si>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</si>
  <si>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</si>
  <si>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</si>
  <si>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</si>
  <si>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</si>
  <si>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</si>
  <si>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</si>
  <si>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</si>
  <si>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</si>
  <si>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</si>
  <si>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</si>
  <si>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</si>
  <si>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</si>
  <si>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</si>
  <si>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</si>
  <si>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</si>
  <si>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</si>
  <si>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</si>
  <si>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</si>
  <si>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</si>
  <si>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</si>
  <si>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</si>
  <si>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</si>
  <si>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</si>
  <si>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</si>
  <si>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</si>
  <si>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</si>
  <si>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</si>
  <si>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</si>
  <si>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</si>
  <si>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</si>
  <si>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</si>
  <si>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</si>
  <si>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</si>
  <si>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</si>
  <si>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</si>
  <si>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</si>
  <si>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</si>
  <si>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</si>
  <si>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</si>
  <si>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</si>
  <si>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</si>
  <si>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</si>
  <si>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</si>
  <si>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</si>
  <si>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</si>
  <si>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</si>
  <si>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</si>
  <si>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</si>
  <si>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</si>
  <si>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</si>
  <si>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</si>
  <si>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</si>
  <si>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</si>
  <si>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</si>
  <si>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</si>
  <si>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</si>
  <si>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</si>
  <si>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</si>
  <si>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</si>
  <si>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</si>
  <si>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</si>
  <si>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</si>
  <si>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</si>
  <si>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2026年</t>
  </si>
  <si>
    <t>成都王牌</t>
    <phoneticPr fontId="37" type="noConversion"/>
  </si>
  <si>
    <t>成都王牌</t>
    <phoneticPr fontId="37" type="noConversion"/>
  </si>
  <si>
    <t>ZY2238</t>
    <phoneticPr fontId="37" type="noConversion"/>
  </si>
  <si>
    <t>所得税(税率25%）</t>
    <phoneticPr fontId="37" type="noConversion"/>
  </si>
  <si>
    <t>变动费用参考西安工厂2021年实际及集团整体2022预算暂估。</t>
    <phoneticPr fontId="37" type="noConversion"/>
  </si>
  <si>
    <t>财务费用按集团整体预算。</t>
    <phoneticPr fontId="37" type="noConversion"/>
  </si>
  <si>
    <t>单位：未税、元</t>
    <phoneticPr fontId="37" type="noConversion"/>
  </si>
  <si>
    <t xml:space="preserve">投资收益分析     </t>
    <phoneticPr fontId="37" type="noConversion"/>
  </si>
  <si>
    <t>成都王牌V5J座椅项目</t>
    <phoneticPr fontId="37" type="noConversion"/>
  </si>
  <si>
    <t xml:space="preserve">成都王牌V5J座椅项目研发费用预算表 </t>
    <phoneticPr fontId="37" type="noConversion"/>
  </si>
  <si>
    <t>主驾座椅下框焊接总成（新开 成都外购）
副驾驶座椅底座焊接总成（新开 成都外购）</t>
  </si>
  <si>
    <t>项目期间按5次出差计算，单次1000</t>
  </si>
  <si>
    <t>项目期间按5次邮寄费用，单次500</t>
  </si>
  <si>
    <t>项目期间按3次专车计算，单次1000</t>
  </si>
  <si>
    <t>项目期间按花费30天计算，单价1600</t>
  </si>
  <si>
    <t>项目期间预计6套，单价4400</t>
  </si>
  <si>
    <t>强检、3C、扩项</t>
  </si>
  <si>
    <t>项目期间按5次计算，单价500</t>
  </si>
  <si>
    <t>2023年</t>
    <phoneticPr fontId="37" type="noConversion"/>
  </si>
  <si>
    <t>2027年</t>
  </si>
  <si>
    <t>2028年</t>
  </si>
  <si>
    <t>正司机</t>
  </si>
  <si>
    <t>副司机</t>
  </si>
  <si>
    <t>气囊减震、气动高调、三点式安全带</t>
  </si>
  <si>
    <t>同上+阻尼可调、腰部支撑、速降、右侧单扶手）</t>
  </si>
  <si>
    <t>三点式安全带、翻转坐垫（气撑杆）</t>
  </si>
  <si>
    <t>成都工厂</t>
  </si>
  <si>
    <t>重庆江北</t>
  </si>
  <si>
    <t>送货地点</t>
  </si>
  <si>
    <t>现汇或承兑的比例</t>
  </si>
  <si>
    <t xml:space="preserve">无 </t>
  </si>
  <si>
    <t>暂无</t>
  </si>
  <si>
    <t>包含所有的主、辅料</t>
  </si>
  <si>
    <t>开发费分摊情况</t>
  </si>
  <si>
    <t>无</t>
  </si>
  <si>
    <t>产品应用场景</t>
  </si>
  <si>
    <t>牵引车/载货车/自卸车/专用车</t>
  </si>
  <si>
    <t>三包周期</t>
  </si>
  <si>
    <t>18个月</t>
  </si>
  <si>
    <t xml:space="preserve">  6年</t>
    <phoneticPr fontId="37" type="noConversion"/>
  </si>
  <si>
    <t>工艺BOM</t>
    <phoneticPr fontId="37" type="noConversion"/>
  </si>
  <si>
    <t>底支架自制与预计差价</t>
    <phoneticPr fontId="37" type="noConversion"/>
  </si>
  <si>
    <t>供应商年降：   6  年0%</t>
    <phoneticPr fontId="37" type="noConversion"/>
  </si>
  <si>
    <t>不含无忧扶手</t>
    <phoneticPr fontId="37" type="noConversion"/>
  </si>
  <si>
    <t>EZ16B251000008</t>
  </si>
  <si>
    <t>SHT0016356</t>
  </si>
  <si>
    <t>EZ160051000001</t>
  </si>
  <si>
    <t>EZ160051000002</t>
  </si>
  <si>
    <t>EZ160051000003</t>
  </si>
  <si>
    <t>SHT0016349</t>
  </si>
  <si>
    <t>SHT0016350</t>
  </si>
  <si>
    <t>SHT0016351</t>
  </si>
  <si>
    <t>原材料成本</t>
    <phoneticPr fontId="37" type="noConversion"/>
  </si>
  <si>
    <t>附加值</t>
    <phoneticPr fontId="37" type="noConversion"/>
  </si>
  <si>
    <t>附加值率</t>
    <phoneticPr fontId="37" type="noConversion"/>
  </si>
  <si>
    <t>不含模摊</t>
    <phoneticPr fontId="37" type="noConversion"/>
  </si>
  <si>
    <t xml:space="preserve">2028年  </t>
    <phoneticPr fontId="37" type="noConversion"/>
  </si>
  <si>
    <t xml:space="preserve">2027年  </t>
    <phoneticPr fontId="37" type="noConversion"/>
  </si>
  <si>
    <t xml:space="preserve">2026年  </t>
    <phoneticPr fontId="37" type="noConversion"/>
  </si>
  <si>
    <t xml:space="preserve">2025年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</si>
  <si>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</si>
  <si>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</si>
  <si>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</si>
  <si>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</si>
  <si>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</si>
  <si>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</si>
  <si>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</si>
  <si>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</si>
  <si>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t>变动合计</t>
    <phoneticPr fontId="37" type="noConversion"/>
  </si>
  <si>
    <t>小计</t>
    <phoneticPr fontId="37" type="noConversion"/>
  </si>
  <si>
    <t>EZ160051000004</t>
  </si>
  <si>
    <t>EZ160051000005</t>
  </si>
  <si>
    <t>同上+阻尼可调、腰部支撑、速降、右侧单扶手、通风）</t>
  </si>
  <si>
    <t>气囊减震、气动高调、三点式安全带+无忧换挡扶手</t>
  </si>
  <si>
    <t>同上+阻尼可调、腰部支撑、速降、+无忧换挡扶手单扶手）</t>
  </si>
  <si>
    <t>同上+阻尼可调、腰部支撑、速降、+无忧换挡扶手、通风）</t>
  </si>
  <si>
    <t>QAD号</t>
    <phoneticPr fontId="37" type="noConversion"/>
  </si>
  <si>
    <t>SHT0016352</t>
  </si>
  <si>
    <t>SHT0016353</t>
  </si>
  <si>
    <t>SHT0016354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</si>
</sst>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name val="新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43" fontId="4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43" fontId="16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9" borderId="1" xfId="0" applyFont="1" applyFill="1" applyBorder="1" applyAlignment="1">
      <alignment vertical="center" wrapText="1"/>
    </xf>
    <xf numFmtId="0" fontId="40" fillId="0" borderId="1" xfId="0" applyFont="1" applyBorder="1">
      <alignment vertical="center"/>
    </xf>
    <xf numFmtId="43" fontId="17" fillId="0" borderId="6" xfId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43" fillId="0" borderId="16" xfId="0" applyFont="1" applyFill="1" applyBorder="1" applyAlignment="1">
      <alignment horizontal="center" vertical="center" wrapText="1" readingOrder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0" xfId="0" applyFont="1">
      <alignment vertical="center"/>
    </xf>
    <xf numFmtId="0" fontId="47" fillId="0" borderId="1" xfId="0" applyFont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43" fontId="0" fillId="0" borderId="0" xfId="0" applyNumberForma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180" fontId="2" fillId="0" borderId="0" xfId="3" applyNumberFormat="1" applyFont="1">
      <alignment vertical="center"/>
    </xf>
    <xf numFmtId="0" fontId="26" fillId="10" borderId="1" xfId="0" applyFont="1" applyFill="1" applyBorder="1" applyAlignment="1">
      <alignment horizontal="center" vertical="center" wrapText="1"/>
    </xf>
    <xf numFmtId="43" fontId="2" fillId="0" borderId="1" xfId="3" applyNumberFormat="1" applyFont="1" applyBorder="1">
      <alignment vertical="center"/>
    </xf>
    <xf numFmtId="43" fontId="2" fillId="0" borderId="1" xfId="0" applyNumberFormat="1" applyFont="1" applyBorder="1">
      <alignment vertical="center"/>
    </xf>
    <xf numFmtId="180" fontId="2" fillId="0" borderId="1" xfId="3" applyNumberFormat="1" applyFont="1" applyBorder="1">
      <alignment vertical="center"/>
    </xf>
    <xf numFmtId="0" fontId="2" fillId="7" borderId="1" xfId="0" applyFont="1" applyFill="1" applyBorder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10" fontId="0" fillId="7" borderId="0" xfId="3" applyNumberFormat="1" applyFont="1" applyFill="1" applyAlignment="1">
      <alignment horizontal="center" vertical="center"/>
    </xf>
    <xf numFmtId="0" fontId="26" fillId="7" borderId="0" xfId="0" applyFont="1" applyFill="1">
      <alignment vertical="center"/>
    </xf>
    <xf numFmtId="0" fontId="16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45" fillId="0" borderId="0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78" fontId="4" fillId="0" borderId="1" xfId="0" applyNumberFormat="1" applyFont="1" applyFill="1" applyBorder="1" applyAlignment="1">
      <alignment horizontal="center" vertical="center" wrapText="1" readingOrder="1"/>
    </xf>
    <xf numFmtId="180" fontId="16" fillId="0" borderId="0" xfId="3" applyNumberFormat="1" applyFont="1" applyFill="1">
      <alignment vertical="center"/>
    </xf>
    <xf numFmtId="10" fontId="1" fillId="0" borderId="0" xfId="3" applyNumberFormat="1" applyFont="1" applyFill="1">
      <alignment vertical="center"/>
    </xf>
    <xf numFmtId="10" fontId="26" fillId="0" borderId="1" xfId="3" applyNumberFormat="1" applyFont="1" applyFill="1" applyBorder="1" applyAlignment="1">
      <alignment horizontal="center" vertical="center" wrapText="1"/>
    </xf>
    <xf numFmtId="10" fontId="0" fillId="0" borderId="0" xfId="3" applyNumberFormat="1" applyFont="1" applyFill="1">
      <alignment vertical="center"/>
    </xf>
    <xf numFmtId="43" fontId="4" fillId="0" borderId="1" xfId="1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E2" sqref="E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9" customFormat="1" ht="35.25" customHeight="1">
      <c r="A2" s="140" t="s">
        <v>0</v>
      </c>
      <c r="B2" s="140" t="s">
        <v>1</v>
      </c>
      <c r="C2" s="140" t="s">
        <v>2</v>
      </c>
      <c r="D2" s="141"/>
    </row>
    <row r="3" spans="1:4" s="139" customFormat="1" ht="33.75" customHeight="1">
      <c r="A3" s="142">
        <v>1</v>
      </c>
      <c r="B3" s="142" t="s">
        <v>3</v>
      </c>
      <c r="C3" s="143" t="s">
        <v>4</v>
      </c>
      <c r="D3" s="141"/>
    </row>
    <row r="4" spans="1:4" s="139" customFormat="1" ht="33.75" customHeight="1">
      <c r="A4" s="142">
        <v>2</v>
      </c>
      <c r="B4" s="142" t="s">
        <v>5</v>
      </c>
      <c r="C4" s="143" t="s">
        <v>6</v>
      </c>
    </row>
    <row r="5" spans="1:4" s="139" customFormat="1" ht="33.75" customHeight="1">
      <c r="A5" s="142">
        <v>3</v>
      </c>
      <c r="B5" s="227" t="s">
        <v>7</v>
      </c>
      <c r="C5" s="144" t="s">
        <v>8</v>
      </c>
    </row>
    <row r="6" spans="1:4" s="139" customFormat="1" ht="33.75" customHeight="1">
      <c r="A6" s="142">
        <v>4</v>
      </c>
      <c r="B6" s="228"/>
      <c r="C6" s="143" t="s">
        <v>9</v>
      </c>
    </row>
    <row r="7" spans="1:4" s="139" customFormat="1" ht="33.75" customHeight="1">
      <c r="A7" s="142">
        <v>5</v>
      </c>
      <c r="B7" s="145" t="s">
        <v>10</v>
      </c>
      <c r="C7" s="143" t="s">
        <v>233</v>
      </c>
    </row>
    <row r="8" spans="1:4" s="139" customFormat="1" ht="33.75" customHeight="1">
      <c r="A8" s="142">
        <v>6</v>
      </c>
      <c r="B8" s="227" t="s">
        <v>11</v>
      </c>
      <c r="C8" s="143" t="s">
        <v>12</v>
      </c>
    </row>
    <row r="9" spans="1:4" s="139" customFormat="1" ht="33.75" customHeight="1">
      <c r="A9" s="142">
        <v>7</v>
      </c>
      <c r="B9" s="228"/>
      <c r="C9" s="143" t="s">
        <v>13</v>
      </c>
    </row>
    <row r="10" spans="1:4" s="139" customFormat="1" ht="33.75" customHeight="1">
      <c r="A10" s="142">
        <v>8</v>
      </c>
      <c r="B10" s="228"/>
      <c r="C10" s="144" t="s">
        <v>234</v>
      </c>
    </row>
    <row r="11" spans="1:4" s="139" customFormat="1" ht="33.75" customHeight="1">
      <c r="A11" s="142">
        <v>9</v>
      </c>
      <c r="B11" s="228"/>
      <c r="C11" s="143" t="s">
        <v>14</v>
      </c>
    </row>
    <row r="12" spans="1:4" s="139" customFormat="1" ht="33.75" customHeight="1">
      <c r="A12" s="142">
        <v>10</v>
      </c>
      <c r="B12" s="145" t="s">
        <v>15</v>
      </c>
      <c r="C12" s="143" t="s">
        <v>16</v>
      </c>
    </row>
    <row r="13" spans="1:4" ht="33.75" customHeight="1"/>
    <row r="14" spans="1:4" ht="33.75" customHeight="1"/>
    <row r="15" spans="1:4" ht="33.75" customHeight="1">
      <c r="C15" s="146"/>
    </row>
  </sheetData>
  <mergeCells count="2">
    <mergeCell ref="B5:B6"/>
    <mergeCell ref="B8:B1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xSplit="6" ySplit="2" topLeftCell="G18" activePane="bottomRight" state="frozen"/>
      <selection pane="topRight"/>
      <selection pane="bottomLeft"/>
      <selection pane="bottomRight" activeCell="E35" sqref="E35"/>
    </sheetView>
  </sheetViews>
  <sheetFormatPr defaultColWidth="9" defaultRowHeight="13.5"/>
  <cols>
    <col min="1" max="1" width="20.625" customWidth="1"/>
    <col min="2" max="2" width="14.25" style="26" customWidth="1"/>
    <col min="3" max="3" width="13.125" customWidth="1"/>
    <col min="4" max="6" width="14.5" customWidth="1"/>
    <col min="7" max="7" width="14.75" customWidth="1"/>
    <col min="8" max="8" width="18.75" customWidth="1"/>
    <col min="9" max="9" width="12.5" customWidth="1"/>
    <col min="10" max="10" width="14.125" customWidth="1"/>
    <col min="11" max="11" width="11.25" customWidth="1"/>
  </cols>
  <sheetData>
    <row r="1" spans="1:9" ht="20.25">
      <c r="A1" s="242" t="s">
        <v>150</v>
      </c>
      <c r="B1" s="242"/>
      <c r="C1" s="242"/>
      <c r="E1" s="243" t="s">
        <v>238</v>
      </c>
      <c r="F1" s="244"/>
      <c r="G1" s="244"/>
      <c r="H1" s="245"/>
    </row>
    <row r="2" spans="1:9" ht="23.45" customHeight="1">
      <c r="A2" s="27" t="s">
        <v>1</v>
      </c>
      <c r="B2" s="28" t="s">
        <v>151</v>
      </c>
      <c r="C2" s="29" t="s">
        <v>152</v>
      </c>
      <c r="E2" s="1" t="s">
        <v>153</v>
      </c>
      <c r="F2" s="1" t="s">
        <v>1</v>
      </c>
      <c r="G2" s="30" t="s">
        <v>154</v>
      </c>
      <c r="H2" s="1" t="s">
        <v>152</v>
      </c>
    </row>
    <row r="3" spans="1:9" ht="15.75" customHeight="1">
      <c r="A3" s="31" t="s">
        <v>155</v>
      </c>
      <c r="B3" s="32"/>
      <c r="C3" s="33"/>
      <c r="E3" s="250" t="s">
        <v>156</v>
      </c>
      <c r="F3" s="2" t="s">
        <v>157</v>
      </c>
      <c r="G3" s="34"/>
      <c r="H3" s="2"/>
    </row>
    <row r="4" spans="1:9" ht="15.75" customHeight="1">
      <c r="A4" s="31" t="s">
        <v>158</v>
      </c>
      <c r="B4" s="32"/>
      <c r="C4" s="35"/>
      <c r="E4" s="251"/>
      <c r="F4" s="2" t="s">
        <v>159</v>
      </c>
      <c r="G4" s="34"/>
      <c r="H4" s="2"/>
    </row>
    <row r="5" spans="1:9" ht="15.75" customHeight="1">
      <c r="A5" s="31" t="s">
        <v>160</v>
      </c>
      <c r="B5" s="36">
        <f>SUM(G3:G4)</f>
        <v>0</v>
      </c>
      <c r="C5" s="33"/>
      <c r="E5" s="252" t="s">
        <v>161</v>
      </c>
      <c r="F5" s="37" t="s">
        <v>162</v>
      </c>
      <c r="G5" s="171"/>
      <c r="H5" s="180"/>
    </row>
    <row r="6" spans="1:9" ht="37.5" customHeight="1">
      <c r="A6" s="31" t="s">
        <v>163</v>
      </c>
      <c r="B6" s="32"/>
      <c r="C6" s="33"/>
      <c r="E6" s="253"/>
      <c r="F6" s="37" t="s">
        <v>164</v>
      </c>
      <c r="G6" s="171">
        <v>26.15</v>
      </c>
      <c r="H6" s="202" t="s">
        <v>239</v>
      </c>
      <c r="I6" s="204"/>
    </row>
    <row r="7" spans="1:9" ht="15.75" customHeight="1">
      <c r="A7" s="38" t="s">
        <v>165</v>
      </c>
      <c r="B7" s="36">
        <f>SUM(B3:B6)</f>
        <v>0</v>
      </c>
      <c r="C7" s="33"/>
      <c r="E7" s="253"/>
      <c r="F7" s="37" t="s">
        <v>166</v>
      </c>
      <c r="G7" s="171">
        <v>0</v>
      </c>
      <c r="H7" s="202"/>
      <c r="I7" s="204"/>
    </row>
    <row r="8" spans="1:9" ht="15.75" customHeight="1">
      <c r="A8" s="39" t="s">
        <v>167</v>
      </c>
      <c r="B8" s="36">
        <f>SUM(G5:G12)</f>
        <v>26.15</v>
      </c>
      <c r="C8" s="40"/>
      <c r="E8" s="253"/>
      <c r="F8" s="37" t="s">
        <v>168</v>
      </c>
      <c r="G8" s="171">
        <v>0</v>
      </c>
      <c r="H8" s="202"/>
      <c r="I8" s="204"/>
    </row>
    <row r="9" spans="1:9" ht="15.75" customHeight="1">
      <c r="A9" s="31" t="s">
        <v>169</v>
      </c>
      <c r="B9" s="36">
        <f>SUM(G13:G21)</f>
        <v>15.940000000000001</v>
      </c>
      <c r="C9" s="33"/>
      <c r="E9" s="253"/>
      <c r="F9" s="2" t="s">
        <v>170</v>
      </c>
      <c r="G9" s="171">
        <v>0</v>
      </c>
      <c r="H9" s="202"/>
      <c r="I9" s="204"/>
    </row>
    <row r="10" spans="1:9" ht="15.75" customHeight="1">
      <c r="A10" s="35" t="s">
        <v>18</v>
      </c>
      <c r="B10" s="36">
        <f>B7+B8+B9</f>
        <v>42.09</v>
      </c>
      <c r="C10" s="33"/>
      <c r="E10" s="253"/>
      <c r="F10" s="2" t="s">
        <v>171</v>
      </c>
      <c r="G10" s="171">
        <v>0</v>
      </c>
      <c r="H10" s="202"/>
      <c r="I10" s="204"/>
    </row>
    <row r="11" spans="1:9" ht="15.75" customHeight="1">
      <c r="E11" s="253"/>
      <c r="F11" s="2" t="s">
        <v>172</v>
      </c>
      <c r="G11" s="171">
        <v>0</v>
      </c>
      <c r="H11" s="202"/>
      <c r="I11" s="204"/>
    </row>
    <row r="12" spans="1:9" ht="15.75" customHeight="1">
      <c r="E12" s="254"/>
      <c r="F12" s="2" t="s">
        <v>173</v>
      </c>
      <c r="G12" s="171">
        <v>0</v>
      </c>
      <c r="H12" s="202"/>
      <c r="I12" s="204"/>
    </row>
    <row r="13" spans="1:9" ht="15.75" customHeight="1">
      <c r="E13" s="250" t="s">
        <v>50</v>
      </c>
      <c r="F13" s="2" t="s">
        <v>174</v>
      </c>
      <c r="G13" s="171">
        <v>0</v>
      </c>
      <c r="H13" s="202"/>
      <c r="I13" s="204"/>
    </row>
    <row r="14" spans="1:9" ht="23.25" customHeight="1">
      <c r="E14" s="251"/>
      <c r="F14" s="2" t="s">
        <v>175</v>
      </c>
      <c r="G14" s="171">
        <v>0.5</v>
      </c>
      <c r="H14" s="202" t="s">
        <v>240</v>
      </c>
      <c r="I14" s="204"/>
    </row>
    <row r="15" spans="1:9" ht="23.25" customHeight="1">
      <c r="E15" s="251"/>
      <c r="F15" s="2" t="s">
        <v>176</v>
      </c>
      <c r="G15" s="171">
        <v>0.25</v>
      </c>
      <c r="H15" s="202" t="s">
        <v>241</v>
      </c>
      <c r="I15" s="204"/>
    </row>
    <row r="16" spans="1:9" ht="23.25" customHeight="1">
      <c r="E16" s="251"/>
      <c r="F16" s="2" t="s">
        <v>177</v>
      </c>
      <c r="G16" s="171">
        <v>0.3</v>
      </c>
      <c r="H16" s="202" t="s">
        <v>242</v>
      </c>
      <c r="I16" s="204"/>
    </row>
    <row r="17" spans="1:11" ht="23.25" customHeight="1">
      <c r="E17" s="251"/>
      <c r="F17" s="2" t="s">
        <v>178</v>
      </c>
      <c r="G17" s="171">
        <v>4.8</v>
      </c>
      <c r="H17" s="202" t="s">
        <v>243</v>
      </c>
      <c r="I17" s="204"/>
    </row>
    <row r="18" spans="1:11" ht="23.25" customHeight="1">
      <c r="E18" s="251"/>
      <c r="F18" s="2" t="s">
        <v>179</v>
      </c>
      <c r="G18" s="171">
        <v>2.64</v>
      </c>
      <c r="H18" s="202" t="s">
        <v>244</v>
      </c>
      <c r="I18" s="204"/>
    </row>
    <row r="19" spans="1:11" ht="15.75" customHeight="1">
      <c r="E19" s="251"/>
      <c r="F19" s="2" t="s">
        <v>180</v>
      </c>
      <c r="G19" s="171">
        <v>7.2</v>
      </c>
      <c r="H19" s="203" t="s">
        <v>245</v>
      </c>
      <c r="I19" s="204"/>
    </row>
    <row r="20" spans="1:11" ht="21.75" customHeight="1">
      <c r="E20" s="251"/>
      <c r="F20" s="2" t="s">
        <v>181</v>
      </c>
      <c r="G20" s="171">
        <v>0.25</v>
      </c>
      <c r="H20" s="202" t="s">
        <v>246</v>
      </c>
      <c r="I20" s="204"/>
    </row>
    <row r="21" spans="1:11" ht="15.75" customHeight="1">
      <c r="E21" s="255"/>
      <c r="F21" s="2" t="s">
        <v>128</v>
      </c>
      <c r="G21" s="171">
        <v>0</v>
      </c>
      <c r="H21" s="181"/>
      <c r="I21" s="204"/>
    </row>
    <row r="22" spans="1:11" ht="15.75" customHeight="1">
      <c r="E22" s="1" t="s">
        <v>18</v>
      </c>
      <c r="F22" s="2"/>
      <c r="G22" s="30">
        <f>SUM(G3:G21)</f>
        <v>42.09</v>
      </c>
      <c r="H22" s="2"/>
    </row>
    <row r="23" spans="1:11" ht="19.5" customHeight="1">
      <c r="E23" s="246" t="s">
        <v>182</v>
      </c>
      <c r="F23" s="246"/>
      <c r="G23" s="246"/>
      <c r="H23" s="246"/>
    </row>
    <row r="25" spans="1:11" ht="18.75" customHeight="1">
      <c r="A25" s="19" t="s">
        <v>1</v>
      </c>
      <c r="B25" s="19" t="s">
        <v>151</v>
      </c>
      <c r="C25" s="19" t="s">
        <v>183</v>
      </c>
      <c r="D25" s="172" t="s">
        <v>247</v>
      </c>
      <c r="E25" s="194" t="s">
        <v>184</v>
      </c>
      <c r="F25" s="194" t="s">
        <v>185</v>
      </c>
      <c r="G25" s="194" t="s">
        <v>228</v>
      </c>
      <c r="H25" s="194" t="s">
        <v>248</v>
      </c>
      <c r="I25" s="194" t="s">
        <v>249</v>
      </c>
      <c r="J25" s="21" t="s">
        <v>18</v>
      </c>
      <c r="K25" s="44" t="s">
        <v>186</v>
      </c>
    </row>
    <row r="26" spans="1:11" ht="16.5">
      <c r="A26" s="41" t="s">
        <v>146</v>
      </c>
      <c r="B26" s="42">
        <f>(B5+B8)*10000</f>
        <v>261500</v>
      </c>
      <c r="C26" s="43">
        <v>0.05</v>
      </c>
      <c r="D26" s="13">
        <f>B26*(1-C26)/6</f>
        <v>41404.166666666664</v>
      </c>
      <c r="E26" s="13">
        <f t="shared" ref="E26:F27" si="0">D26</f>
        <v>41404.166666666664</v>
      </c>
      <c r="F26" s="13">
        <f t="shared" si="0"/>
        <v>41404.166666666664</v>
      </c>
      <c r="G26" s="13">
        <f t="shared" ref="G26:G27" si="1">F26</f>
        <v>41404.166666666664</v>
      </c>
      <c r="H26" s="13">
        <f t="shared" ref="H26:H27" si="2">G26</f>
        <v>41404.166666666664</v>
      </c>
      <c r="I26" s="13">
        <f t="shared" ref="I26:I27" si="3">H26</f>
        <v>41404.166666666664</v>
      </c>
      <c r="J26" s="13">
        <f>SUM(D26:I26)</f>
        <v>248424.99999999997</v>
      </c>
      <c r="K26" s="13">
        <f>B26*0.05</f>
        <v>13075</v>
      </c>
    </row>
    <row r="27" spans="1:11" ht="16.5">
      <c r="A27" s="41" t="s">
        <v>187</v>
      </c>
      <c r="B27" s="42">
        <f>B9*10000</f>
        <v>159400</v>
      </c>
      <c r="C27" s="13"/>
      <c r="D27" s="13">
        <f>B27/6</f>
        <v>26566.666666666668</v>
      </c>
      <c r="E27" s="13">
        <f t="shared" si="0"/>
        <v>26566.666666666668</v>
      </c>
      <c r="F27" s="13">
        <f t="shared" si="0"/>
        <v>26566.666666666668</v>
      </c>
      <c r="G27" s="13">
        <f t="shared" si="1"/>
        <v>26566.666666666668</v>
      </c>
      <c r="H27" s="13">
        <f t="shared" si="2"/>
        <v>26566.666666666668</v>
      </c>
      <c r="I27" s="13">
        <f t="shared" si="3"/>
        <v>26566.666666666668</v>
      </c>
      <c r="J27" s="13">
        <f>SUM(D27:I27)</f>
        <v>159400</v>
      </c>
      <c r="K27" s="13"/>
    </row>
    <row r="28" spans="1:11" ht="16.5">
      <c r="A28" s="247" t="s">
        <v>298</v>
      </c>
      <c r="B28" s="248"/>
      <c r="C28" s="249"/>
      <c r="D28" s="13">
        <f>SUM(D26:D27)</f>
        <v>67970.833333333328</v>
      </c>
      <c r="E28" s="13">
        <f t="shared" ref="E28:I28" si="4">SUM(E26:E27)</f>
        <v>67970.833333333328</v>
      </c>
      <c r="F28" s="13">
        <f t="shared" si="4"/>
        <v>67970.833333333328</v>
      </c>
      <c r="G28" s="13">
        <f t="shared" si="4"/>
        <v>67970.833333333328</v>
      </c>
      <c r="H28" s="13">
        <f t="shared" si="4"/>
        <v>67970.833333333328</v>
      </c>
      <c r="I28" s="13">
        <f t="shared" si="4"/>
        <v>67970.833333333328</v>
      </c>
      <c r="J28" s="45"/>
      <c r="K28" s="45"/>
    </row>
    <row r="40" spans="9:9">
      <c r="I40" s="183"/>
    </row>
    <row r="41" spans="9:9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80" zoomScaleNormal="80" workbookViewId="0">
      <selection activeCell="G12" sqref="G12"/>
    </sheetView>
  </sheetViews>
  <sheetFormatPr defaultColWidth="9" defaultRowHeight="16.5"/>
  <cols>
    <col min="1" max="1" width="14" style="6" customWidth="1"/>
    <col min="2" max="2" width="14.125" style="6" customWidth="1"/>
    <col min="3" max="5" width="14.625" style="6" customWidth="1"/>
    <col min="6" max="9" width="14.875" style="6" customWidth="1"/>
    <col min="10" max="11" width="8.25" style="6" customWidth="1"/>
    <col min="12" max="12" width="11.625" style="6" customWidth="1"/>
    <col min="13" max="13" width="9.25" style="6" customWidth="1"/>
    <col min="14" max="14" width="9.125" style="6" customWidth="1"/>
    <col min="15" max="16384" width="9" style="6"/>
  </cols>
  <sheetData>
    <row r="1" spans="1:15" ht="29.25" customHeight="1">
      <c r="A1" s="16" t="s">
        <v>188</v>
      </c>
      <c r="E1" s="17"/>
      <c r="F1" s="17"/>
      <c r="G1" s="17"/>
      <c r="H1" s="17"/>
      <c r="I1" s="17"/>
      <c r="J1" s="17"/>
      <c r="K1" s="17"/>
      <c r="L1" s="17"/>
    </row>
    <row r="2" spans="1:15" ht="24" customHeight="1">
      <c r="A2" s="18" t="s">
        <v>189</v>
      </c>
      <c r="E2" s="17"/>
      <c r="F2" s="17"/>
      <c r="G2" s="17"/>
      <c r="H2" s="17"/>
      <c r="I2" s="17"/>
      <c r="J2" s="17"/>
      <c r="K2" s="17"/>
      <c r="L2" s="17"/>
    </row>
    <row r="3" spans="1:15">
      <c r="C3" s="6" t="s">
        <v>190</v>
      </c>
      <c r="D3" s="9" t="s">
        <v>268</v>
      </c>
      <c r="E3" s="162">
        <v>0</v>
      </c>
      <c r="F3" s="162"/>
      <c r="G3" s="162"/>
      <c r="H3" s="162"/>
      <c r="K3" s="17"/>
    </row>
    <row r="4" spans="1:15">
      <c r="K4" s="17"/>
    </row>
    <row r="5" spans="1:15" ht="24" customHeight="1">
      <c r="A5" s="257" t="s">
        <v>191</v>
      </c>
      <c r="B5" s="8" t="s">
        <v>142</v>
      </c>
      <c r="C5" s="205" t="s">
        <v>250</v>
      </c>
      <c r="D5" s="205" t="s">
        <v>250</v>
      </c>
      <c r="E5" s="205" t="s">
        <v>250</v>
      </c>
      <c r="F5" s="205" t="s">
        <v>250</v>
      </c>
      <c r="G5" s="205" t="s">
        <v>250</v>
      </c>
      <c r="H5" s="205" t="s">
        <v>250</v>
      </c>
      <c r="I5" s="208" t="s">
        <v>251</v>
      </c>
      <c r="J5" s="186"/>
      <c r="K5" s="211"/>
      <c r="L5" s="256" t="s">
        <v>18</v>
      </c>
    </row>
    <row r="6" spans="1:15" ht="20.25" customHeight="1">
      <c r="A6" s="257"/>
      <c r="B6" s="8" t="s">
        <v>143</v>
      </c>
      <c r="C6" s="285" t="s">
        <v>275</v>
      </c>
      <c r="D6" s="285" t="s">
        <v>276</v>
      </c>
      <c r="E6" s="285" t="s">
        <v>277</v>
      </c>
      <c r="F6" s="285" t="s">
        <v>299</v>
      </c>
      <c r="G6" s="285" t="s">
        <v>300</v>
      </c>
      <c r="H6" s="285" t="s">
        <v>299</v>
      </c>
      <c r="I6" s="285" t="s">
        <v>273</v>
      </c>
      <c r="J6" s="187"/>
      <c r="K6" s="187"/>
      <c r="L6" s="256"/>
      <c r="N6" s="6">
        <v>100</v>
      </c>
    </row>
    <row r="7" spans="1:15" ht="60" customHeight="1">
      <c r="A7" s="257"/>
      <c r="B7" s="20" t="s">
        <v>192</v>
      </c>
      <c r="C7" s="286" t="s">
        <v>252</v>
      </c>
      <c r="D7" s="206" t="s">
        <v>253</v>
      </c>
      <c r="E7" s="206" t="s">
        <v>301</v>
      </c>
      <c r="F7" s="286" t="s">
        <v>302</v>
      </c>
      <c r="G7" s="206" t="s">
        <v>303</v>
      </c>
      <c r="H7" s="206" t="s">
        <v>304</v>
      </c>
      <c r="I7" s="209" t="s">
        <v>254</v>
      </c>
      <c r="J7" s="187"/>
      <c r="K7" s="187"/>
      <c r="L7" s="256"/>
      <c r="N7" s="24">
        <f>N6*(1-$E$3)</f>
        <v>100</v>
      </c>
      <c r="O7" s="217">
        <f>N7/$N$6</f>
        <v>1</v>
      </c>
    </row>
    <row r="8" spans="1:15" ht="33">
      <c r="A8" s="257"/>
      <c r="B8" s="223" t="s">
        <v>193</v>
      </c>
      <c r="C8" s="292">
        <v>1170</v>
      </c>
      <c r="D8" s="292">
        <v>1372</v>
      </c>
      <c r="E8" s="292">
        <v>1730</v>
      </c>
      <c r="F8" s="292">
        <v>1437.4</v>
      </c>
      <c r="G8" s="292">
        <v>1589.4</v>
      </c>
      <c r="H8" s="292">
        <v>1947.4</v>
      </c>
      <c r="I8" s="293">
        <v>500</v>
      </c>
      <c r="J8" s="187"/>
      <c r="K8" s="187"/>
      <c r="L8" s="25">
        <f>SUM(C8:K8)</f>
        <v>9746.1999999999989</v>
      </c>
      <c r="N8" s="24">
        <f>N7*(1-$E$3)</f>
        <v>100</v>
      </c>
      <c r="O8" s="217">
        <f t="shared" ref="O8:O10" si="0">N8/$N$6</f>
        <v>1</v>
      </c>
    </row>
    <row r="9" spans="1:15" ht="17.25">
      <c r="A9" s="257" t="s">
        <v>194</v>
      </c>
      <c r="B9" s="173" t="s">
        <v>247</v>
      </c>
      <c r="C9" s="207">
        <v>150</v>
      </c>
      <c r="D9" s="207">
        <v>200</v>
      </c>
      <c r="E9" s="207">
        <v>100</v>
      </c>
      <c r="F9" s="207">
        <v>0</v>
      </c>
      <c r="G9" s="207">
        <v>50</v>
      </c>
      <c r="H9" s="207">
        <v>100</v>
      </c>
      <c r="I9" s="210">
        <v>600</v>
      </c>
      <c r="J9" s="188"/>
      <c r="K9" s="188"/>
      <c r="L9" s="25">
        <f>SUM(C9:K9)</f>
        <v>1200</v>
      </c>
      <c r="N9" s="24">
        <f t="shared" ref="N9:N11" si="1">N8*(1-$E$3)</f>
        <v>100</v>
      </c>
      <c r="O9" s="217">
        <f t="shared" si="0"/>
        <v>1</v>
      </c>
    </row>
    <row r="10" spans="1:15" ht="17.25">
      <c r="A10" s="257"/>
      <c r="B10" s="195" t="s">
        <v>184</v>
      </c>
      <c r="C10" s="207">
        <v>600</v>
      </c>
      <c r="D10" s="207">
        <v>400</v>
      </c>
      <c r="E10" s="207">
        <v>500</v>
      </c>
      <c r="F10" s="207">
        <v>100</v>
      </c>
      <c r="G10" s="207">
        <v>100</v>
      </c>
      <c r="H10" s="207">
        <v>300</v>
      </c>
      <c r="I10" s="210">
        <v>2000</v>
      </c>
      <c r="J10" s="189"/>
      <c r="K10" s="197"/>
      <c r="L10" s="25">
        <f t="shared" ref="L10:L14" si="2">SUM(C10:K10)</f>
        <v>4000</v>
      </c>
      <c r="N10" s="24">
        <f t="shared" si="1"/>
        <v>100</v>
      </c>
      <c r="O10" s="217">
        <f t="shared" si="0"/>
        <v>1</v>
      </c>
    </row>
    <row r="11" spans="1:15" ht="17.25">
      <c r="A11" s="257"/>
      <c r="B11" s="195" t="s">
        <v>185</v>
      </c>
      <c r="C11" s="207">
        <v>600</v>
      </c>
      <c r="D11" s="207">
        <v>800</v>
      </c>
      <c r="E11" s="207">
        <v>300</v>
      </c>
      <c r="F11" s="207">
        <v>200</v>
      </c>
      <c r="G11" s="207">
        <v>400</v>
      </c>
      <c r="H11" s="207">
        <v>200</v>
      </c>
      <c r="I11" s="210">
        <v>2500</v>
      </c>
      <c r="J11" s="188"/>
      <c r="K11" s="188"/>
      <c r="L11" s="25">
        <f t="shared" si="2"/>
        <v>5000</v>
      </c>
      <c r="N11" s="24">
        <f t="shared" si="1"/>
        <v>100</v>
      </c>
      <c r="O11" s="217">
        <f t="shared" ref="O11" si="3">N11/$N$6</f>
        <v>1</v>
      </c>
    </row>
    <row r="12" spans="1:15" ht="18.75">
      <c r="A12" s="257"/>
      <c r="B12" s="195" t="s">
        <v>228</v>
      </c>
      <c r="C12" s="207">
        <v>800</v>
      </c>
      <c r="D12" s="207">
        <v>800</v>
      </c>
      <c r="E12" s="207">
        <v>300</v>
      </c>
      <c r="F12" s="207">
        <v>200</v>
      </c>
      <c r="G12" s="207">
        <v>700</v>
      </c>
      <c r="H12" s="207">
        <v>200</v>
      </c>
      <c r="I12" s="210">
        <v>3000</v>
      </c>
      <c r="J12" s="190"/>
      <c r="K12" s="191"/>
      <c r="L12" s="25">
        <f t="shared" si="2"/>
        <v>6000</v>
      </c>
    </row>
    <row r="13" spans="1:15" ht="18.75">
      <c r="A13" s="257"/>
      <c r="B13" s="195" t="s">
        <v>248</v>
      </c>
      <c r="C13" s="207">
        <v>600</v>
      </c>
      <c r="D13" s="207">
        <v>400</v>
      </c>
      <c r="E13" s="207">
        <v>500</v>
      </c>
      <c r="F13" s="207">
        <v>100</v>
      </c>
      <c r="G13" s="207">
        <v>100</v>
      </c>
      <c r="H13" s="207">
        <v>300</v>
      </c>
      <c r="I13" s="210">
        <v>2000</v>
      </c>
      <c r="J13" s="190"/>
      <c r="K13" s="191"/>
      <c r="L13" s="25">
        <f t="shared" si="2"/>
        <v>4000</v>
      </c>
    </row>
    <row r="14" spans="1:15" ht="17.25">
      <c r="A14" s="257"/>
      <c r="B14" s="195" t="s">
        <v>249</v>
      </c>
      <c r="C14" s="207">
        <v>600</v>
      </c>
      <c r="D14" s="207">
        <v>400</v>
      </c>
      <c r="E14" s="207">
        <v>500</v>
      </c>
      <c r="F14" s="207">
        <v>100</v>
      </c>
      <c r="G14" s="207">
        <v>100</v>
      </c>
      <c r="H14" s="207">
        <v>300</v>
      </c>
      <c r="I14" s="210">
        <v>2000</v>
      </c>
      <c r="J14" s="190"/>
      <c r="K14" s="190"/>
      <c r="L14" s="25">
        <f t="shared" si="2"/>
        <v>4000</v>
      </c>
    </row>
    <row r="15" spans="1:15" ht="17.25">
      <c r="A15" s="256" t="s">
        <v>18</v>
      </c>
      <c r="B15" s="256"/>
      <c r="C15" s="287">
        <f>SUM(C9:C14)</f>
        <v>3350</v>
      </c>
      <c r="D15" s="287">
        <f>SUM(D9:D14)</f>
        <v>3000</v>
      </c>
      <c r="E15" s="287">
        <f>SUM(E9:E14)</f>
        <v>2200</v>
      </c>
      <c r="F15" s="287">
        <f>SUM(F9:F14)</f>
        <v>700</v>
      </c>
      <c r="G15" s="287">
        <f>SUM(G9:G14)</f>
        <v>1450</v>
      </c>
      <c r="H15" s="287">
        <f>SUM(H9:H14)</f>
        <v>1400</v>
      </c>
      <c r="I15" s="287">
        <f>SUM(I9:I14)</f>
        <v>12100</v>
      </c>
      <c r="J15" s="23">
        <f t="shared" ref="C15:L15" si="4">SUM(J9:J14)</f>
        <v>0</v>
      </c>
      <c r="K15" s="23">
        <f t="shared" si="4"/>
        <v>0</v>
      </c>
      <c r="L15" s="23">
        <f t="shared" si="4"/>
        <v>24200</v>
      </c>
    </row>
    <row r="16" spans="1:15">
      <c r="A16" s="24"/>
      <c r="B16" s="24"/>
      <c r="C16" s="24"/>
    </row>
    <row r="17" spans="2:12" ht="17.25">
      <c r="B17" s="222" t="s">
        <v>281</v>
      </c>
      <c r="C17" s="219">
        <f>材料成本!D14</f>
        <v>977.00382200311174</v>
      </c>
      <c r="D17" s="219">
        <f>材料成本!E14</f>
        <v>1227.933534609954</v>
      </c>
      <c r="E17" s="219">
        <f>材料成本!F14</f>
        <v>1447.0382188726105</v>
      </c>
      <c r="F17" s="219">
        <f>材料成本!G14</f>
        <v>1218.7260691911115</v>
      </c>
      <c r="G17" s="219">
        <f>材料成本!H14</f>
        <v>1426.5941919508898</v>
      </c>
      <c r="H17" s="219">
        <f>材料成本!I14</f>
        <v>1645.6988762135463</v>
      </c>
      <c r="I17" s="219">
        <f>材料成本!J14</f>
        <v>478.40424658869802</v>
      </c>
      <c r="J17" s="219">
        <f>材料成本!K14</f>
        <v>0</v>
      </c>
      <c r="K17" s="219">
        <f>材料成本!L14</f>
        <v>0</v>
      </c>
      <c r="L17" s="25">
        <f t="shared" ref="L17:L18" si="5">SUM(C17:K17)</f>
        <v>8421.3989594299219</v>
      </c>
    </row>
    <row r="18" spans="2:12" ht="17.25">
      <c r="B18" s="222" t="s">
        <v>282</v>
      </c>
      <c r="C18" s="220">
        <f>C8-C17</f>
        <v>192.99617799688826</v>
      </c>
      <c r="D18" s="220">
        <f t="shared" ref="D18:K18" si="6">D8-D17</f>
        <v>144.06646539004601</v>
      </c>
      <c r="E18" s="220">
        <f t="shared" si="6"/>
        <v>282.96178112738949</v>
      </c>
      <c r="F18" s="220">
        <f t="shared" si="6"/>
        <v>218.6739308088886</v>
      </c>
      <c r="G18" s="220">
        <f t="shared" si="6"/>
        <v>162.80580804911028</v>
      </c>
      <c r="H18" s="220">
        <f t="shared" si="6"/>
        <v>301.70112378645376</v>
      </c>
      <c r="I18" s="220">
        <f t="shared" si="6"/>
        <v>21.595753411301985</v>
      </c>
      <c r="J18" s="220">
        <f t="shared" si="6"/>
        <v>0</v>
      </c>
      <c r="K18" s="220">
        <f t="shared" si="6"/>
        <v>0</v>
      </c>
      <c r="L18" s="25">
        <f t="shared" si="5"/>
        <v>1324.8010405700784</v>
      </c>
    </row>
    <row r="19" spans="2:12">
      <c r="B19" s="222" t="s">
        <v>283</v>
      </c>
      <c r="C19" s="221">
        <f>C18/C8</f>
        <v>0.16495399828793869</v>
      </c>
      <c r="D19" s="221">
        <f t="shared" ref="D19:L19" si="7">D18/D8</f>
        <v>0.10500471238341545</v>
      </c>
      <c r="E19" s="221">
        <f t="shared" si="7"/>
        <v>0.16356172319502282</v>
      </c>
      <c r="F19" s="221">
        <f t="shared" si="7"/>
        <v>0.15213157841163807</v>
      </c>
      <c r="G19" s="221">
        <f t="shared" si="7"/>
        <v>0.10243224364484099</v>
      </c>
      <c r="H19" s="221">
        <f t="shared" si="7"/>
        <v>0.15492509180777125</v>
      </c>
      <c r="I19" s="221">
        <f t="shared" si="7"/>
        <v>4.3191506822603969E-2</v>
      </c>
      <c r="J19" s="221" t="e">
        <f t="shared" si="7"/>
        <v>#DIV/0!</v>
      </c>
      <c r="K19" s="221" t="e">
        <f t="shared" si="7"/>
        <v>#DIV/0!</v>
      </c>
      <c r="L19" s="221">
        <f t="shared" si="7"/>
        <v>0.1359300076511952</v>
      </c>
    </row>
  </sheetData>
  <mergeCells count="4">
    <mergeCell ref="A15:B15"/>
    <mergeCell ref="A5:A8"/>
    <mergeCell ref="A9:A14"/>
    <mergeCell ref="L5:L7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"/>
  <sheetViews>
    <sheetView zoomScale="80" zoomScaleNormal="80" workbookViewId="0">
      <pane xSplit="3" ySplit="6" topLeftCell="D7" activePane="bottomRight" state="frozen"/>
      <selection pane="topRight"/>
      <selection pane="bottomLeft"/>
      <selection pane="bottomRight" activeCell="G11" sqref="G11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10" width="16.25" style="6" customWidth="1"/>
    <col min="11" max="12" width="14.375" style="6" customWidth="1"/>
    <col min="13" max="13" width="17.375" style="6" customWidth="1"/>
    <col min="14" max="14" width="16" style="6" customWidth="1"/>
    <col min="15" max="16384" width="9" style="6"/>
  </cols>
  <sheetData>
    <row r="1" spans="1:14" s="5" customFormat="1" ht="28.5" customHeight="1">
      <c r="A1" s="267" t="s">
        <v>7</v>
      </c>
      <c r="B1" s="267"/>
      <c r="C1" s="7"/>
      <c r="N1" s="14"/>
    </row>
    <row r="2" spans="1:14">
      <c r="A2" s="268" t="s">
        <v>195</v>
      </c>
      <c r="B2" s="268"/>
      <c r="C2" s="269"/>
      <c r="D2" s="269"/>
      <c r="E2" s="270" t="s">
        <v>271</v>
      </c>
      <c r="F2" s="271"/>
      <c r="G2" s="271"/>
      <c r="H2" s="271"/>
      <c r="I2" s="271"/>
      <c r="J2" s="271"/>
      <c r="K2" s="271"/>
      <c r="L2" s="271"/>
      <c r="M2" s="272"/>
    </row>
    <row r="3" spans="1:14">
      <c r="A3" s="263" t="s">
        <v>17</v>
      </c>
      <c r="B3" s="263" t="s">
        <v>196</v>
      </c>
      <c r="C3" s="8" t="s">
        <v>197</v>
      </c>
      <c r="D3" s="273" t="s">
        <v>230</v>
      </c>
      <c r="E3" s="273"/>
      <c r="F3" s="8" t="s">
        <v>198</v>
      </c>
      <c r="G3" s="264" t="s">
        <v>231</v>
      </c>
      <c r="H3" s="265"/>
      <c r="I3" s="266"/>
      <c r="J3" s="184"/>
      <c r="K3" s="184"/>
      <c r="L3" s="184"/>
      <c r="M3" s="274" t="s">
        <v>152</v>
      </c>
    </row>
    <row r="4" spans="1:14">
      <c r="A4" s="263"/>
      <c r="B4" s="263"/>
      <c r="C4" s="8" t="s">
        <v>142</v>
      </c>
      <c r="D4" s="178" t="str">
        <f>销量!C5</f>
        <v>正司机</v>
      </c>
      <c r="E4" s="178" t="str">
        <f>销量!D5</f>
        <v>正司机</v>
      </c>
      <c r="F4" s="178" t="str">
        <f>销量!E5</f>
        <v>正司机</v>
      </c>
      <c r="G4" s="178" t="str">
        <f>销量!F5</f>
        <v>正司机</v>
      </c>
      <c r="H4" s="178" t="str">
        <f>销量!G5</f>
        <v>正司机</v>
      </c>
      <c r="I4" s="178" t="str">
        <f>销量!H5</f>
        <v>正司机</v>
      </c>
      <c r="J4" s="178" t="str">
        <f>销量!I5</f>
        <v>副司机</v>
      </c>
      <c r="K4" s="178">
        <f>销量!J5</f>
        <v>0</v>
      </c>
      <c r="L4" s="178">
        <f>销量!K5</f>
        <v>0</v>
      </c>
      <c r="M4" s="275"/>
    </row>
    <row r="5" spans="1:14">
      <c r="A5" s="263"/>
      <c r="B5" s="263"/>
      <c r="C5" s="196" t="s">
        <v>305</v>
      </c>
      <c r="D5" s="178" t="s">
        <v>278</v>
      </c>
      <c r="E5" s="178" t="s">
        <v>279</v>
      </c>
      <c r="F5" s="178" t="s">
        <v>280</v>
      </c>
      <c r="G5" s="179" t="s">
        <v>306</v>
      </c>
      <c r="H5" s="178" t="s">
        <v>307</v>
      </c>
      <c r="I5" s="178" t="s">
        <v>308</v>
      </c>
      <c r="J5" s="178" t="s">
        <v>274</v>
      </c>
      <c r="K5" s="178"/>
      <c r="L5" s="178"/>
      <c r="M5" s="275"/>
    </row>
    <row r="6" spans="1:14" ht="33">
      <c r="A6" s="263"/>
      <c r="B6" s="263"/>
      <c r="C6" s="198" t="s">
        <v>143</v>
      </c>
      <c r="D6" s="179" t="str">
        <f>销量!C6</f>
        <v>EZ160051000001</v>
      </c>
      <c r="E6" s="179" t="str">
        <f>销量!D6</f>
        <v>EZ160051000002</v>
      </c>
      <c r="F6" s="179" t="str">
        <f>销量!E6</f>
        <v>EZ160051000003</v>
      </c>
      <c r="G6" s="179" t="str">
        <f>销量!F6</f>
        <v>EZ160051000004</v>
      </c>
      <c r="H6" s="179" t="str">
        <f>销量!G6</f>
        <v>EZ160051000005</v>
      </c>
      <c r="I6" s="179" t="str">
        <f>销量!H6</f>
        <v>EZ160051000004</v>
      </c>
      <c r="J6" s="179" t="str">
        <f>销量!I6</f>
        <v>EZ16B251000008</v>
      </c>
      <c r="K6" s="179">
        <f>销量!J6</f>
        <v>0</v>
      </c>
      <c r="L6" s="179">
        <f>销量!K6</f>
        <v>0</v>
      </c>
      <c r="M6" s="276"/>
    </row>
    <row r="7" spans="1:14" ht="16.5" customHeight="1">
      <c r="A7" s="11">
        <v>1</v>
      </c>
      <c r="B7" s="258" t="s">
        <v>269</v>
      </c>
      <c r="C7" s="259"/>
      <c r="D7" s="10">
        <v>970.09382200311177</v>
      </c>
      <c r="E7" s="10">
        <v>1221.0235346099539</v>
      </c>
      <c r="F7" s="10">
        <v>1440.1282188726104</v>
      </c>
      <c r="G7" s="10">
        <v>1211.8160691911114</v>
      </c>
      <c r="H7" s="10">
        <v>1419.6841919508897</v>
      </c>
      <c r="I7" s="10">
        <v>1638.7888762135462</v>
      </c>
      <c r="J7" s="10">
        <v>465.59424658869801</v>
      </c>
      <c r="K7" s="10"/>
      <c r="L7" s="10"/>
      <c r="M7" s="218" t="s">
        <v>272</v>
      </c>
    </row>
    <row r="8" spans="1:14" ht="16.5" customHeight="1">
      <c r="A8" s="11">
        <v>2</v>
      </c>
      <c r="B8" s="258" t="s">
        <v>270</v>
      </c>
      <c r="C8" s="259"/>
      <c r="D8" s="10">
        <f>47.5-40.59</f>
        <v>6.9099999999999966</v>
      </c>
      <c r="E8" s="10">
        <f>D8</f>
        <v>6.9099999999999966</v>
      </c>
      <c r="F8" s="10">
        <f>E8</f>
        <v>6.9099999999999966</v>
      </c>
      <c r="G8" s="10">
        <f t="shared" ref="G8:I8" si="0">F8</f>
        <v>6.9099999999999966</v>
      </c>
      <c r="H8" s="10">
        <f t="shared" si="0"/>
        <v>6.9099999999999966</v>
      </c>
      <c r="I8" s="10">
        <f t="shared" si="0"/>
        <v>6.9099999999999966</v>
      </c>
      <c r="J8" s="10">
        <f>67.72-54.91</f>
        <v>12.810000000000002</v>
      </c>
      <c r="K8" s="10"/>
      <c r="L8" s="10"/>
      <c r="M8" s="195" t="s">
        <v>284</v>
      </c>
    </row>
    <row r="9" spans="1:14" ht="16.5" customHeight="1">
      <c r="A9" s="11">
        <v>3</v>
      </c>
      <c r="B9" s="258"/>
      <c r="C9" s="259"/>
      <c r="D9" s="12"/>
      <c r="E9" s="10"/>
      <c r="F9" s="12"/>
      <c r="G9" s="10"/>
      <c r="H9" s="12"/>
      <c r="I9" s="12"/>
      <c r="J9" s="12"/>
      <c r="K9" s="12"/>
      <c r="L9" s="12"/>
      <c r="M9" s="15"/>
    </row>
    <row r="10" spans="1:14">
      <c r="A10" s="11">
        <v>4</v>
      </c>
      <c r="B10" s="258"/>
      <c r="C10" s="259"/>
      <c r="D10" s="12"/>
      <c r="E10" s="10"/>
      <c r="F10" s="12"/>
      <c r="G10" s="10"/>
      <c r="H10" s="10"/>
      <c r="I10" s="10"/>
      <c r="J10" s="10"/>
      <c r="K10" s="10"/>
      <c r="L10" s="10"/>
      <c r="M10" s="15"/>
    </row>
    <row r="11" spans="1:14">
      <c r="A11" s="11">
        <v>5</v>
      </c>
      <c r="B11" s="258"/>
      <c r="C11" s="259"/>
      <c r="D11" s="12"/>
      <c r="E11" s="12"/>
      <c r="F11" s="12"/>
      <c r="G11" s="12"/>
      <c r="H11" s="10"/>
      <c r="I11" s="10"/>
      <c r="J11" s="10"/>
      <c r="K11" s="10"/>
      <c r="L11" s="10"/>
      <c r="M11" s="15"/>
    </row>
    <row r="12" spans="1:14">
      <c r="A12" s="11">
        <v>6</v>
      </c>
      <c r="B12" s="258"/>
      <c r="C12" s="259"/>
      <c r="D12" s="12"/>
      <c r="E12" s="12"/>
      <c r="F12" s="12"/>
      <c r="G12" s="12"/>
      <c r="H12" s="10"/>
      <c r="I12" s="10"/>
      <c r="J12" s="10"/>
      <c r="K12" s="10"/>
      <c r="L12" s="10"/>
      <c r="M12" s="15"/>
    </row>
    <row r="13" spans="1:14">
      <c r="A13" s="11">
        <v>7</v>
      </c>
      <c r="B13" s="258"/>
      <c r="C13" s="259"/>
      <c r="D13" s="10"/>
      <c r="E13" s="10"/>
      <c r="F13" s="10"/>
      <c r="G13" s="10"/>
      <c r="H13" s="10"/>
      <c r="I13" s="10"/>
      <c r="J13" s="10"/>
      <c r="K13" s="10"/>
      <c r="L13" s="10"/>
      <c r="M13" s="15"/>
    </row>
    <row r="14" spans="1:14" ht="31.5" customHeight="1">
      <c r="A14" s="260" t="s">
        <v>199</v>
      </c>
      <c r="B14" s="261"/>
      <c r="C14" s="262"/>
      <c r="D14" s="13">
        <f t="shared" ref="D14:I14" si="1">SUM(D7:D13)</f>
        <v>977.00382200311174</v>
      </c>
      <c r="E14" s="13">
        <f t="shared" si="1"/>
        <v>1227.933534609954</v>
      </c>
      <c r="F14" s="13">
        <f t="shared" si="1"/>
        <v>1447.0382188726105</v>
      </c>
      <c r="G14" s="13">
        <f t="shared" si="1"/>
        <v>1218.7260691911115</v>
      </c>
      <c r="H14" s="13">
        <f t="shared" si="1"/>
        <v>1426.5941919508898</v>
      </c>
      <c r="I14" s="13">
        <f t="shared" si="1"/>
        <v>1645.6988762135463</v>
      </c>
      <c r="J14" s="13">
        <f t="shared" ref="J14" si="2">SUM(J7:J13)</f>
        <v>478.40424658869802</v>
      </c>
      <c r="K14" s="13">
        <f t="shared" ref="K14" si="3">SUM(K7:K13)</f>
        <v>0</v>
      </c>
      <c r="L14" s="13">
        <f t="shared" ref="L14" si="4">SUM(L7:L13)</f>
        <v>0</v>
      </c>
      <c r="M14" s="15"/>
    </row>
    <row r="15" spans="1:14">
      <c r="C15" s="6">
        <v>2024</v>
      </c>
      <c r="D15" s="163">
        <f>D14</f>
        <v>977.00382200311174</v>
      </c>
      <c r="E15" s="163">
        <f t="shared" ref="E15:G15" si="5">E14</f>
        <v>1227.933534609954</v>
      </c>
      <c r="F15" s="163">
        <f t="shared" si="5"/>
        <v>1447.0382188726105</v>
      </c>
      <c r="G15" s="163">
        <f t="shared" si="5"/>
        <v>1218.7260691911115</v>
      </c>
      <c r="H15" s="163">
        <f t="shared" ref="H15:L15" si="6">H14</f>
        <v>1426.5941919508898</v>
      </c>
      <c r="I15" s="163">
        <f t="shared" si="6"/>
        <v>1645.6988762135463</v>
      </c>
      <c r="J15" s="163">
        <f t="shared" si="6"/>
        <v>478.40424658869802</v>
      </c>
      <c r="K15" s="163">
        <f t="shared" si="6"/>
        <v>0</v>
      </c>
      <c r="L15" s="163">
        <f t="shared" si="6"/>
        <v>0</v>
      </c>
    </row>
    <row r="16" spans="1:14">
      <c r="C16" s="6">
        <v>2025</v>
      </c>
      <c r="D16" s="163">
        <f t="shared" ref="D16:D19" si="7">D15</f>
        <v>977.00382200311174</v>
      </c>
      <c r="E16" s="163">
        <f t="shared" ref="E16:E19" si="8">E15</f>
        <v>1227.933534609954</v>
      </c>
      <c r="F16" s="163">
        <f t="shared" ref="F16:F19" si="9">F15</f>
        <v>1447.0382188726105</v>
      </c>
      <c r="G16" s="163">
        <f t="shared" ref="G16:L19" si="10">G15</f>
        <v>1218.7260691911115</v>
      </c>
      <c r="H16" s="163">
        <f t="shared" si="10"/>
        <v>1426.5941919508898</v>
      </c>
      <c r="I16" s="163">
        <f t="shared" si="10"/>
        <v>1645.6988762135463</v>
      </c>
      <c r="J16" s="163">
        <f t="shared" si="10"/>
        <v>478.40424658869802</v>
      </c>
      <c r="K16" s="163">
        <f t="shared" si="10"/>
        <v>0</v>
      </c>
      <c r="L16" s="163">
        <f t="shared" si="10"/>
        <v>0</v>
      </c>
    </row>
    <row r="17" spans="3:12">
      <c r="C17" s="6">
        <v>2026</v>
      </c>
      <c r="D17" s="163">
        <f t="shared" si="7"/>
        <v>977.00382200311174</v>
      </c>
      <c r="E17" s="163">
        <f t="shared" si="8"/>
        <v>1227.933534609954</v>
      </c>
      <c r="F17" s="163">
        <f t="shared" si="9"/>
        <v>1447.0382188726105</v>
      </c>
      <c r="G17" s="163">
        <f t="shared" si="10"/>
        <v>1218.7260691911115</v>
      </c>
      <c r="H17" s="163">
        <f t="shared" si="10"/>
        <v>1426.5941919508898</v>
      </c>
      <c r="I17" s="163">
        <f t="shared" si="10"/>
        <v>1645.6988762135463</v>
      </c>
      <c r="J17" s="163">
        <f t="shared" si="10"/>
        <v>478.40424658869802</v>
      </c>
      <c r="K17" s="163">
        <f t="shared" si="10"/>
        <v>0</v>
      </c>
      <c r="L17" s="163">
        <f t="shared" si="10"/>
        <v>0</v>
      </c>
    </row>
    <row r="18" spans="3:12">
      <c r="C18" s="6">
        <v>2027</v>
      </c>
      <c r="D18" s="163">
        <f t="shared" si="7"/>
        <v>977.00382200311174</v>
      </c>
      <c r="E18" s="163">
        <f t="shared" si="8"/>
        <v>1227.933534609954</v>
      </c>
      <c r="F18" s="163">
        <f t="shared" si="9"/>
        <v>1447.0382188726105</v>
      </c>
      <c r="G18" s="163">
        <f t="shared" si="10"/>
        <v>1218.7260691911115</v>
      </c>
      <c r="H18" s="163">
        <f t="shared" si="10"/>
        <v>1426.5941919508898</v>
      </c>
      <c r="I18" s="163">
        <f t="shared" si="10"/>
        <v>1645.6988762135463</v>
      </c>
      <c r="J18" s="163">
        <f t="shared" si="10"/>
        <v>478.40424658869802</v>
      </c>
      <c r="K18" s="163">
        <f t="shared" si="10"/>
        <v>0</v>
      </c>
      <c r="L18" s="163">
        <f t="shared" si="10"/>
        <v>0</v>
      </c>
    </row>
    <row r="19" spans="3:12">
      <c r="C19" s="6">
        <v>2028</v>
      </c>
      <c r="D19" s="163">
        <f t="shared" si="7"/>
        <v>977.00382200311174</v>
      </c>
      <c r="E19" s="163">
        <f t="shared" si="8"/>
        <v>1227.933534609954</v>
      </c>
      <c r="F19" s="163">
        <f t="shared" si="9"/>
        <v>1447.0382188726105</v>
      </c>
      <c r="G19" s="163">
        <f t="shared" si="10"/>
        <v>1218.7260691911115</v>
      </c>
      <c r="H19" s="163">
        <f t="shared" si="10"/>
        <v>1426.5941919508898</v>
      </c>
      <c r="I19" s="163">
        <f t="shared" si="10"/>
        <v>1645.6988762135463</v>
      </c>
      <c r="J19" s="163">
        <f t="shared" si="10"/>
        <v>478.40424658869802</v>
      </c>
      <c r="K19" s="163">
        <f t="shared" si="10"/>
        <v>0</v>
      </c>
      <c r="L19" s="163">
        <f t="shared" si="10"/>
        <v>0</v>
      </c>
    </row>
  </sheetData>
  <mergeCells count="16">
    <mergeCell ref="G3:I3"/>
    <mergeCell ref="A1:B1"/>
    <mergeCell ref="A2:D2"/>
    <mergeCell ref="E2:M2"/>
    <mergeCell ref="D3:E3"/>
    <mergeCell ref="M3:M6"/>
    <mergeCell ref="B12:C12"/>
    <mergeCell ref="B13:C13"/>
    <mergeCell ref="A14:C14"/>
    <mergeCell ref="A3:A6"/>
    <mergeCell ref="B3:B6"/>
    <mergeCell ref="B11:C11"/>
    <mergeCell ref="B7:C7"/>
    <mergeCell ref="B8:C8"/>
    <mergeCell ref="B9:C9"/>
    <mergeCell ref="B10:C10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pane xSplit="2" ySplit="1" topLeftCell="C2" activePane="bottomRight" state="frozen"/>
      <selection pane="topRight"/>
      <selection pane="bottomLeft"/>
      <selection pane="bottomRight" activeCell="D13" sqref="D13"/>
    </sheetView>
  </sheetViews>
  <sheetFormatPr defaultColWidth="9" defaultRowHeight="13.5"/>
  <cols>
    <col min="1" max="1" width="4.875" style="4" customWidth="1"/>
    <col min="2" max="2" width="29.625" style="4" customWidth="1"/>
    <col min="3" max="3" width="27.875" style="4" customWidth="1"/>
    <col min="4" max="4" width="18.625" style="4" customWidth="1"/>
    <col min="5" max="16384" width="9" style="4"/>
  </cols>
  <sheetData>
    <row r="1" spans="1:5" ht="27" customHeight="1">
      <c r="A1" s="212" t="s">
        <v>17</v>
      </c>
      <c r="B1" s="212" t="s">
        <v>200</v>
      </c>
      <c r="C1" s="212" t="s">
        <v>201</v>
      </c>
      <c r="D1" s="212" t="s">
        <v>202</v>
      </c>
    </row>
    <row r="2" spans="1:5">
      <c r="A2" s="212">
        <v>1</v>
      </c>
      <c r="B2" s="213" t="s">
        <v>203</v>
      </c>
      <c r="C2" s="214" t="s">
        <v>255</v>
      </c>
      <c r="D2" s="212"/>
    </row>
    <row r="3" spans="1:5">
      <c r="A3" s="212">
        <v>2</v>
      </c>
      <c r="B3" s="213" t="s">
        <v>204</v>
      </c>
      <c r="C3" s="215" t="s">
        <v>256</v>
      </c>
      <c r="D3" s="212" t="s">
        <v>257</v>
      </c>
    </row>
    <row r="4" spans="1:5">
      <c r="A4" s="212">
        <v>3</v>
      </c>
      <c r="B4" s="213" t="s">
        <v>205</v>
      </c>
      <c r="C4" s="214"/>
      <c r="D4" s="212" t="s">
        <v>258</v>
      </c>
    </row>
    <row r="5" spans="1:5">
      <c r="A5" s="212">
        <v>4</v>
      </c>
      <c r="B5" s="213" t="s">
        <v>206</v>
      </c>
      <c r="C5" s="214" t="s">
        <v>259</v>
      </c>
      <c r="D5" s="212"/>
    </row>
    <row r="6" spans="1:5">
      <c r="A6" s="212">
        <v>5</v>
      </c>
      <c r="B6" s="213" t="s">
        <v>207</v>
      </c>
      <c r="C6" s="214" t="s">
        <v>259</v>
      </c>
      <c r="D6" s="212"/>
    </row>
    <row r="7" spans="1:5">
      <c r="A7" s="212">
        <v>6</v>
      </c>
      <c r="B7" s="212" t="s">
        <v>208</v>
      </c>
      <c r="C7" s="215"/>
      <c r="D7" s="212"/>
    </row>
    <row r="8" spans="1:5">
      <c r="A8" s="212">
        <v>7</v>
      </c>
      <c r="B8" s="213" t="s">
        <v>209</v>
      </c>
      <c r="C8" s="216" t="s">
        <v>260</v>
      </c>
      <c r="D8" s="212"/>
    </row>
    <row r="9" spans="1:5">
      <c r="A9" s="212">
        <v>8</v>
      </c>
      <c r="B9" s="212" t="s">
        <v>210</v>
      </c>
      <c r="C9" s="216"/>
      <c r="D9" s="212"/>
    </row>
    <row r="10" spans="1:5">
      <c r="A10" s="212">
        <v>9</v>
      </c>
      <c r="B10" s="212" t="s">
        <v>211</v>
      </c>
      <c r="C10" s="216"/>
      <c r="D10" s="212"/>
    </row>
    <row r="11" spans="1:5">
      <c r="A11" s="212">
        <v>10</v>
      </c>
      <c r="B11" s="212" t="s">
        <v>212</v>
      </c>
      <c r="C11" s="216"/>
      <c r="D11" s="212" t="s">
        <v>261</v>
      </c>
      <c r="E11" s="161"/>
    </row>
    <row r="12" spans="1:5">
      <c r="A12" s="212">
        <v>11</v>
      </c>
      <c r="B12" s="212" t="s">
        <v>213</v>
      </c>
      <c r="C12" s="216"/>
      <c r="D12" s="212"/>
    </row>
    <row r="13" spans="1:5">
      <c r="A13" s="212">
        <v>12</v>
      </c>
      <c r="B13" s="213" t="s">
        <v>262</v>
      </c>
      <c r="C13" s="216" t="s">
        <v>263</v>
      </c>
      <c r="D13" s="212"/>
    </row>
    <row r="14" spans="1:5">
      <c r="A14" s="212">
        <v>13</v>
      </c>
      <c r="B14" s="213" t="s">
        <v>264</v>
      </c>
      <c r="C14" s="216" t="s">
        <v>265</v>
      </c>
      <c r="D14" s="212"/>
    </row>
    <row r="15" spans="1:5">
      <c r="A15" s="212">
        <v>14</v>
      </c>
      <c r="B15" s="213" t="s">
        <v>266</v>
      </c>
      <c r="C15" s="216" t="s">
        <v>267</v>
      </c>
      <c r="D15" s="212"/>
    </row>
    <row r="16" spans="1:5">
      <c r="A16" s="212">
        <v>15</v>
      </c>
      <c r="B16" s="212" t="s">
        <v>128</v>
      </c>
      <c r="C16" s="212"/>
      <c r="D16" s="212"/>
    </row>
  </sheetData>
  <phoneticPr fontId="37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zoomScale="90" zoomScaleNormal="90" workbookViewId="0">
      <selection activeCell="J18" sqref="J18"/>
    </sheetView>
  </sheetViews>
  <sheetFormatPr defaultColWidth="9" defaultRowHeight="13.5"/>
  <cols>
    <col min="1" max="2" width="9" style="67"/>
    <col min="3" max="3" width="11.625" style="67" hidden="1" customWidth="1"/>
    <col min="4" max="4" width="11.625" style="67" customWidth="1"/>
    <col min="5" max="5" width="11.125" style="291" customWidth="1"/>
    <col min="6" max="7" width="11.125" style="67" customWidth="1"/>
    <col min="8" max="8" width="12.875" style="150" customWidth="1"/>
    <col min="9" max="16384" width="9" style="67"/>
  </cols>
  <sheetData>
    <row r="1" spans="1:11" s="147" customFormat="1" ht="18.75" customHeight="1">
      <c r="E1" s="289"/>
      <c r="F1" s="277" t="s">
        <v>214</v>
      </c>
      <c r="G1" s="277"/>
      <c r="H1" s="148"/>
    </row>
    <row r="2" spans="1:11">
      <c r="A2" s="283" t="s">
        <v>215</v>
      </c>
      <c r="B2" s="283"/>
      <c r="C2" s="279" t="s">
        <v>216</v>
      </c>
      <c r="D2" s="284"/>
      <c r="E2" s="284"/>
      <c r="F2" s="284"/>
      <c r="G2" s="280"/>
      <c r="H2" s="149" t="s">
        <v>223</v>
      </c>
      <c r="J2" s="166"/>
      <c r="K2" s="166"/>
    </row>
    <row r="3" spans="1:11" ht="27">
      <c r="A3" s="283"/>
      <c r="B3" s="283"/>
      <c r="C3" s="156" t="s">
        <v>224</v>
      </c>
      <c r="D3" s="156" t="s">
        <v>224</v>
      </c>
      <c r="E3" s="290" t="s">
        <v>227</v>
      </c>
      <c r="F3" s="157" t="s">
        <v>226</v>
      </c>
      <c r="G3" s="157" t="s">
        <v>225</v>
      </c>
      <c r="H3" s="160">
        <f>销量!C8</f>
        <v>1170</v>
      </c>
    </row>
    <row r="4" spans="1:11">
      <c r="A4" s="278" t="s">
        <v>217</v>
      </c>
      <c r="B4" s="278"/>
      <c r="C4" s="3"/>
      <c r="D4" s="151">
        <f>$H$3*E4</f>
        <v>55.341000000000001</v>
      </c>
      <c r="E4" s="155">
        <v>4.7300000000000002E-2</v>
      </c>
      <c r="F4" s="151"/>
      <c r="G4" s="152">
        <v>4.48E-2</v>
      </c>
      <c r="H4" s="150">
        <f>E4</f>
        <v>4.7300000000000002E-2</v>
      </c>
      <c r="I4" s="164"/>
      <c r="J4" s="68"/>
      <c r="K4" s="68"/>
    </row>
    <row r="5" spans="1:11">
      <c r="A5" s="278" t="s">
        <v>218</v>
      </c>
      <c r="B5" s="153" t="s">
        <v>219</v>
      </c>
      <c r="C5" s="3"/>
      <c r="D5" s="151">
        <v>0</v>
      </c>
      <c r="E5" s="155">
        <v>4.8099999999999997E-2</v>
      </c>
      <c r="F5" s="152"/>
      <c r="G5" s="152">
        <v>4.0399999999999998E-2</v>
      </c>
      <c r="I5" s="165"/>
      <c r="J5" s="68"/>
      <c r="K5" s="68"/>
    </row>
    <row r="6" spans="1:11">
      <c r="A6" s="278"/>
      <c r="B6" s="153" t="s">
        <v>220</v>
      </c>
      <c r="C6" s="3"/>
      <c r="D6" s="151">
        <f t="shared" ref="D6" si="0">$H$3*E6</f>
        <v>17.198999999999998</v>
      </c>
      <c r="E6" s="155">
        <v>1.47E-2</v>
      </c>
      <c r="F6" s="151"/>
      <c r="G6" s="152">
        <v>1.66E-2</v>
      </c>
      <c r="H6" s="150">
        <f>E6</f>
        <v>1.47E-2</v>
      </c>
      <c r="I6" s="164"/>
      <c r="J6" s="68"/>
      <c r="K6" s="68"/>
    </row>
    <row r="7" spans="1:11">
      <c r="A7" s="279" t="s">
        <v>221</v>
      </c>
      <c r="B7" s="280"/>
      <c r="C7" s="154"/>
      <c r="D7" s="151"/>
      <c r="E7" s="155">
        <f>SUM(E4:E6)</f>
        <v>0.1101</v>
      </c>
      <c r="F7" s="151"/>
      <c r="G7" s="155">
        <f>SUM(G4:G6)</f>
        <v>0.1018</v>
      </c>
      <c r="H7" s="150">
        <f>SUM(H4:H6)</f>
        <v>6.2E-2</v>
      </c>
      <c r="I7" s="164"/>
      <c r="J7" s="68"/>
      <c r="K7" s="68"/>
    </row>
    <row r="8" spans="1:11">
      <c r="A8" s="278" t="s">
        <v>48</v>
      </c>
      <c r="B8" s="278"/>
      <c r="C8" s="3"/>
      <c r="D8" s="151">
        <v>0</v>
      </c>
      <c r="E8" s="155">
        <v>7.6399999999999996E-2</v>
      </c>
      <c r="F8" s="151"/>
      <c r="G8" s="152">
        <f>1.97%+0.75%</f>
        <v>2.7199999999999998E-2</v>
      </c>
      <c r="I8" s="165"/>
      <c r="J8" s="68"/>
      <c r="K8" s="68"/>
    </row>
    <row r="9" spans="1:11">
      <c r="A9" s="281" t="s">
        <v>222</v>
      </c>
      <c r="B9" s="153" t="s">
        <v>219</v>
      </c>
      <c r="C9" s="3"/>
      <c r="D9" s="151">
        <v>0</v>
      </c>
      <c r="E9" s="155">
        <v>8.0999999999999996E-3</v>
      </c>
      <c r="F9" s="151"/>
      <c r="G9" s="152">
        <v>5.3E-3</v>
      </c>
      <c r="I9" s="150"/>
      <c r="J9" s="68"/>
      <c r="K9" s="68"/>
    </row>
    <row r="10" spans="1:11">
      <c r="A10" s="282"/>
      <c r="B10" s="153" t="s">
        <v>220</v>
      </c>
      <c r="C10" s="3"/>
      <c r="D10" s="151">
        <f>$H$3*H10</f>
        <v>11.700000000000001</v>
      </c>
      <c r="E10" s="150">
        <v>0.01</v>
      </c>
      <c r="F10" s="151"/>
      <c r="G10" s="152">
        <v>3.4099999999999998E-2</v>
      </c>
      <c r="H10" s="150">
        <f>E10</f>
        <v>0.01</v>
      </c>
      <c r="I10" s="150"/>
      <c r="J10" s="68"/>
      <c r="K10" s="68"/>
    </row>
    <row r="11" spans="1:11">
      <c r="A11" s="278" t="s">
        <v>51</v>
      </c>
      <c r="B11" s="278"/>
      <c r="C11" s="3"/>
      <c r="D11" s="151">
        <f>$H$3*E11</f>
        <v>46.800000000000004</v>
      </c>
      <c r="E11" s="155">
        <v>0.04</v>
      </c>
      <c r="F11" s="151"/>
      <c r="G11" s="152">
        <v>1.0999999999999999E-2</v>
      </c>
      <c r="H11" s="150">
        <f>E11</f>
        <v>0.04</v>
      </c>
      <c r="I11" s="150">
        <v>2.8999999999999998E-3</v>
      </c>
      <c r="J11" s="68"/>
      <c r="K11" s="68"/>
    </row>
    <row r="12" spans="1:11">
      <c r="G12" s="225" t="s">
        <v>297</v>
      </c>
      <c r="H12" s="224">
        <f>SUM(H7:H11)</f>
        <v>0.11199999999999999</v>
      </c>
    </row>
    <row r="15" spans="1:11">
      <c r="A15" s="147"/>
      <c r="B15" s="147"/>
      <c r="C15" s="147"/>
      <c r="D15" s="147"/>
      <c r="E15" s="289"/>
      <c r="F15" s="277" t="s">
        <v>214</v>
      </c>
      <c r="G15" s="277"/>
      <c r="H15" s="148"/>
    </row>
    <row r="16" spans="1:11">
      <c r="A16" s="283" t="s">
        <v>215</v>
      </c>
      <c r="B16" s="283"/>
      <c r="C16" s="279" t="s">
        <v>216</v>
      </c>
      <c r="D16" s="284"/>
      <c r="E16" s="284"/>
      <c r="F16" s="284"/>
      <c r="G16" s="280"/>
      <c r="H16" s="149" t="s">
        <v>223</v>
      </c>
    </row>
    <row r="17" spans="1:8" ht="27">
      <c r="A17" s="283"/>
      <c r="B17" s="283"/>
      <c r="C17" s="156" t="s">
        <v>224</v>
      </c>
      <c r="D17" s="156" t="s">
        <v>224</v>
      </c>
      <c r="E17" s="290" t="s">
        <v>227</v>
      </c>
      <c r="F17" s="157" t="s">
        <v>226</v>
      </c>
      <c r="G17" s="157" t="s">
        <v>225</v>
      </c>
      <c r="H17" s="160">
        <f>销量!D8</f>
        <v>1372</v>
      </c>
    </row>
    <row r="18" spans="1:8">
      <c r="A18" s="278" t="s">
        <v>217</v>
      </c>
      <c r="B18" s="278"/>
      <c r="C18" s="3"/>
      <c r="D18" s="151">
        <f>$H$17*E18</f>
        <v>64.895600000000002</v>
      </c>
      <c r="E18" s="155">
        <f t="shared" ref="E18:E25" si="1">E4</f>
        <v>4.7300000000000002E-2</v>
      </c>
      <c r="F18" s="151"/>
      <c r="G18" s="152">
        <v>4.48E-2</v>
      </c>
    </row>
    <row r="19" spans="1:8">
      <c r="A19" s="278" t="s">
        <v>218</v>
      </c>
      <c r="B19" s="174" t="s">
        <v>219</v>
      </c>
      <c r="C19" s="3"/>
      <c r="D19" s="151">
        <v>0</v>
      </c>
      <c r="E19" s="155">
        <f t="shared" si="1"/>
        <v>4.8099999999999997E-2</v>
      </c>
      <c r="F19" s="151"/>
      <c r="G19" s="152">
        <v>4.0399999999999998E-2</v>
      </c>
    </row>
    <row r="20" spans="1:8">
      <c r="A20" s="278"/>
      <c r="B20" s="174" t="s">
        <v>220</v>
      </c>
      <c r="C20" s="3"/>
      <c r="D20" s="151">
        <f t="shared" ref="D20:D25" si="2">$H$17*E20</f>
        <v>20.168399999999998</v>
      </c>
      <c r="E20" s="155">
        <f t="shared" si="1"/>
        <v>1.47E-2</v>
      </c>
      <c r="F20" s="151"/>
      <c r="G20" s="152">
        <v>1.66E-2</v>
      </c>
    </row>
    <row r="21" spans="1:8">
      <c r="A21" s="279" t="s">
        <v>221</v>
      </c>
      <c r="B21" s="280"/>
      <c r="C21" s="154"/>
      <c r="D21" s="151"/>
      <c r="E21" s="155">
        <f t="shared" si="1"/>
        <v>0.1101</v>
      </c>
      <c r="F21" s="151"/>
      <c r="G21" s="155">
        <f>SUM(G18:G20)</f>
        <v>0.1018</v>
      </c>
    </row>
    <row r="22" spans="1:8">
      <c r="A22" s="278" t="s">
        <v>48</v>
      </c>
      <c r="B22" s="278"/>
      <c r="C22" s="3"/>
      <c r="D22" s="151">
        <v>0</v>
      </c>
      <c r="E22" s="155">
        <f t="shared" si="1"/>
        <v>7.6399999999999996E-2</v>
      </c>
      <c r="F22" s="151"/>
      <c r="G22" s="152">
        <f>1.97%+0.75%</f>
        <v>2.7199999999999998E-2</v>
      </c>
    </row>
    <row r="23" spans="1:8">
      <c r="A23" s="281" t="s">
        <v>222</v>
      </c>
      <c r="B23" s="174" t="s">
        <v>219</v>
      </c>
      <c r="C23" s="3"/>
      <c r="D23" s="151">
        <v>0</v>
      </c>
      <c r="E23" s="155">
        <f t="shared" si="1"/>
        <v>8.0999999999999996E-3</v>
      </c>
      <c r="F23" s="151"/>
      <c r="G23" s="152">
        <v>5.3E-3</v>
      </c>
    </row>
    <row r="24" spans="1:8">
      <c r="A24" s="282"/>
      <c r="B24" s="174" t="s">
        <v>220</v>
      </c>
      <c r="C24" s="3"/>
      <c r="D24" s="151">
        <f t="shared" si="2"/>
        <v>13.72</v>
      </c>
      <c r="E24" s="150">
        <f t="shared" si="1"/>
        <v>0.01</v>
      </c>
      <c r="F24" s="151"/>
      <c r="G24" s="152">
        <v>3.4099999999999998E-2</v>
      </c>
    </row>
    <row r="25" spans="1:8">
      <c r="A25" s="278" t="s">
        <v>51</v>
      </c>
      <c r="B25" s="278"/>
      <c r="C25" s="3"/>
      <c r="D25" s="151">
        <f t="shared" si="2"/>
        <v>54.88</v>
      </c>
      <c r="E25" s="155">
        <f t="shared" si="1"/>
        <v>0.04</v>
      </c>
      <c r="F25" s="151"/>
      <c r="G25" s="152">
        <v>1.0999999999999999E-2</v>
      </c>
    </row>
    <row r="29" spans="1:8">
      <c r="A29" s="147"/>
      <c r="B29" s="147"/>
      <c r="C29" s="147"/>
      <c r="D29" s="147"/>
      <c r="E29" s="289"/>
      <c r="F29" s="277" t="s">
        <v>214</v>
      </c>
      <c r="G29" s="277"/>
      <c r="H29" s="148"/>
    </row>
    <row r="30" spans="1:8">
      <c r="A30" s="283" t="s">
        <v>215</v>
      </c>
      <c r="B30" s="283"/>
      <c r="C30" s="279" t="s">
        <v>216</v>
      </c>
      <c r="D30" s="284"/>
      <c r="E30" s="284"/>
      <c r="F30" s="284"/>
      <c r="G30" s="280"/>
      <c r="H30" s="149" t="s">
        <v>223</v>
      </c>
    </row>
    <row r="31" spans="1:8" ht="27">
      <c r="A31" s="283"/>
      <c r="B31" s="283"/>
      <c r="C31" s="156" t="s">
        <v>224</v>
      </c>
      <c r="D31" s="156" t="s">
        <v>224</v>
      </c>
      <c r="E31" s="290" t="s">
        <v>227</v>
      </c>
      <c r="F31" s="157" t="s">
        <v>226</v>
      </c>
      <c r="G31" s="157" t="s">
        <v>225</v>
      </c>
      <c r="H31" s="160">
        <f>销量!E8</f>
        <v>1730</v>
      </c>
    </row>
    <row r="32" spans="1:8">
      <c r="A32" s="278" t="s">
        <v>217</v>
      </c>
      <c r="B32" s="278"/>
      <c r="C32" s="3"/>
      <c r="D32" s="151">
        <f>$H$31*E32</f>
        <v>81.829000000000008</v>
      </c>
      <c r="E32" s="155">
        <f t="shared" ref="E32:E39" si="3">E4</f>
        <v>4.7300000000000002E-2</v>
      </c>
      <c r="F32" s="151"/>
      <c r="G32" s="152">
        <v>4.48E-2</v>
      </c>
    </row>
    <row r="33" spans="1:8">
      <c r="A33" s="278" t="s">
        <v>218</v>
      </c>
      <c r="B33" s="174" t="s">
        <v>219</v>
      </c>
      <c r="C33" s="3"/>
      <c r="D33" s="151">
        <v>0</v>
      </c>
      <c r="E33" s="155">
        <f t="shared" si="3"/>
        <v>4.8099999999999997E-2</v>
      </c>
      <c r="F33" s="151"/>
      <c r="G33" s="152">
        <v>4.0399999999999998E-2</v>
      </c>
    </row>
    <row r="34" spans="1:8">
      <c r="A34" s="278"/>
      <c r="B34" s="174" t="s">
        <v>220</v>
      </c>
      <c r="C34" s="3"/>
      <c r="D34" s="151">
        <f t="shared" ref="D34:D39" si="4">$H$31*E34</f>
        <v>25.431000000000001</v>
      </c>
      <c r="E34" s="155">
        <f t="shared" si="3"/>
        <v>1.47E-2</v>
      </c>
      <c r="F34" s="151"/>
      <c r="G34" s="152">
        <v>1.66E-2</v>
      </c>
    </row>
    <row r="35" spans="1:8">
      <c r="A35" s="279" t="s">
        <v>221</v>
      </c>
      <c r="B35" s="280"/>
      <c r="C35" s="154"/>
      <c r="D35" s="151">
        <f t="shared" si="4"/>
        <v>190.47300000000001</v>
      </c>
      <c r="E35" s="155">
        <f t="shared" si="3"/>
        <v>0.1101</v>
      </c>
      <c r="F35" s="155"/>
      <c r="G35" s="155">
        <f>SUM(G32:G34)</f>
        <v>0.1018</v>
      </c>
    </row>
    <row r="36" spans="1:8">
      <c r="A36" s="278" t="s">
        <v>48</v>
      </c>
      <c r="B36" s="278"/>
      <c r="C36" s="3"/>
      <c r="D36" s="151">
        <v>0</v>
      </c>
      <c r="E36" s="155">
        <f t="shared" si="3"/>
        <v>7.6399999999999996E-2</v>
      </c>
      <c r="F36" s="151"/>
      <c r="G36" s="152">
        <f>1.97%+0.75%</f>
        <v>2.7199999999999998E-2</v>
      </c>
    </row>
    <row r="37" spans="1:8">
      <c r="A37" s="281" t="s">
        <v>222</v>
      </c>
      <c r="B37" s="174" t="s">
        <v>219</v>
      </c>
      <c r="C37" s="3"/>
      <c r="D37" s="151">
        <v>0</v>
      </c>
      <c r="E37" s="155">
        <f t="shared" si="3"/>
        <v>8.0999999999999996E-3</v>
      </c>
      <c r="F37" s="151"/>
      <c r="G37" s="152">
        <v>5.3E-3</v>
      </c>
    </row>
    <row r="38" spans="1:8">
      <c r="A38" s="282"/>
      <c r="B38" s="174" t="s">
        <v>220</v>
      </c>
      <c r="C38" s="3"/>
      <c r="D38" s="151">
        <f t="shared" si="4"/>
        <v>17.3</v>
      </c>
      <c r="E38" s="150">
        <f t="shared" si="3"/>
        <v>0.01</v>
      </c>
      <c r="F38" s="151"/>
      <c r="G38" s="152">
        <v>3.4099999999999998E-2</v>
      </c>
    </row>
    <row r="39" spans="1:8">
      <c r="A39" s="278" t="s">
        <v>51</v>
      </c>
      <c r="B39" s="278"/>
      <c r="C39" s="3"/>
      <c r="D39" s="151">
        <f t="shared" si="4"/>
        <v>69.2</v>
      </c>
      <c r="E39" s="155">
        <f t="shared" si="3"/>
        <v>0.04</v>
      </c>
      <c r="F39" s="151"/>
      <c r="G39" s="152">
        <v>1.0999999999999999E-2</v>
      </c>
    </row>
    <row r="42" spans="1:8">
      <c r="A42" s="147"/>
      <c r="B42" s="147"/>
      <c r="C42" s="147"/>
      <c r="D42" s="147"/>
      <c r="E42" s="289"/>
      <c r="F42" s="277" t="s">
        <v>214</v>
      </c>
      <c r="G42" s="277"/>
      <c r="H42" s="148"/>
    </row>
    <row r="43" spans="1:8">
      <c r="A43" s="283" t="s">
        <v>215</v>
      </c>
      <c r="B43" s="283"/>
      <c r="C43" s="279" t="s">
        <v>216</v>
      </c>
      <c r="D43" s="284"/>
      <c r="E43" s="284"/>
      <c r="F43" s="284"/>
      <c r="G43" s="280"/>
      <c r="H43" s="149" t="s">
        <v>223</v>
      </c>
    </row>
    <row r="44" spans="1:8" ht="27">
      <c r="A44" s="283"/>
      <c r="B44" s="283"/>
      <c r="C44" s="156" t="s">
        <v>224</v>
      </c>
      <c r="D44" s="156" t="s">
        <v>224</v>
      </c>
      <c r="E44" s="290" t="s">
        <v>227</v>
      </c>
      <c r="F44" s="157" t="s">
        <v>226</v>
      </c>
      <c r="G44" s="157" t="s">
        <v>225</v>
      </c>
      <c r="H44" s="160">
        <f>销量!F8</f>
        <v>1437.4</v>
      </c>
    </row>
    <row r="45" spans="1:8">
      <c r="A45" s="278" t="s">
        <v>217</v>
      </c>
      <c r="B45" s="278"/>
      <c r="C45" s="3"/>
      <c r="D45" s="151">
        <f>$H$44*E45</f>
        <v>67.989020000000011</v>
      </c>
      <c r="E45" s="155">
        <f t="shared" ref="E45:E52" si="5">E4</f>
        <v>4.7300000000000002E-2</v>
      </c>
      <c r="F45" s="151"/>
      <c r="G45" s="152">
        <v>4.48E-2</v>
      </c>
    </row>
    <row r="46" spans="1:8">
      <c r="A46" s="278" t="s">
        <v>218</v>
      </c>
      <c r="B46" s="174" t="s">
        <v>219</v>
      </c>
      <c r="C46" s="3"/>
      <c r="D46" s="151">
        <v>0</v>
      </c>
      <c r="E46" s="155">
        <f t="shared" si="5"/>
        <v>4.8099999999999997E-2</v>
      </c>
      <c r="F46" s="151"/>
      <c r="G46" s="152">
        <v>4.0399999999999998E-2</v>
      </c>
    </row>
    <row r="47" spans="1:8">
      <c r="A47" s="278"/>
      <c r="B47" s="174" t="s">
        <v>220</v>
      </c>
      <c r="C47" s="3"/>
      <c r="D47" s="151">
        <f t="shared" ref="D47:D52" si="6">$H$44*E47</f>
        <v>21.12978</v>
      </c>
      <c r="E47" s="155">
        <f t="shared" si="5"/>
        <v>1.47E-2</v>
      </c>
      <c r="F47" s="151"/>
      <c r="G47" s="152">
        <v>1.66E-2</v>
      </c>
    </row>
    <row r="48" spans="1:8">
      <c r="A48" s="279" t="s">
        <v>221</v>
      </c>
      <c r="B48" s="280"/>
      <c r="C48" s="154"/>
      <c r="D48" s="151">
        <f t="shared" si="6"/>
        <v>158.25774000000001</v>
      </c>
      <c r="E48" s="155">
        <f t="shared" si="5"/>
        <v>0.1101</v>
      </c>
      <c r="F48" s="155"/>
      <c r="G48" s="155">
        <f>SUM(G45:G47)</f>
        <v>0.1018</v>
      </c>
    </row>
    <row r="49" spans="1:8">
      <c r="A49" s="278" t="s">
        <v>48</v>
      </c>
      <c r="B49" s="278"/>
      <c r="C49" s="3"/>
      <c r="D49" s="151">
        <v>0</v>
      </c>
      <c r="E49" s="155">
        <f t="shared" si="5"/>
        <v>7.6399999999999996E-2</v>
      </c>
      <c r="F49" s="151"/>
      <c r="G49" s="152">
        <f>1.97%+0.75%</f>
        <v>2.7199999999999998E-2</v>
      </c>
    </row>
    <row r="50" spans="1:8">
      <c r="A50" s="281" t="s">
        <v>222</v>
      </c>
      <c r="B50" s="174" t="s">
        <v>219</v>
      </c>
      <c r="C50" s="3"/>
      <c r="D50" s="151">
        <v>0</v>
      </c>
      <c r="E50" s="155">
        <f t="shared" si="5"/>
        <v>8.0999999999999996E-3</v>
      </c>
      <c r="F50" s="151"/>
      <c r="G50" s="152">
        <v>5.3E-3</v>
      </c>
    </row>
    <row r="51" spans="1:8">
      <c r="A51" s="282"/>
      <c r="B51" s="174" t="s">
        <v>220</v>
      </c>
      <c r="C51" s="3"/>
      <c r="D51" s="151">
        <f t="shared" si="6"/>
        <v>14.374000000000001</v>
      </c>
      <c r="E51" s="150">
        <f t="shared" si="5"/>
        <v>0.01</v>
      </c>
      <c r="F51" s="151"/>
      <c r="G51" s="152">
        <v>3.4099999999999998E-2</v>
      </c>
    </row>
    <row r="52" spans="1:8">
      <c r="A52" s="278" t="s">
        <v>51</v>
      </c>
      <c r="B52" s="278"/>
      <c r="C52" s="3"/>
      <c r="D52" s="151">
        <f t="shared" si="6"/>
        <v>57.496000000000002</v>
      </c>
      <c r="E52" s="155">
        <f t="shared" si="5"/>
        <v>0.04</v>
      </c>
      <c r="F52" s="151"/>
      <c r="G52" s="152">
        <v>1.0999999999999999E-2</v>
      </c>
    </row>
    <row r="55" spans="1:8">
      <c r="A55" s="147"/>
      <c r="B55" s="147"/>
      <c r="C55" s="147"/>
      <c r="D55" s="147"/>
      <c r="E55" s="289"/>
      <c r="F55" s="277" t="s">
        <v>214</v>
      </c>
      <c r="G55" s="277"/>
      <c r="H55" s="148"/>
    </row>
    <row r="56" spans="1:8">
      <c r="A56" s="283" t="s">
        <v>215</v>
      </c>
      <c r="B56" s="283"/>
      <c r="C56" s="279" t="s">
        <v>216</v>
      </c>
      <c r="D56" s="284"/>
      <c r="E56" s="284"/>
      <c r="F56" s="284"/>
      <c r="G56" s="280"/>
      <c r="H56" s="149" t="s">
        <v>223</v>
      </c>
    </row>
    <row r="57" spans="1:8" ht="27">
      <c r="A57" s="283"/>
      <c r="B57" s="283"/>
      <c r="C57" s="156" t="s">
        <v>224</v>
      </c>
      <c r="D57" s="156" t="s">
        <v>224</v>
      </c>
      <c r="E57" s="290" t="s">
        <v>227</v>
      </c>
      <c r="F57" s="157" t="s">
        <v>226</v>
      </c>
      <c r="G57" s="157" t="s">
        <v>225</v>
      </c>
      <c r="H57" s="160">
        <f>销量!G8</f>
        <v>1589.4</v>
      </c>
    </row>
    <row r="58" spans="1:8">
      <c r="A58" s="278" t="s">
        <v>217</v>
      </c>
      <c r="B58" s="278"/>
      <c r="C58" s="3"/>
      <c r="D58" s="151">
        <f>$H$57*E58</f>
        <v>75.178620000000009</v>
      </c>
      <c r="E58" s="155">
        <f t="shared" ref="E58:E65" si="7">E4</f>
        <v>4.7300000000000002E-2</v>
      </c>
      <c r="F58" s="151"/>
      <c r="G58" s="152">
        <v>4.48E-2</v>
      </c>
    </row>
    <row r="59" spans="1:8">
      <c r="A59" s="278" t="s">
        <v>218</v>
      </c>
      <c r="B59" s="174" t="s">
        <v>219</v>
      </c>
      <c r="C59" s="3"/>
      <c r="D59" s="151">
        <v>0</v>
      </c>
      <c r="E59" s="155">
        <f t="shared" si="7"/>
        <v>4.8099999999999997E-2</v>
      </c>
      <c r="F59" s="151"/>
      <c r="G59" s="152">
        <v>4.0399999999999998E-2</v>
      </c>
    </row>
    <row r="60" spans="1:8">
      <c r="A60" s="278"/>
      <c r="B60" s="174" t="s">
        <v>220</v>
      </c>
      <c r="C60" s="3"/>
      <c r="D60" s="151">
        <f t="shared" ref="D60:D65" si="8">$H$57*E60</f>
        <v>23.364180000000001</v>
      </c>
      <c r="E60" s="155">
        <f t="shared" si="7"/>
        <v>1.47E-2</v>
      </c>
      <c r="F60" s="151"/>
      <c r="G60" s="152">
        <v>1.66E-2</v>
      </c>
    </row>
    <row r="61" spans="1:8">
      <c r="A61" s="279" t="s">
        <v>221</v>
      </c>
      <c r="B61" s="280"/>
      <c r="C61" s="154"/>
      <c r="D61" s="151">
        <f t="shared" si="8"/>
        <v>174.99294</v>
      </c>
      <c r="E61" s="155">
        <f t="shared" si="7"/>
        <v>0.1101</v>
      </c>
      <c r="F61" s="155"/>
      <c r="G61" s="155">
        <f>SUM(G58:G60)</f>
        <v>0.1018</v>
      </c>
    </row>
    <row r="62" spans="1:8">
      <c r="A62" s="278" t="s">
        <v>48</v>
      </c>
      <c r="B62" s="278"/>
      <c r="C62" s="3"/>
      <c r="D62" s="151">
        <v>0</v>
      </c>
      <c r="E62" s="155">
        <f t="shared" si="7"/>
        <v>7.6399999999999996E-2</v>
      </c>
      <c r="F62" s="151"/>
      <c r="G62" s="152">
        <f>1.97%+0.75%</f>
        <v>2.7199999999999998E-2</v>
      </c>
    </row>
    <row r="63" spans="1:8">
      <c r="A63" s="281" t="s">
        <v>222</v>
      </c>
      <c r="B63" s="174" t="s">
        <v>219</v>
      </c>
      <c r="C63" s="3"/>
      <c r="D63" s="151">
        <v>0</v>
      </c>
      <c r="E63" s="155">
        <f t="shared" si="7"/>
        <v>8.0999999999999996E-3</v>
      </c>
      <c r="F63" s="151"/>
      <c r="G63" s="152">
        <v>5.3E-3</v>
      </c>
    </row>
    <row r="64" spans="1:8">
      <c r="A64" s="282"/>
      <c r="B64" s="174" t="s">
        <v>220</v>
      </c>
      <c r="C64" s="3"/>
      <c r="D64" s="151">
        <f>$H$57*H64</f>
        <v>0</v>
      </c>
      <c r="E64" s="150">
        <f t="shared" si="7"/>
        <v>0.01</v>
      </c>
      <c r="F64" s="151"/>
      <c r="G64" s="152">
        <v>3.4099999999999998E-2</v>
      </c>
    </row>
    <row r="65" spans="1:8">
      <c r="A65" s="278" t="s">
        <v>51</v>
      </c>
      <c r="B65" s="278"/>
      <c r="C65" s="3"/>
      <c r="D65" s="151">
        <f t="shared" si="8"/>
        <v>63.576000000000008</v>
      </c>
      <c r="E65" s="155">
        <f t="shared" si="7"/>
        <v>0.04</v>
      </c>
      <c r="F65" s="151"/>
      <c r="G65" s="152">
        <v>1.0999999999999999E-2</v>
      </c>
    </row>
    <row r="68" spans="1:8">
      <c r="A68" s="147"/>
      <c r="B68" s="147"/>
      <c r="C68" s="147"/>
      <c r="D68" s="147"/>
      <c r="E68" s="289"/>
      <c r="F68" s="277" t="s">
        <v>214</v>
      </c>
      <c r="G68" s="277"/>
      <c r="H68" s="148"/>
    </row>
    <row r="69" spans="1:8">
      <c r="A69" s="283" t="s">
        <v>215</v>
      </c>
      <c r="B69" s="283"/>
      <c r="C69" s="279" t="s">
        <v>216</v>
      </c>
      <c r="D69" s="284"/>
      <c r="E69" s="284"/>
      <c r="F69" s="284"/>
      <c r="G69" s="280"/>
      <c r="H69" s="149" t="s">
        <v>223</v>
      </c>
    </row>
    <row r="70" spans="1:8" ht="27">
      <c r="A70" s="283"/>
      <c r="B70" s="283"/>
      <c r="C70" s="156" t="s">
        <v>224</v>
      </c>
      <c r="D70" s="156" t="s">
        <v>224</v>
      </c>
      <c r="E70" s="290" t="s">
        <v>227</v>
      </c>
      <c r="F70" s="157" t="s">
        <v>226</v>
      </c>
      <c r="G70" s="157" t="s">
        <v>225</v>
      </c>
      <c r="H70" s="160">
        <f>销量!H8</f>
        <v>1947.4</v>
      </c>
    </row>
    <row r="71" spans="1:8">
      <c r="A71" s="278" t="s">
        <v>217</v>
      </c>
      <c r="B71" s="278"/>
      <c r="C71" s="3"/>
      <c r="D71" s="151">
        <f>$H$70*E71</f>
        <v>92.112020000000001</v>
      </c>
      <c r="E71" s="155">
        <f t="shared" ref="E71:E78" si="9">E4</f>
        <v>4.7300000000000002E-2</v>
      </c>
      <c r="F71" s="151"/>
      <c r="G71" s="152">
        <v>4.48E-2</v>
      </c>
    </row>
    <row r="72" spans="1:8">
      <c r="A72" s="278" t="s">
        <v>218</v>
      </c>
      <c r="B72" s="174" t="s">
        <v>219</v>
      </c>
      <c r="C72" s="3"/>
      <c r="D72" s="151">
        <v>0</v>
      </c>
      <c r="E72" s="155">
        <f t="shared" si="9"/>
        <v>4.8099999999999997E-2</v>
      </c>
      <c r="F72" s="151"/>
      <c r="G72" s="152">
        <v>4.0399999999999998E-2</v>
      </c>
    </row>
    <row r="73" spans="1:8">
      <c r="A73" s="278"/>
      <c r="B73" s="174" t="s">
        <v>220</v>
      </c>
      <c r="C73" s="3"/>
      <c r="D73" s="151">
        <f t="shared" ref="D73:D78" si="10">$H$70*E73</f>
        <v>28.62678</v>
      </c>
      <c r="E73" s="155">
        <f t="shared" si="9"/>
        <v>1.47E-2</v>
      </c>
      <c r="F73" s="151"/>
      <c r="G73" s="152">
        <v>1.66E-2</v>
      </c>
    </row>
    <row r="74" spans="1:8">
      <c r="A74" s="279" t="s">
        <v>221</v>
      </c>
      <c r="B74" s="280"/>
      <c r="C74" s="154"/>
      <c r="D74" s="151">
        <f t="shared" si="10"/>
        <v>214.40874000000002</v>
      </c>
      <c r="E74" s="155">
        <f t="shared" si="9"/>
        <v>0.1101</v>
      </c>
      <c r="F74" s="155"/>
      <c r="G74" s="155">
        <f>SUM(G71:G73)</f>
        <v>0.1018</v>
      </c>
    </row>
    <row r="75" spans="1:8">
      <c r="A75" s="278" t="s">
        <v>48</v>
      </c>
      <c r="B75" s="278"/>
      <c r="C75" s="3"/>
      <c r="D75" s="151">
        <v>0</v>
      </c>
      <c r="E75" s="155">
        <f t="shared" si="9"/>
        <v>7.6399999999999996E-2</v>
      </c>
      <c r="F75" s="151"/>
      <c r="G75" s="152">
        <f>1.97%+0.75%</f>
        <v>2.7199999999999998E-2</v>
      </c>
    </row>
    <row r="76" spans="1:8">
      <c r="A76" s="281" t="s">
        <v>222</v>
      </c>
      <c r="B76" s="174" t="s">
        <v>219</v>
      </c>
      <c r="C76" s="3"/>
      <c r="D76" s="151">
        <v>0</v>
      </c>
      <c r="E76" s="155">
        <f t="shared" si="9"/>
        <v>8.0999999999999996E-3</v>
      </c>
      <c r="F76" s="151"/>
      <c r="G76" s="152">
        <v>5.3E-3</v>
      </c>
    </row>
    <row r="77" spans="1:8">
      <c r="A77" s="282"/>
      <c r="B77" s="174" t="s">
        <v>220</v>
      </c>
      <c r="C77" s="3"/>
      <c r="D77" s="151">
        <f t="shared" si="10"/>
        <v>19.474</v>
      </c>
      <c r="E77" s="150">
        <f t="shared" si="9"/>
        <v>0.01</v>
      </c>
      <c r="F77" s="151"/>
      <c r="G77" s="152">
        <v>3.4099999999999998E-2</v>
      </c>
    </row>
    <row r="78" spans="1:8">
      <c r="A78" s="278" t="s">
        <v>51</v>
      </c>
      <c r="B78" s="278"/>
      <c r="C78" s="3"/>
      <c r="D78" s="151">
        <f t="shared" si="10"/>
        <v>77.896000000000001</v>
      </c>
      <c r="E78" s="155">
        <f t="shared" si="9"/>
        <v>0.04</v>
      </c>
      <c r="F78" s="151"/>
      <c r="G78" s="152">
        <v>1.0999999999999999E-2</v>
      </c>
    </row>
    <row r="81" spans="1:8">
      <c r="A81" s="147"/>
      <c r="B81" s="147"/>
      <c r="C81" s="147"/>
      <c r="D81" s="147"/>
      <c r="E81" s="289"/>
      <c r="F81" s="277" t="s">
        <v>214</v>
      </c>
      <c r="G81" s="277"/>
      <c r="H81" s="148"/>
    </row>
    <row r="82" spans="1:8">
      <c r="A82" s="283" t="s">
        <v>215</v>
      </c>
      <c r="B82" s="283"/>
      <c r="C82" s="279" t="s">
        <v>216</v>
      </c>
      <c r="D82" s="284"/>
      <c r="E82" s="284"/>
      <c r="F82" s="284"/>
      <c r="G82" s="280"/>
      <c r="H82" s="149" t="s">
        <v>223</v>
      </c>
    </row>
    <row r="83" spans="1:8" ht="27">
      <c r="A83" s="283"/>
      <c r="B83" s="283"/>
      <c r="C83" s="156" t="s">
        <v>224</v>
      </c>
      <c r="D83" s="156" t="s">
        <v>224</v>
      </c>
      <c r="E83" s="290" t="s">
        <v>227</v>
      </c>
      <c r="F83" s="157" t="s">
        <v>226</v>
      </c>
      <c r="G83" s="157" t="s">
        <v>225</v>
      </c>
      <c r="H83" s="160">
        <f>销量!I8</f>
        <v>500</v>
      </c>
    </row>
    <row r="84" spans="1:8">
      <c r="A84" s="278" t="s">
        <v>217</v>
      </c>
      <c r="B84" s="278"/>
      <c r="C84" s="3"/>
      <c r="D84" s="151">
        <f>$H$83*E84</f>
        <v>23.650000000000002</v>
      </c>
      <c r="E84" s="155">
        <f t="shared" ref="E84:E91" si="11">E4</f>
        <v>4.7300000000000002E-2</v>
      </c>
      <c r="F84" s="151"/>
      <c r="G84" s="152">
        <v>4.48E-2</v>
      </c>
    </row>
    <row r="85" spans="1:8">
      <c r="A85" s="278" t="s">
        <v>218</v>
      </c>
      <c r="B85" s="185" t="s">
        <v>219</v>
      </c>
      <c r="C85" s="3"/>
      <c r="D85" s="151">
        <v>0</v>
      </c>
      <c r="E85" s="155">
        <f t="shared" si="11"/>
        <v>4.8099999999999997E-2</v>
      </c>
      <c r="F85" s="151"/>
      <c r="G85" s="152">
        <v>4.0399999999999998E-2</v>
      </c>
    </row>
    <row r="86" spans="1:8">
      <c r="A86" s="278"/>
      <c r="B86" s="185" t="s">
        <v>220</v>
      </c>
      <c r="C86" s="3"/>
      <c r="D86" s="151">
        <f t="shared" ref="D86" si="12">$H$83*E86</f>
        <v>7.35</v>
      </c>
      <c r="E86" s="155">
        <f t="shared" si="11"/>
        <v>1.47E-2</v>
      </c>
      <c r="F86" s="151"/>
      <c r="G86" s="152">
        <v>1.66E-2</v>
      </c>
    </row>
    <row r="87" spans="1:8">
      <c r="A87" s="279" t="s">
        <v>221</v>
      </c>
      <c r="B87" s="280"/>
      <c r="C87" s="154"/>
      <c r="D87" s="151">
        <f>$H$83*E87</f>
        <v>55.050000000000004</v>
      </c>
      <c r="E87" s="155">
        <f t="shared" si="11"/>
        <v>0.1101</v>
      </c>
      <c r="F87" s="155"/>
      <c r="G87" s="155">
        <f>SUM(G84:G86)</f>
        <v>0.1018</v>
      </c>
    </row>
    <row r="88" spans="1:8">
      <c r="A88" s="278" t="s">
        <v>48</v>
      </c>
      <c r="B88" s="278"/>
      <c r="C88" s="3"/>
      <c r="D88" s="151">
        <v>0</v>
      </c>
      <c r="E88" s="155">
        <f t="shared" si="11"/>
        <v>7.6399999999999996E-2</v>
      </c>
      <c r="F88" s="151"/>
      <c r="G88" s="152">
        <f>1.97%+0.75%</f>
        <v>2.7199999999999998E-2</v>
      </c>
    </row>
    <row r="89" spans="1:8">
      <c r="A89" s="281" t="s">
        <v>222</v>
      </c>
      <c r="B89" s="185" t="s">
        <v>219</v>
      </c>
      <c r="C89" s="3"/>
      <c r="D89" s="151">
        <v>0</v>
      </c>
      <c r="E89" s="155">
        <f t="shared" si="11"/>
        <v>8.0999999999999996E-3</v>
      </c>
      <c r="F89" s="151"/>
      <c r="G89" s="152">
        <v>5.3E-3</v>
      </c>
    </row>
    <row r="90" spans="1:8">
      <c r="A90" s="282"/>
      <c r="B90" s="185" t="s">
        <v>220</v>
      </c>
      <c r="C90" s="3"/>
      <c r="D90" s="151">
        <f t="shared" ref="D90:D91" si="13">$H$83*E90</f>
        <v>5</v>
      </c>
      <c r="E90" s="150">
        <f t="shared" si="11"/>
        <v>0.01</v>
      </c>
      <c r="F90" s="151"/>
      <c r="G90" s="152">
        <v>3.4099999999999998E-2</v>
      </c>
    </row>
    <row r="91" spans="1:8">
      <c r="A91" s="278" t="s">
        <v>51</v>
      </c>
      <c r="B91" s="278"/>
      <c r="C91" s="3"/>
      <c r="D91" s="151">
        <f t="shared" si="13"/>
        <v>20</v>
      </c>
      <c r="E91" s="155">
        <f t="shared" si="11"/>
        <v>0.04</v>
      </c>
      <c r="F91" s="151"/>
      <c r="G91" s="152">
        <v>1.0999999999999999E-2</v>
      </c>
    </row>
    <row r="94" spans="1:8">
      <c r="A94" s="147"/>
      <c r="B94" s="147"/>
      <c r="C94" s="147"/>
      <c r="D94" s="147"/>
      <c r="E94" s="289"/>
      <c r="F94" s="277" t="s">
        <v>214</v>
      </c>
      <c r="G94" s="277"/>
      <c r="H94" s="148"/>
    </row>
    <row r="95" spans="1:8">
      <c r="A95" s="283" t="s">
        <v>215</v>
      </c>
      <c r="B95" s="283"/>
      <c r="C95" s="279" t="s">
        <v>216</v>
      </c>
      <c r="D95" s="284"/>
      <c r="E95" s="284"/>
      <c r="F95" s="284"/>
      <c r="G95" s="280"/>
      <c r="H95" s="149" t="s">
        <v>223</v>
      </c>
    </row>
    <row r="96" spans="1:8" ht="27">
      <c r="A96" s="283"/>
      <c r="B96" s="283"/>
      <c r="C96" s="156" t="s">
        <v>224</v>
      </c>
      <c r="D96" s="156" t="s">
        <v>224</v>
      </c>
      <c r="E96" s="290" t="s">
        <v>227</v>
      </c>
      <c r="F96" s="157" t="s">
        <v>226</v>
      </c>
      <c r="G96" s="157" t="s">
        <v>225</v>
      </c>
      <c r="H96" s="160">
        <f>销量!J8</f>
        <v>0</v>
      </c>
    </row>
    <row r="97" spans="1:8">
      <c r="A97" s="278" t="s">
        <v>217</v>
      </c>
      <c r="B97" s="278"/>
      <c r="C97" s="3"/>
      <c r="D97" s="151">
        <f>$H$96*E97</f>
        <v>0</v>
      </c>
      <c r="E97" s="155">
        <f t="shared" ref="E97:E104" si="14">E4</f>
        <v>4.7300000000000002E-2</v>
      </c>
      <c r="F97" s="151"/>
      <c r="G97" s="152">
        <v>4.48E-2</v>
      </c>
    </row>
    <row r="98" spans="1:8">
      <c r="A98" s="278" t="s">
        <v>218</v>
      </c>
      <c r="B98" s="185" t="s">
        <v>219</v>
      </c>
      <c r="C98" s="3"/>
      <c r="D98" s="151">
        <v>0</v>
      </c>
      <c r="E98" s="155">
        <f t="shared" si="14"/>
        <v>4.8099999999999997E-2</v>
      </c>
      <c r="F98" s="151"/>
      <c r="G98" s="152">
        <v>4.0399999999999998E-2</v>
      </c>
    </row>
    <row r="99" spans="1:8">
      <c r="A99" s="278"/>
      <c r="B99" s="185" t="s">
        <v>220</v>
      </c>
      <c r="C99" s="3"/>
      <c r="D99" s="151">
        <f t="shared" ref="D99:D104" si="15">$H$96*E99</f>
        <v>0</v>
      </c>
      <c r="E99" s="155">
        <f t="shared" si="14"/>
        <v>1.47E-2</v>
      </c>
      <c r="F99" s="151"/>
      <c r="G99" s="152">
        <v>1.66E-2</v>
      </c>
    </row>
    <row r="100" spans="1:8">
      <c r="A100" s="279" t="s">
        <v>221</v>
      </c>
      <c r="B100" s="280"/>
      <c r="C100" s="154"/>
      <c r="D100" s="151">
        <f t="shared" si="15"/>
        <v>0</v>
      </c>
      <c r="E100" s="155">
        <f t="shared" si="14"/>
        <v>0.1101</v>
      </c>
      <c r="F100" s="155"/>
      <c r="G100" s="155">
        <f>SUM(G97:G99)</f>
        <v>0.1018</v>
      </c>
    </row>
    <row r="101" spans="1:8">
      <c r="A101" s="278" t="s">
        <v>48</v>
      </c>
      <c r="B101" s="278"/>
      <c r="C101" s="3"/>
      <c r="D101" s="151">
        <v>0</v>
      </c>
      <c r="E101" s="155">
        <f t="shared" si="14"/>
        <v>7.6399999999999996E-2</v>
      </c>
      <c r="F101" s="151"/>
      <c r="G101" s="152">
        <f>1.97%+0.75%</f>
        <v>2.7199999999999998E-2</v>
      </c>
    </row>
    <row r="102" spans="1:8">
      <c r="A102" s="281" t="s">
        <v>222</v>
      </c>
      <c r="B102" s="185" t="s">
        <v>219</v>
      </c>
      <c r="C102" s="3"/>
      <c r="D102" s="151">
        <v>0</v>
      </c>
      <c r="E102" s="155">
        <f t="shared" si="14"/>
        <v>8.0999999999999996E-3</v>
      </c>
      <c r="F102" s="151"/>
      <c r="G102" s="152">
        <v>5.3E-3</v>
      </c>
    </row>
    <row r="103" spans="1:8">
      <c r="A103" s="282"/>
      <c r="B103" s="185" t="s">
        <v>220</v>
      </c>
      <c r="C103" s="3"/>
      <c r="D103" s="151">
        <f t="shared" si="15"/>
        <v>0</v>
      </c>
      <c r="E103" s="150">
        <f t="shared" si="14"/>
        <v>0.01</v>
      </c>
      <c r="F103" s="151"/>
      <c r="G103" s="152">
        <v>3.4099999999999998E-2</v>
      </c>
    </row>
    <row r="104" spans="1:8">
      <c r="A104" s="278" t="s">
        <v>51</v>
      </c>
      <c r="B104" s="278"/>
      <c r="C104" s="3"/>
      <c r="D104" s="151">
        <f t="shared" si="15"/>
        <v>0</v>
      </c>
      <c r="E104" s="155">
        <f t="shared" si="14"/>
        <v>0.04</v>
      </c>
      <c r="F104" s="151"/>
      <c r="G104" s="152">
        <v>1.0999999999999999E-2</v>
      </c>
    </row>
    <row r="107" spans="1:8">
      <c r="A107" s="147"/>
      <c r="B107" s="147"/>
      <c r="C107" s="147"/>
      <c r="D107" s="147"/>
      <c r="E107" s="289"/>
      <c r="F107" s="277" t="s">
        <v>214</v>
      </c>
      <c r="G107" s="277"/>
      <c r="H107" s="148"/>
    </row>
    <row r="108" spans="1:8">
      <c r="A108" s="283" t="s">
        <v>215</v>
      </c>
      <c r="B108" s="283"/>
      <c r="C108" s="279" t="s">
        <v>216</v>
      </c>
      <c r="D108" s="284"/>
      <c r="E108" s="284"/>
      <c r="F108" s="284"/>
      <c r="G108" s="280"/>
      <c r="H108" s="149" t="s">
        <v>223</v>
      </c>
    </row>
    <row r="109" spans="1:8" ht="27">
      <c r="A109" s="283"/>
      <c r="B109" s="283"/>
      <c r="C109" s="156" t="s">
        <v>224</v>
      </c>
      <c r="D109" s="156" t="s">
        <v>224</v>
      </c>
      <c r="E109" s="290" t="s">
        <v>227</v>
      </c>
      <c r="F109" s="157" t="s">
        <v>226</v>
      </c>
      <c r="G109" s="157" t="s">
        <v>225</v>
      </c>
      <c r="H109" s="160">
        <f>销量!K8</f>
        <v>0</v>
      </c>
    </row>
    <row r="110" spans="1:8">
      <c r="A110" s="278" t="s">
        <v>217</v>
      </c>
      <c r="B110" s="278"/>
      <c r="C110" s="3"/>
      <c r="D110" s="151">
        <f>$H$109*E110</f>
        <v>0</v>
      </c>
      <c r="E110" s="155">
        <f t="shared" ref="E110:E117" si="16">E4</f>
        <v>4.7300000000000002E-2</v>
      </c>
      <c r="F110" s="151"/>
      <c r="G110" s="152">
        <v>4.48E-2</v>
      </c>
    </row>
    <row r="111" spans="1:8">
      <c r="A111" s="278" t="s">
        <v>218</v>
      </c>
      <c r="B111" s="185" t="s">
        <v>219</v>
      </c>
      <c r="C111" s="3"/>
      <c r="D111" s="151">
        <v>0</v>
      </c>
      <c r="E111" s="155">
        <f t="shared" si="16"/>
        <v>4.8099999999999997E-2</v>
      </c>
      <c r="F111" s="151"/>
      <c r="G111" s="152">
        <v>4.0399999999999998E-2</v>
      </c>
    </row>
    <row r="112" spans="1:8">
      <c r="A112" s="278"/>
      <c r="B112" s="185" t="s">
        <v>220</v>
      </c>
      <c r="C112" s="3"/>
      <c r="D112" s="151">
        <f t="shared" ref="D112:D117" si="17">$H$109*E112</f>
        <v>0</v>
      </c>
      <c r="E112" s="155">
        <f t="shared" si="16"/>
        <v>1.47E-2</v>
      </c>
      <c r="F112" s="151"/>
      <c r="G112" s="152">
        <v>1.66E-2</v>
      </c>
    </row>
    <row r="113" spans="1:7">
      <c r="A113" s="279" t="s">
        <v>221</v>
      </c>
      <c r="B113" s="280"/>
      <c r="C113" s="154"/>
      <c r="D113" s="151">
        <f t="shared" si="17"/>
        <v>0</v>
      </c>
      <c r="E113" s="155">
        <f t="shared" si="16"/>
        <v>0.1101</v>
      </c>
      <c r="F113" s="155"/>
      <c r="G113" s="155">
        <f>SUM(G110:G112)</f>
        <v>0.1018</v>
      </c>
    </row>
    <row r="114" spans="1:7">
      <c r="A114" s="278" t="s">
        <v>48</v>
      </c>
      <c r="B114" s="278"/>
      <c r="C114" s="3"/>
      <c r="D114" s="151">
        <v>0</v>
      </c>
      <c r="E114" s="155">
        <f t="shared" si="16"/>
        <v>7.6399999999999996E-2</v>
      </c>
      <c r="F114" s="151"/>
      <c r="G114" s="152">
        <f>1.97%+0.75%</f>
        <v>2.7199999999999998E-2</v>
      </c>
    </row>
    <row r="115" spans="1:7">
      <c r="A115" s="281" t="s">
        <v>222</v>
      </c>
      <c r="B115" s="185" t="s">
        <v>219</v>
      </c>
      <c r="C115" s="3"/>
      <c r="D115" s="151">
        <v>0</v>
      </c>
      <c r="E115" s="155">
        <f t="shared" si="16"/>
        <v>8.0999999999999996E-3</v>
      </c>
      <c r="F115" s="151"/>
      <c r="G115" s="152">
        <v>5.3E-3</v>
      </c>
    </row>
    <row r="116" spans="1:7">
      <c r="A116" s="282"/>
      <c r="B116" s="185" t="s">
        <v>220</v>
      </c>
      <c r="C116" s="3"/>
      <c r="D116" s="151">
        <f t="shared" si="17"/>
        <v>0</v>
      </c>
      <c r="E116" s="150">
        <f t="shared" si="16"/>
        <v>0.01</v>
      </c>
      <c r="F116" s="151"/>
      <c r="G116" s="152">
        <v>3.4099999999999998E-2</v>
      </c>
    </row>
    <row r="117" spans="1:7">
      <c r="A117" s="278" t="s">
        <v>51</v>
      </c>
      <c r="B117" s="278"/>
      <c r="C117" s="3"/>
      <c r="D117" s="151">
        <f t="shared" si="17"/>
        <v>0</v>
      </c>
      <c r="E117" s="155">
        <f t="shared" si="16"/>
        <v>0.04</v>
      </c>
      <c r="F117" s="151"/>
      <c r="G117" s="152">
        <v>1.0999999999999999E-2</v>
      </c>
    </row>
  </sheetData>
  <mergeCells count="81">
    <mergeCell ref="A117:B117"/>
    <mergeCell ref="A110:B110"/>
    <mergeCell ref="A111:A112"/>
    <mergeCell ref="A113:B113"/>
    <mergeCell ref="A114:B114"/>
    <mergeCell ref="A115:A116"/>
    <mergeCell ref="A101:B101"/>
    <mergeCell ref="A102:A103"/>
    <mergeCell ref="A104:B104"/>
    <mergeCell ref="F107:G107"/>
    <mergeCell ref="A108:B109"/>
    <mergeCell ref="C108:G108"/>
    <mergeCell ref="A95:B96"/>
    <mergeCell ref="C95:G95"/>
    <mergeCell ref="A97:B97"/>
    <mergeCell ref="A98:A99"/>
    <mergeCell ref="A100:B100"/>
    <mergeCell ref="A87:B87"/>
    <mergeCell ref="A88:B88"/>
    <mergeCell ref="A89:A90"/>
    <mergeCell ref="A91:B91"/>
    <mergeCell ref="F94:G94"/>
    <mergeCell ref="F81:G81"/>
    <mergeCell ref="A82:B83"/>
    <mergeCell ref="C82:G82"/>
    <mergeCell ref="A84:B84"/>
    <mergeCell ref="A85:A86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workbookViewId="0">
      <pane xSplit="3" ySplit="7" topLeftCell="D20" activePane="bottomRight" state="frozen"/>
      <selection pane="topRight"/>
      <selection pane="bottomLeft"/>
      <selection pane="bottomRight" activeCell="J2" sqref="J2"/>
    </sheetView>
  </sheetViews>
  <sheetFormatPr defaultColWidth="9" defaultRowHeight="16.5"/>
  <cols>
    <col min="1" max="1" width="5.125" style="110" customWidth="1"/>
    <col min="2" max="2" width="16.5" style="110" customWidth="1"/>
    <col min="3" max="8" width="12.125" style="111" customWidth="1"/>
    <col min="9" max="9" width="14.125" style="111" customWidth="1"/>
    <col min="10" max="10" width="8.875" style="110" customWidth="1"/>
    <col min="11" max="36" width="9" style="110"/>
    <col min="37" max="37" width="4.375" style="110" customWidth="1"/>
    <col min="38" max="38" width="13.875" style="110" customWidth="1"/>
    <col min="39" max="16384" width="9" style="110"/>
  </cols>
  <sheetData>
    <row r="1" spans="1:39" ht="27" customHeight="1">
      <c r="A1" s="229" t="s">
        <v>237</v>
      </c>
      <c r="B1" s="229"/>
      <c r="C1" s="229"/>
      <c r="D1" s="229"/>
      <c r="E1" s="229"/>
      <c r="F1" s="229"/>
      <c r="G1" s="229"/>
      <c r="H1" s="229"/>
      <c r="I1" s="229"/>
    </row>
    <row r="2" spans="1:39" s="201" customFormat="1" ht="27" customHeight="1">
      <c r="A2" s="199"/>
      <c r="B2" s="200"/>
      <c r="D2" s="232" t="s">
        <v>236</v>
      </c>
      <c r="E2" s="232"/>
      <c r="F2" s="232"/>
      <c r="G2" s="200"/>
      <c r="H2" s="226" t="s">
        <v>235</v>
      </c>
      <c r="I2" s="200"/>
    </row>
    <row r="3" spans="1:39" ht="15.75" customHeight="1">
      <c r="A3" s="230" t="s">
        <v>17</v>
      </c>
      <c r="B3" s="112" t="s">
        <v>1</v>
      </c>
      <c r="C3" s="112" t="s">
        <v>291</v>
      </c>
      <c r="D3" s="112" t="s">
        <v>292</v>
      </c>
      <c r="E3" s="112" t="s">
        <v>293</v>
      </c>
      <c r="F3" s="112" t="s">
        <v>294</v>
      </c>
      <c r="G3" s="112" t="s">
        <v>295</v>
      </c>
      <c r="H3" s="112" t="s">
        <v>296</v>
      </c>
      <c r="I3" s="51" t="s">
        <v>18</v>
      </c>
      <c r="AM3" s="110" t="s">
        <v>19</v>
      </c>
    </row>
    <row r="4" spans="1:39" s="48" customFormat="1" ht="15.75" customHeight="1">
      <c r="A4" s="231"/>
      <c r="B4" s="53" t="s">
        <v>3</v>
      </c>
      <c r="C4" s="113">
        <f>'2023年'!L6</f>
        <v>1200</v>
      </c>
      <c r="D4" s="113">
        <f>'2024年'!L6</f>
        <v>4000</v>
      </c>
      <c r="E4" s="113">
        <f>'2025年'!L6</f>
        <v>5000</v>
      </c>
      <c r="F4" s="113">
        <f>'2026年'!L6</f>
        <v>6000</v>
      </c>
      <c r="G4" s="113">
        <f>'2027年'!L6</f>
        <v>4000</v>
      </c>
      <c r="H4" s="113">
        <f>'2028年'!L6</f>
        <v>4000</v>
      </c>
      <c r="I4" s="113">
        <f t="shared" ref="I4:I12" si="0">SUM(C4:H4)</f>
        <v>24200</v>
      </c>
      <c r="J4" s="69"/>
      <c r="AK4" s="52" t="s">
        <v>17</v>
      </c>
      <c r="AL4" s="53" t="s">
        <v>3</v>
      </c>
      <c r="AM4" s="48" t="s">
        <v>20</v>
      </c>
    </row>
    <row r="5" spans="1:39" s="48" customFormat="1" ht="15.75" customHeight="1">
      <c r="A5" s="62">
        <v>1</v>
      </c>
      <c r="B5" s="53" t="s">
        <v>21</v>
      </c>
      <c r="C5" s="113">
        <f>'2023年'!L7</f>
        <v>1197110</v>
      </c>
      <c r="D5" s="113">
        <f>'2024年'!L7</f>
        <v>4002700</v>
      </c>
      <c r="E5" s="113">
        <f>'2025年'!L7</f>
        <v>4881320</v>
      </c>
      <c r="F5" s="113">
        <f>'2026年'!L7</f>
        <v>5842140</v>
      </c>
      <c r="G5" s="113">
        <f>'2027年'!L7</f>
        <v>4002700</v>
      </c>
      <c r="H5" s="113">
        <f>'2028年'!L7</f>
        <v>4002700</v>
      </c>
      <c r="I5" s="113">
        <f t="shared" si="0"/>
        <v>23928670</v>
      </c>
      <c r="J5" s="69"/>
      <c r="AK5" s="52" t="s">
        <v>22</v>
      </c>
      <c r="AL5" s="53" t="s">
        <v>21</v>
      </c>
      <c r="AM5" s="48" t="s">
        <v>20</v>
      </c>
    </row>
    <row r="6" spans="1:39" s="48" customFormat="1" ht="15.75" customHeight="1">
      <c r="A6" s="62">
        <v>2</v>
      </c>
      <c r="B6" s="50" t="s">
        <v>23</v>
      </c>
      <c r="C6" s="113">
        <f>'2023年'!L8</f>
        <v>0</v>
      </c>
      <c r="D6" s="113">
        <f>'2024年'!L8</f>
        <v>0</v>
      </c>
      <c r="E6" s="113">
        <f>'2025年'!L8</f>
        <v>0</v>
      </c>
      <c r="F6" s="113">
        <f>'2026年'!L8</f>
        <v>0</v>
      </c>
      <c r="G6" s="113">
        <f>'2027年'!L8</f>
        <v>0</v>
      </c>
      <c r="H6" s="113">
        <f>'2028年'!L8</f>
        <v>0</v>
      </c>
      <c r="I6" s="113">
        <f t="shared" si="0"/>
        <v>0</v>
      </c>
      <c r="J6" s="69"/>
      <c r="AK6" s="52" t="s">
        <v>24</v>
      </c>
      <c r="AL6" s="50" t="s">
        <v>25</v>
      </c>
      <c r="AM6" s="48" t="s">
        <v>20</v>
      </c>
    </row>
    <row r="7" spans="1:39" s="48" customFormat="1" ht="15.75" customHeight="1">
      <c r="A7" s="62">
        <v>3</v>
      </c>
      <c r="B7" s="53" t="s">
        <v>26</v>
      </c>
      <c r="C7" s="114">
        <f>+C5-C6</f>
        <v>1197110</v>
      </c>
      <c r="D7" s="114">
        <f>'2024年'!L9</f>
        <v>4002700</v>
      </c>
      <c r="E7" s="114">
        <f>'2025年'!L9</f>
        <v>4881320</v>
      </c>
      <c r="F7" s="114">
        <f>'2026年'!L9</f>
        <v>5842140</v>
      </c>
      <c r="G7" s="114">
        <f>'2027年'!L9</f>
        <v>4002700</v>
      </c>
      <c r="H7" s="114">
        <f>'2028年'!L9</f>
        <v>4002700</v>
      </c>
      <c r="I7" s="113">
        <f t="shared" si="0"/>
        <v>23928670</v>
      </c>
      <c r="J7" s="69"/>
      <c r="AK7" s="52" t="s">
        <v>27</v>
      </c>
      <c r="AL7" s="53" t="s">
        <v>26</v>
      </c>
      <c r="AM7" s="48" t="s">
        <v>28</v>
      </c>
    </row>
    <row r="8" spans="1:39" s="48" customFormat="1" ht="15.75" customHeight="1">
      <c r="A8" s="62">
        <v>4</v>
      </c>
      <c r="B8" s="52" t="s">
        <v>29</v>
      </c>
      <c r="C8" s="113">
        <f>'2023年'!L10</f>
        <v>1059783.2472818366</v>
      </c>
      <c r="D8" s="113">
        <f>'2024年'!L10</f>
        <v>3515944.9986378141</v>
      </c>
      <c r="E8" s="113">
        <f>'2025年'!L10</f>
        <v>4342193.8688846454</v>
      </c>
      <c r="F8" s="113">
        <f>'2026年'!L10</f>
        <v>5204775.0141648836</v>
      </c>
      <c r="G8" s="113">
        <f>'2027年'!L10</f>
        <v>3515944.9986378141</v>
      </c>
      <c r="H8" s="113">
        <f>'2028年'!L10</f>
        <v>3515944.9986378141</v>
      </c>
      <c r="I8" s="113">
        <f t="shared" si="0"/>
        <v>21154587.126244809</v>
      </c>
      <c r="J8" s="69"/>
      <c r="AK8" s="52" t="s">
        <v>30</v>
      </c>
      <c r="AL8" s="52" t="s">
        <v>29</v>
      </c>
      <c r="AM8" s="48" t="s">
        <v>31</v>
      </c>
    </row>
    <row r="9" spans="1:39" s="48" customFormat="1" ht="15.75" customHeight="1">
      <c r="A9" s="62">
        <v>5</v>
      </c>
      <c r="B9" s="52" t="s">
        <v>32</v>
      </c>
      <c r="C9" s="113">
        <f>'2023年'!L11</f>
        <v>56623.303</v>
      </c>
      <c r="D9" s="113">
        <f>'2024年'!L11</f>
        <v>189327.71</v>
      </c>
      <c r="E9" s="113">
        <f>'2025年'!L11</f>
        <v>230886.43600000002</v>
      </c>
      <c r="F9" s="113">
        <f>'2026年'!L11</f>
        <v>276333.22200000001</v>
      </c>
      <c r="G9" s="113">
        <f>'2027年'!L11</f>
        <v>189327.71</v>
      </c>
      <c r="H9" s="113">
        <f>'2028年'!L11</f>
        <v>189327.71</v>
      </c>
      <c r="I9" s="113">
        <f t="shared" si="0"/>
        <v>1131826.091</v>
      </c>
      <c r="J9" s="69"/>
      <c r="AK9" s="52" t="s">
        <v>33</v>
      </c>
      <c r="AL9" s="52" t="s">
        <v>32</v>
      </c>
    </row>
    <row r="10" spans="1:39" s="48" customFormat="1" ht="15.75" customHeight="1">
      <c r="A10" s="62">
        <v>6</v>
      </c>
      <c r="B10" s="52" t="s">
        <v>34</v>
      </c>
      <c r="C10" s="113">
        <f>'2023年'!L12</f>
        <v>17597.517</v>
      </c>
      <c r="D10" s="113">
        <f>'2024年'!L12</f>
        <v>58839.689999999995</v>
      </c>
      <c r="E10" s="113">
        <f>'2025年'!L12</f>
        <v>71755.403999999995</v>
      </c>
      <c r="F10" s="113">
        <f>'2026年'!L12</f>
        <v>85879.457999999999</v>
      </c>
      <c r="G10" s="113">
        <f>'2027年'!L12</f>
        <v>58839.689999999995</v>
      </c>
      <c r="H10" s="113">
        <f>'2028年'!L12</f>
        <v>58839.689999999995</v>
      </c>
      <c r="I10" s="113">
        <f t="shared" si="0"/>
        <v>351751.44899999996</v>
      </c>
      <c r="J10" s="69"/>
      <c r="AK10" s="52" t="s">
        <v>35</v>
      </c>
      <c r="AL10" s="52" t="s">
        <v>34</v>
      </c>
    </row>
    <row r="11" spans="1:39" s="48" customFormat="1" ht="15.75" customHeight="1">
      <c r="A11" s="62">
        <v>7</v>
      </c>
      <c r="B11" s="115" t="s">
        <v>36</v>
      </c>
      <c r="C11" s="113">
        <f>'2023年'!L13</f>
        <v>11176.4</v>
      </c>
      <c r="D11" s="113">
        <f>'2024年'!L13</f>
        <v>38437.600000000006</v>
      </c>
      <c r="E11" s="113">
        <f>'2025年'!L13</f>
        <v>42455.6</v>
      </c>
      <c r="F11" s="113">
        <f>'2026年'!L13</f>
        <v>47295.6</v>
      </c>
      <c r="G11" s="113">
        <f>'2027年'!L13</f>
        <v>38437.600000000006</v>
      </c>
      <c r="H11" s="113">
        <f>'2028年'!L13</f>
        <v>38437.600000000006</v>
      </c>
      <c r="I11" s="113">
        <f t="shared" si="0"/>
        <v>216240.40000000002</v>
      </c>
      <c r="J11" s="69"/>
      <c r="AK11" s="52" t="s">
        <v>37</v>
      </c>
      <c r="AL11" s="52" t="s">
        <v>36</v>
      </c>
      <c r="AM11" s="48" t="s">
        <v>20</v>
      </c>
    </row>
    <row r="12" spans="1:39" s="48" customFormat="1" ht="15.75" customHeight="1">
      <c r="A12" s="62">
        <v>8</v>
      </c>
      <c r="B12" s="116" t="s">
        <v>38</v>
      </c>
      <c r="C12" s="117">
        <f>'2023年'!L14</f>
        <v>85397.22</v>
      </c>
      <c r="D12" s="117">
        <f>'2024年'!L14</f>
        <v>286605</v>
      </c>
      <c r="E12" s="117">
        <f>'2025年'!L14</f>
        <v>345097.44</v>
      </c>
      <c r="F12" s="117">
        <f>'2026年'!L14</f>
        <v>409508.28</v>
      </c>
      <c r="G12" s="117">
        <f>'2027年'!L14</f>
        <v>286605</v>
      </c>
      <c r="H12" s="117">
        <f>'2028年'!L14</f>
        <v>286605</v>
      </c>
      <c r="I12" s="117">
        <f t="shared" si="0"/>
        <v>1699817.94</v>
      </c>
      <c r="J12" s="69"/>
      <c r="AK12" s="52" t="s">
        <v>39</v>
      </c>
      <c r="AL12" s="55" t="s">
        <v>38</v>
      </c>
    </row>
    <row r="13" spans="1:39" s="48" customFormat="1" ht="15.75" customHeight="1">
      <c r="A13" s="62">
        <v>9</v>
      </c>
      <c r="B13" s="118" t="s">
        <v>40</v>
      </c>
      <c r="C13" s="113">
        <f>'2023年'!L15</f>
        <v>51929.532718163464</v>
      </c>
      <c r="D13" s="113">
        <f>'2024年'!L15</f>
        <v>200150.00136218607</v>
      </c>
      <c r="E13" s="113">
        <f>'2025年'!L15</f>
        <v>194028.69111535404</v>
      </c>
      <c r="F13" s="113">
        <f>'2026年'!L15</f>
        <v>227856.7058351158</v>
      </c>
      <c r="G13" s="113">
        <f>'2027年'!L15</f>
        <v>200150.00136218607</v>
      </c>
      <c r="H13" s="113">
        <f>'2028年'!L15</f>
        <v>200150.00136218607</v>
      </c>
      <c r="I13" s="113">
        <f>I7-I8-I12</f>
        <v>1074264.9337551906</v>
      </c>
      <c r="J13" s="69"/>
      <c r="L13" s="110"/>
      <c r="M13" s="110"/>
      <c r="N13" s="110"/>
      <c r="O13" s="110"/>
      <c r="P13" s="110"/>
      <c r="Q13" s="110"/>
      <c r="AK13" s="52" t="s">
        <v>41</v>
      </c>
      <c r="AL13" s="55" t="s">
        <v>40</v>
      </c>
    </row>
    <row r="14" spans="1:39" ht="15.75" customHeight="1">
      <c r="A14" s="62">
        <v>10</v>
      </c>
      <c r="B14" s="119" t="s">
        <v>42</v>
      </c>
      <c r="C14" s="120">
        <f>+C13/C7</f>
        <v>4.337908188734825E-2</v>
      </c>
      <c r="D14" s="120">
        <f>'2024年'!L16</f>
        <v>5.0003747810774248E-2</v>
      </c>
      <c r="E14" s="120">
        <f>'2025年'!L16</f>
        <v>3.9749225847794049E-2</v>
      </c>
      <c r="F14" s="120">
        <f>'2026年'!L16</f>
        <v>3.9002267291628721E-2</v>
      </c>
      <c r="G14" s="120">
        <f>'2027年'!L16</f>
        <v>5.0003747810774248E-2</v>
      </c>
      <c r="H14" s="120">
        <f>'2028年'!L16</f>
        <v>5.0003747810774248E-2</v>
      </c>
      <c r="I14" s="120">
        <f>+I13/I7</f>
        <v>4.4894469009568463E-2</v>
      </c>
      <c r="J14" s="69"/>
      <c r="AK14" s="119" t="s">
        <v>43</v>
      </c>
      <c r="AL14" s="119" t="s">
        <v>42</v>
      </c>
    </row>
    <row r="15" spans="1:39" ht="15.75" customHeight="1">
      <c r="A15" s="62">
        <v>11</v>
      </c>
      <c r="B15" s="119" t="s">
        <v>44</v>
      </c>
      <c r="C15" s="113">
        <f>'2023年'!L17</f>
        <v>41404.166666666664</v>
      </c>
      <c r="D15" s="113">
        <f>'2024年'!L17</f>
        <v>20702.083333333332</v>
      </c>
      <c r="E15" s="113">
        <f>'2025年'!L17</f>
        <v>41404.166666666672</v>
      </c>
      <c r="F15" s="113">
        <f>'2026年'!L17</f>
        <v>41404.166666666672</v>
      </c>
      <c r="G15" s="113">
        <f>'2027年'!L17</f>
        <v>41404.166666666664</v>
      </c>
      <c r="H15" s="113">
        <f>'2028年'!L17</f>
        <v>41404.166666666664</v>
      </c>
      <c r="I15" s="113">
        <f>SUM(C15:H15)</f>
        <v>227722.91666666666</v>
      </c>
      <c r="J15" s="69"/>
      <c r="AK15" s="119" t="s">
        <v>45</v>
      </c>
      <c r="AL15" s="119" t="s">
        <v>44</v>
      </c>
    </row>
    <row r="16" spans="1:39" ht="15.75" hidden="1" customHeight="1">
      <c r="A16" s="158"/>
      <c r="B16" s="119"/>
      <c r="C16" s="113"/>
      <c r="D16" s="113"/>
      <c r="E16" s="113">
        <f>'2025年'!L18</f>
        <v>41404.166666666664</v>
      </c>
      <c r="F16" s="113">
        <f>'2026年'!L18</f>
        <v>41404.166666666664</v>
      </c>
      <c r="G16" s="113">
        <f>'2027年'!L18</f>
        <v>41404.166666666664</v>
      </c>
      <c r="H16" s="113">
        <f>'2028年'!L18</f>
        <v>41404.166666666664</v>
      </c>
      <c r="I16" s="113"/>
      <c r="J16" s="69"/>
      <c r="AK16" s="119"/>
      <c r="AL16" s="119"/>
    </row>
    <row r="17" spans="1:39" ht="15.75" customHeight="1">
      <c r="A17" s="62">
        <v>12</v>
      </c>
      <c r="B17" s="119" t="s">
        <v>46</v>
      </c>
      <c r="C17" s="121">
        <f>'2023年'!L19</f>
        <v>0</v>
      </c>
      <c r="D17" s="121">
        <f>'2024年'!L19</f>
        <v>0</v>
      </c>
      <c r="E17" s="121">
        <f>'2025年'!L19</f>
        <v>0</v>
      </c>
      <c r="F17" s="121">
        <f>'2026年'!L19</f>
        <v>0</v>
      </c>
      <c r="G17" s="121">
        <f>'2027年'!L19</f>
        <v>0</v>
      </c>
      <c r="H17" s="121">
        <f>'2028年'!L19</f>
        <v>0</v>
      </c>
      <c r="I17" s="113">
        <f>SUM(C17:H17)</f>
        <v>0</v>
      </c>
      <c r="J17" s="69"/>
      <c r="R17" s="69"/>
      <c r="AK17" s="119" t="s">
        <v>47</v>
      </c>
      <c r="AL17" s="119" t="s">
        <v>46</v>
      </c>
      <c r="AM17" s="110" t="s">
        <v>20</v>
      </c>
    </row>
    <row r="18" spans="1:39" ht="15.75" customHeight="1">
      <c r="A18" s="62">
        <v>13</v>
      </c>
      <c r="B18" s="119" t="s">
        <v>48</v>
      </c>
      <c r="C18" s="121">
        <f>'2023年'!L20</f>
        <v>0</v>
      </c>
      <c r="D18" s="121">
        <f>'2024年'!L20</f>
        <v>0</v>
      </c>
      <c r="E18" s="121">
        <f>'2025年'!L20</f>
        <v>0</v>
      </c>
      <c r="F18" s="121">
        <f>'2026年'!L20</f>
        <v>0</v>
      </c>
      <c r="G18" s="121">
        <f>'2027年'!L20</f>
        <v>0</v>
      </c>
      <c r="H18" s="121">
        <f>'2028年'!L20</f>
        <v>0</v>
      </c>
      <c r="I18" s="113">
        <f>SUM(C18:H18)</f>
        <v>0</v>
      </c>
      <c r="J18" s="69"/>
      <c r="AK18" s="119" t="s">
        <v>49</v>
      </c>
      <c r="AL18" s="119" t="s">
        <v>48</v>
      </c>
    </row>
    <row r="19" spans="1:39" s="47" customFormat="1" ht="15.75" customHeight="1">
      <c r="A19" s="62">
        <v>14</v>
      </c>
      <c r="B19" s="60" t="s">
        <v>50</v>
      </c>
      <c r="C19" s="122">
        <f>'2023年'!L21</f>
        <v>26566.666666666668</v>
      </c>
      <c r="D19" s="122">
        <f>'2024年'!L21</f>
        <v>26566.666666666668</v>
      </c>
      <c r="E19" s="122">
        <f>'2025年'!L21</f>
        <v>26566.666666666668</v>
      </c>
      <c r="F19" s="122">
        <f>'2026年'!L21</f>
        <v>26566.666666666668</v>
      </c>
      <c r="G19" s="122">
        <f>'2027年'!L21</f>
        <v>26566.666666666668</v>
      </c>
      <c r="H19" s="122">
        <f>'2028年'!L21</f>
        <v>26566.666666666668</v>
      </c>
      <c r="I19" s="113">
        <f>SUM(C19:H19)</f>
        <v>159400</v>
      </c>
      <c r="J19" s="69"/>
      <c r="AK19" s="60"/>
      <c r="AL19" s="60"/>
    </row>
    <row r="20" spans="1:39" s="48" customFormat="1" ht="15.75" customHeight="1">
      <c r="A20" s="62">
        <v>15</v>
      </c>
      <c r="B20" s="52" t="s">
        <v>51</v>
      </c>
      <c r="C20" s="121">
        <f>'2023年'!L22</f>
        <v>47884.4</v>
      </c>
      <c r="D20" s="121">
        <f>'2024年'!L22</f>
        <v>120108.00000000001</v>
      </c>
      <c r="E20" s="121">
        <f>'2025年'!L22</f>
        <v>195252.80000000002</v>
      </c>
      <c r="F20" s="121">
        <f>'2026年'!L22</f>
        <v>233685.6</v>
      </c>
      <c r="G20" s="121">
        <f>'2027年'!L22</f>
        <v>160108</v>
      </c>
      <c r="H20" s="121">
        <f>'2028年'!L22</f>
        <v>160108</v>
      </c>
      <c r="I20" s="113">
        <f>SUM(C20:H20)</f>
        <v>917146.8</v>
      </c>
      <c r="J20" s="69"/>
      <c r="AK20" s="52" t="s">
        <v>52</v>
      </c>
      <c r="AL20" s="52" t="s">
        <v>51</v>
      </c>
    </row>
    <row r="21" spans="1:39" s="108" customFormat="1" ht="15.75" customHeight="1">
      <c r="A21" s="62">
        <v>16</v>
      </c>
      <c r="B21" s="123" t="s">
        <v>53</v>
      </c>
      <c r="C21" s="117">
        <f t="shared" ref="C21" si="1">+C20+C19+C18+C17+C15</f>
        <v>115855.23333333334</v>
      </c>
      <c r="D21" s="117">
        <f>'2024年'!L23</f>
        <v>167376.75000000003</v>
      </c>
      <c r="E21" s="117">
        <f>'2025年'!L23</f>
        <v>263223.63333333336</v>
      </c>
      <c r="F21" s="117">
        <f>'2026年'!L23</f>
        <v>301656.43333333335</v>
      </c>
      <c r="G21" s="117">
        <f>'2027年'!L23</f>
        <v>228078.83333333331</v>
      </c>
      <c r="H21" s="117">
        <f>'2028年'!L23</f>
        <v>228078.83333333331</v>
      </c>
      <c r="I21" s="117">
        <f>SUM(C21:H21)</f>
        <v>1304269.7166666666</v>
      </c>
      <c r="J21" s="69"/>
      <c r="AK21" s="136" t="s">
        <v>54</v>
      </c>
      <c r="AL21" s="137" t="s">
        <v>53</v>
      </c>
    </row>
    <row r="22" spans="1:39" ht="15.75" customHeight="1">
      <c r="A22" s="62">
        <v>17</v>
      </c>
      <c r="B22" s="119" t="s">
        <v>55</v>
      </c>
      <c r="C22" s="124">
        <f>+C13-C21</f>
        <v>-63925.700615169873</v>
      </c>
      <c r="D22" s="124">
        <f>'2024年'!L24</f>
        <v>32773.251362186042</v>
      </c>
      <c r="E22" s="124">
        <f>'2025年'!L24</f>
        <v>-69194.942217979318</v>
      </c>
      <c r="F22" s="124">
        <f>'2026年'!L24</f>
        <v>-73799.727498217544</v>
      </c>
      <c r="G22" s="124">
        <f>'2027年'!L24</f>
        <v>-27928.831971147243</v>
      </c>
      <c r="H22" s="124">
        <f>'2028年'!L24</f>
        <v>-27928.831971147243</v>
      </c>
      <c r="I22" s="124">
        <f>+I13-I21</f>
        <v>-230004.78291147598</v>
      </c>
      <c r="J22" s="69"/>
      <c r="AK22" s="119" t="s">
        <v>56</v>
      </c>
      <c r="AL22" s="119" t="s">
        <v>55</v>
      </c>
    </row>
    <row r="23" spans="1:39" ht="15.75" customHeight="1">
      <c r="A23" s="62">
        <v>18</v>
      </c>
      <c r="B23" s="119" t="s">
        <v>57</v>
      </c>
      <c r="C23" s="124">
        <f>IF(C22&lt;0,0,C22*0.15)</f>
        <v>0</v>
      </c>
      <c r="D23" s="124">
        <f>'2024年'!L25</f>
        <v>8193.3128405465104</v>
      </c>
      <c r="E23" s="124">
        <f>'2025年'!L25</f>
        <v>0</v>
      </c>
      <c r="F23" s="124">
        <f>'2026年'!L25</f>
        <v>0</v>
      </c>
      <c r="G23" s="124">
        <f>'2027年'!L25</f>
        <v>0</v>
      </c>
      <c r="H23" s="124">
        <f>'2028年'!L25</f>
        <v>0</v>
      </c>
      <c r="I23" s="124">
        <f>IF(I22&lt;0,0,I22*0.15)</f>
        <v>0</v>
      </c>
      <c r="J23" s="69"/>
      <c r="AK23" s="119" t="s">
        <v>58</v>
      </c>
      <c r="AL23" s="119" t="s">
        <v>57</v>
      </c>
    </row>
    <row r="24" spans="1:39" ht="15.75" customHeight="1">
      <c r="A24" s="62">
        <v>19</v>
      </c>
      <c r="B24" s="119" t="s">
        <v>59</v>
      </c>
      <c r="C24" s="124">
        <f>C22-C23</f>
        <v>-63925.700615169873</v>
      </c>
      <c r="D24" s="124">
        <f>'2024年'!L26</f>
        <v>24579.938521639531</v>
      </c>
      <c r="E24" s="124">
        <f>'2025年'!L26</f>
        <v>-69194.942217979318</v>
      </c>
      <c r="F24" s="124">
        <f>'2026年'!L26</f>
        <v>-73799.727498217544</v>
      </c>
      <c r="G24" s="124">
        <f>'2027年'!L26</f>
        <v>-27928.831971147243</v>
      </c>
      <c r="H24" s="124">
        <f>'2028年'!L26</f>
        <v>-27928.831971147243</v>
      </c>
      <c r="I24" s="124">
        <f>I22-I23</f>
        <v>-230004.78291147598</v>
      </c>
      <c r="J24" s="288">
        <f>I24/I8</f>
        <v>-1.0872572531851846E-2</v>
      </c>
      <c r="AK24" s="119" t="s">
        <v>60</v>
      </c>
      <c r="AL24" s="119" t="s">
        <v>59</v>
      </c>
    </row>
    <row r="25" spans="1:39" ht="15.75" customHeight="1">
      <c r="A25" s="62">
        <v>20</v>
      </c>
      <c r="B25" s="119" t="s">
        <v>61</v>
      </c>
      <c r="C25" s="125">
        <f>(C24/C5)*100%</f>
        <v>-5.3400022232852347E-2</v>
      </c>
      <c r="D25" s="125">
        <f>'2024年'!L27</f>
        <v>6.1408395637043822E-3</v>
      </c>
      <c r="E25" s="125">
        <f>'2025年'!L27</f>
        <v>-1.4175457093159087E-2</v>
      </c>
      <c r="F25" s="125">
        <f>'2026年'!L27</f>
        <v>-1.2632310676946725E-2</v>
      </c>
      <c r="G25" s="125">
        <f>'2027年'!L27</f>
        <v>-6.9774981815142884E-3</v>
      </c>
      <c r="H25" s="125">
        <f>'2028年'!L27</f>
        <v>-6.9774981815142884E-3</v>
      </c>
      <c r="I25" s="125">
        <f>(I24/I5)*100%</f>
        <v>-9.6121005852592718E-3</v>
      </c>
      <c r="J25" s="69"/>
      <c r="AK25" s="138" t="s">
        <v>62</v>
      </c>
      <c r="AL25" s="138" t="s">
        <v>63</v>
      </c>
    </row>
    <row r="26" spans="1:39" s="109" customFormat="1" ht="15.75" customHeight="1">
      <c r="C26" s="126"/>
      <c r="D26" s="126"/>
      <c r="E26" s="126"/>
      <c r="F26" s="126"/>
      <c r="G26" s="126"/>
      <c r="H26" s="126"/>
      <c r="I26" s="126"/>
      <c r="J26" s="135"/>
    </row>
    <row r="27" spans="1:39" s="109" customFormat="1" ht="15.75" customHeight="1">
      <c r="A27" s="109" t="s">
        <v>64</v>
      </c>
      <c r="C27" s="127"/>
      <c r="D27" s="127"/>
      <c r="E27" s="127"/>
      <c r="F27" s="127"/>
      <c r="G27" s="127"/>
      <c r="H27" s="127"/>
      <c r="I27" s="127"/>
      <c r="J27" s="135"/>
      <c r="AK27" s="109" t="s">
        <v>64</v>
      </c>
    </row>
    <row r="28" spans="1:39" ht="15.75" customHeight="1">
      <c r="A28" s="119" t="s">
        <v>17</v>
      </c>
      <c r="B28" s="128" t="s">
        <v>1</v>
      </c>
      <c r="C28" s="112" t="s">
        <v>291</v>
      </c>
      <c r="D28" s="112" t="s">
        <v>292</v>
      </c>
      <c r="E28" s="112" t="s">
        <v>293</v>
      </c>
      <c r="F28" s="112" t="s">
        <v>294</v>
      </c>
      <c r="G28" s="112" t="s">
        <v>295</v>
      </c>
      <c r="H28" s="112" t="s">
        <v>296</v>
      </c>
      <c r="I28" s="51" t="s">
        <v>18</v>
      </c>
      <c r="AM28" s="110" t="s">
        <v>19</v>
      </c>
    </row>
    <row r="29" spans="1:39" s="48" customFormat="1" ht="15.75" customHeight="1">
      <c r="A29" s="52" t="s">
        <v>65</v>
      </c>
      <c r="B29" s="55" t="s">
        <v>66</v>
      </c>
      <c r="C29" s="59"/>
      <c r="D29" s="59"/>
      <c r="E29" s="59"/>
      <c r="F29" s="59"/>
      <c r="G29" s="59"/>
      <c r="H29" s="59"/>
      <c r="I29" s="59"/>
      <c r="J29" s="69"/>
      <c r="AK29" s="52" t="s">
        <v>67</v>
      </c>
      <c r="AL29" s="55" t="s">
        <v>66</v>
      </c>
    </row>
    <row r="30" spans="1:39" s="48" customFormat="1" ht="15.75" customHeight="1">
      <c r="A30" s="52" t="s">
        <v>22</v>
      </c>
      <c r="B30" s="52" t="s">
        <v>68</v>
      </c>
      <c r="C30" s="54">
        <f>+C7/C4</f>
        <v>997.5916666666667</v>
      </c>
      <c r="D30" s="54">
        <f t="shared" ref="D30:H30" si="2">+D7/D4</f>
        <v>1000.675</v>
      </c>
      <c r="E30" s="54">
        <f t="shared" si="2"/>
        <v>976.26400000000001</v>
      </c>
      <c r="F30" s="54">
        <f t="shared" si="2"/>
        <v>973.69</v>
      </c>
      <c r="G30" s="54">
        <f t="shared" si="2"/>
        <v>1000.675</v>
      </c>
      <c r="H30" s="54">
        <f t="shared" si="2"/>
        <v>1000.675</v>
      </c>
      <c r="I30" s="54">
        <f>+I7/I4</f>
        <v>988.7880165289256</v>
      </c>
      <c r="J30" s="69"/>
      <c r="AK30" s="52" t="s">
        <v>22</v>
      </c>
      <c r="AL30" s="52" t="s">
        <v>68</v>
      </c>
    </row>
    <row r="31" spans="1:39" s="48" customFormat="1" ht="15.75" customHeight="1">
      <c r="A31" s="52" t="s">
        <v>24</v>
      </c>
      <c r="B31" s="52" t="s">
        <v>69</v>
      </c>
      <c r="C31" s="54">
        <f>+C8/C4</f>
        <v>883.15270606819718</v>
      </c>
      <c r="D31" s="54">
        <f t="shared" ref="D31:H31" si="3">+D8/D4</f>
        <v>878.98624965945351</v>
      </c>
      <c r="E31" s="54">
        <f t="shared" si="3"/>
        <v>868.43877377692911</v>
      </c>
      <c r="F31" s="54">
        <f t="shared" si="3"/>
        <v>867.46250236081391</v>
      </c>
      <c r="G31" s="54">
        <f t="shared" si="3"/>
        <v>878.98624965945351</v>
      </c>
      <c r="H31" s="54">
        <f t="shared" si="3"/>
        <v>878.98624965945351</v>
      </c>
      <c r="I31" s="54">
        <f>+I8/I4</f>
        <v>874.15649282003346</v>
      </c>
      <c r="J31" s="69"/>
      <c r="AK31" s="52" t="s">
        <v>24</v>
      </c>
      <c r="AL31" s="52" t="s">
        <v>69</v>
      </c>
    </row>
    <row r="32" spans="1:39" s="48" customFormat="1" ht="15.75" customHeight="1">
      <c r="A32" s="52" t="s">
        <v>70</v>
      </c>
      <c r="B32" s="52" t="s">
        <v>71</v>
      </c>
      <c r="C32" s="59">
        <f t="shared" ref="C32:I32" si="4">C30-C31</f>
        <v>114.43896059846952</v>
      </c>
      <c r="D32" s="59">
        <f t="shared" ref="D32:H32" si="5">D30-D31</f>
        <v>121.68875034054645</v>
      </c>
      <c r="E32" s="59">
        <f t="shared" si="5"/>
        <v>107.8252262230709</v>
      </c>
      <c r="F32" s="59">
        <f t="shared" si="5"/>
        <v>106.22749763918614</v>
      </c>
      <c r="G32" s="59">
        <f t="shared" si="5"/>
        <v>121.68875034054645</v>
      </c>
      <c r="H32" s="59">
        <f t="shared" si="5"/>
        <v>121.68875034054645</v>
      </c>
      <c r="I32" s="59">
        <f t="shared" si="4"/>
        <v>114.63152370889213</v>
      </c>
      <c r="J32" s="69"/>
      <c r="AK32" s="52" t="s">
        <v>70</v>
      </c>
      <c r="AL32" s="52" t="s">
        <v>71</v>
      </c>
    </row>
    <row r="33" spans="1:38" s="48" customFormat="1" ht="15.75" customHeight="1">
      <c r="A33" s="52">
        <v>3.1</v>
      </c>
      <c r="B33" s="52" t="s">
        <v>72</v>
      </c>
      <c r="C33" s="129">
        <f t="shared" ref="C33:I33" si="6">C32/C30</f>
        <v>0.11471523311822926</v>
      </c>
      <c r="D33" s="129">
        <f t="shared" ref="D33:H33" si="7">D32/D30</f>
        <v>0.1216066658411037</v>
      </c>
      <c r="E33" s="129">
        <f t="shared" si="7"/>
        <v>0.11044679126042843</v>
      </c>
      <c r="F33" s="129">
        <f t="shared" si="7"/>
        <v>0.10909786239890122</v>
      </c>
      <c r="G33" s="129">
        <f t="shared" si="7"/>
        <v>0.1216066658411037</v>
      </c>
      <c r="H33" s="129">
        <f t="shared" si="7"/>
        <v>0.1216066658411037</v>
      </c>
      <c r="I33" s="129">
        <f t="shared" si="6"/>
        <v>0.11593134402184449</v>
      </c>
      <c r="J33" s="69"/>
      <c r="AK33" s="52"/>
      <c r="AL33" s="52"/>
    </row>
    <row r="34" spans="1:38" s="48" customFormat="1" ht="15.75" customHeight="1">
      <c r="A34" s="52" t="s">
        <v>67</v>
      </c>
      <c r="B34" s="55" t="s">
        <v>10</v>
      </c>
      <c r="C34" s="59"/>
      <c r="D34" s="59"/>
      <c r="E34" s="59"/>
      <c r="F34" s="59"/>
      <c r="G34" s="59"/>
      <c r="H34" s="59"/>
      <c r="I34" s="59"/>
      <c r="J34" s="69"/>
      <c r="AK34" s="52" t="s">
        <v>73</v>
      </c>
      <c r="AL34" s="55" t="s">
        <v>10</v>
      </c>
    </row>
    <row r="35" spans="1:38" s="48" customFormat="1" ht="15.75" customHeight="1">
      <c r="A35" s="52" t="s">
        <v>22</v>
      </c>
      <c r="B35" s="60" t="s">
        <v>74</v>
      </c>
      <c r="C35" s="54">
        <f>+C9/C4</f>
        <v>47.18608583333333</v>
      </c>
      <c r="D35" s="54">
        <f t="shared" ref="D35:H35" si="8">+D9/D4</f>
        <v>47.331927499999999</v>
      </c>
      <c r="E35" s="54">
        <f t="shared" si="8"/>
        <v>46.177287200000002</v>
      </c>
      <c r="F35" s="54">
        <f t="shared" si="8"/>
        <v>46.055537000000001</v>
      </c>
      <c r="G35" s="54">
        <f t="shared" si="8"/>
        <v>47.331927499999999</v>
      </c>
      <c r="H35" s="54">
        <f t="shared" si="8"/>
        <v>47.331927499999999</v>
      </c>
      <c r="I35" s="54">
        <f>+I9/I4</f>
        <v>46.769673181818185</v>
      </c>
      <c r="J35" s="69"/>
      <c r="AK35" s="52" t="s">
        <v>70</v>
      </c>
      <c r="AL35" s="52" t="s">
        <v>74</v>
      </c>
    </row>
    <row r="36" spans="1:38" s="48" customFormat="1" ht="15.75" customHeight="1">
      <c r="A36" s="52" t="s">
        <v>24</v>
      </c>
      <c r="B36" s="60" t="s">
        <v>75</v>
      </c>
      <c r="C36" s="54">
        <f>+C10/C4</f>
        <v>14.664597499999999</v>
      </c>
      <c r="D36" s="54">
        <f t="shared" ref="D36:H36" si="9">+D10/D4</f>
        <v>14.709922499999999</v>
      </c>
      <c r="E36" s="54">
        <f t="shared" si="9"/>
        <v>14.351080799999998</v>
      </c>
      <c r="F36" s="54">
        <f t="shared" si="9"/>
        <v>14.313243</v>
      </c>
      <c r="G36" s="54">
        <f t="shared" si="9"/>
        <v>14.709922499999999</v>
      </c>
      <c r="H36" s="54">
        <f t="shared" si="9"/>
        <v>14.709922499999999</v>
      </c>
      <c r="I36" s="54">
        <f>+I10/I4</f>
        <v>14.535183842975204</v>
      </c>
      <c r="J36" s="69"/>
      <c r="AK36" s="52" t="s">
        <v>27</v>
      </c>
      <c r="AL36" s="52" t="s">
        <v>75</v>
      </c>
    </row>
    <row r="37" spans="1:38" s="48" customFormat="1" ht="15.75" customHeight="1">
      <c r="A37" s="52" t="s">
        <v>70</v>
      </c>
      <c r="B37" s="60" t="s">
        <v>76</v>
      </c>
      <c r="C37" s="54">
        <f>+C11/C4</f>
        <v>9.3136666666666663</v>
      </c>
      <c r="D37" s="54">
        <f t="shared" ref="D37:H37" si="10">+D11/D4</f>
        <v>9.6094000000000008</v>
      </c>
      <c r="E37" s="54">
        <f t="shared" si="10"/>
        <v>8.4911200000000004</v>
      </c>
      <c r="F37" s="54">
        <f t="shared" si="10"/>
        <v>7.8826000000000001</v>
      </c>
      <c r="G37" s="54">
        <f t="shared" si="10"/>
        <v>9.6094000000000008</v>
      </c>
      <c r="H37" s="54">
        <f t="shared" si="10"/>
        <v>9.6094000000000008</v>
      </c>
      <c r="I37" s="54">
        <f>+I11/I4</f>
        <v>8.935553719008265</v>
      </c>
      <c r="J37" s="69"/>
      <c r="AK37" s="52" t="s">
        <v>33</v>
      </c>
      <c r="AL37" s="52" t="s">
        <v>76</v>
      </c>
    </row>
    <row r="38" spans="1:38" s="48" customFormat="1" ht="15.75" customHeight="1">
      <c r="A38" s="52" t="s">
        <v>77</v>
      </c>
      <c r="B38" s="118" t="s">
        <v>78</v>
      </c>
      <c r="C38" s="54"/>
      <c r="D38" s="54"/>
      <c r="E38" s="54"/>
      <c r="F38" s="54"/>
      <c r="G38" s="54"/>
      <c r="H38" s="54"/>
      <c r="I38" s="54"/>
      <c r="J38" s="69"/>
      <c r="AK38" s="52" t="s">
        <v>77</v>
      </c>
      <c r="AL38" s="55" t="s">
        <v>78</v>
      </c>
    </row>
    <row r="39" spans="1:38" s="48" customFormat="1">
      <c r="A39" s="52" t="s">
        <v>22</v>
      </c>
      <c r="B39" s="60" t="s">
        <v>79</v>
      </c>
      <c r="C39" s="54">
        <f>+C13/C4</f>
        <v>43.27461059846955</v>
      </c>
      <c r="D39" s="54">
        <f t="shared" ref="D39:H39" si="11">+D13/D4</f>
        <v>50.037500340546515</v>
      </c>
      <c r="E39" s="54">
        <f t="shared" si="11"/>
        <v>38.805738223070811</v>
      </c>
      <c r="F39" s="54">
        <f t="shared" si="11"/>
        <v>37.976117639185965</v>
      </c>
      <c r="G39" s="54">
        <f t="shared" si="11"/>
        <v>50.037500340546515</v>
      </c>
      <c r="H39" s="54">
        <f t="shared" si="11"/>
        <v>50.037500340546515</v>
      </c>
      <c r="I39" s="54">
        <f>+I13/I4</f>
        <v>44.391112965090521</v>
      </c>
      <c r="J39" s="69"/>
      <c r="AK39" s="52" t="s">
        <v>22</v>
      </c>
      <c r="AL39" s="52" t="s">
        <v>80</v>
      </c>
    </row>
    <row r="40" spans="1:38" s="48" customFormat="1" ht="15.75" customHeight="1">
      <c r="A40" s="52" t="s">
        <v>24</v>
      </c>
      <c r="B40" s="60" t="s">
        <v>81</v>
      </c>
      <c r="C40" s="113">
        <f t="shared" ref="C40" si="12">+C21/C39</f>
        <v>2677.2103025562678</v>
      </c>
      <c r="D40" s="113">
        <f t="shared" ref="D40:H40" si="13">+D21/D39</f>
        <v>3345.0262075615892</v>
      </c>
      <c r="E40" s="113">
        <f t="shared" si="13"/>
        <v>6783.111090947923</v>
      </c>
      <c r="F40" s="113">
        <f t="shared" si="13"/>
        <v>7943.3194356356935</v>
      </c>
      <c r="G40" s="113">
        <f t="shared" si="13"/>
        <v>4558.1580171085379</v>
      </c>
      <c r="H40" s="113">
        <f t="shared" si="13"/>
        <v>4558.1580171085379</v>
      </c>
      <c r="I40" s="176">
        <f t="shared" ref="I40" si="14">+I21/I39</f>
        <v>29381.324989358869</v>
      </c>
      <c r="J40" s="69"/>
      <c r="AK40" s="52" t="s">
        <v>24</v>
      </c>
      <c r="AL40" s="52" t="s">
        <v>81</v>
      </c>
    </row>
    <row r="41" spans="1:38" s="48" customFormat="1" ht="15.75" customHeight="1">
      <c r="A41" s="52" t="s">
        <v>82</v>
      </c>
      <c r="B41" s="55" t="s">
        <v>83</v>
      </c>
      <c r="C41" s="59"/>
      <c r="D41" s="59"/>
      <c r="E41" s="59"/>
      <c r="F41" s="59"/>
      <c r="G41" s="59"/>
      <c r="H41" s="59"/>
      <c r="I41" s="59"/>
      <c r="J41" s="69"/>
      <c r="AK41" s="52" t="s">
        <v>82</v>
      </c>
      <c r="AL41" s="55" t="s">
        <v>83</v>
      </c>
    </row>
    <row r="42" spans="1:38" s="48" customFormat="1" ht="15.75" customHeight="1">
      <c r="A42" s="52" t="s">
        <v>22</v>
      </c>
      <c r="B42" s="52" t="s">
        <v>84</v>
      </c>
      <c r="C42" s="59">
        <f>+C15/C4</f>
        <v>34.503472222222221</v>
      </c>
      <c r="D42" s="59">
        <f t="shared" ref="D42" si="15">+D15/D4</f>
        <v>5.1755208333333327</v>
      </c>
      <c r="E42" s="59">
        <f t="shared" ref="E42:H42" si="16">+E15/E4</f>
        <v>8.2808333333333337</v>
      </c>
      <c r="F42" s="59">
        <f t="shared" si="16"/>
        <v>6.9006944444444454</v>
      </c>
      <c r="G42" s="59">
        <f t="shared" si="16"/>
        <v>10.351041666666665</v>
      </c>
      <c r="H42" s="59">
        <f t="shared" si="16"/>
        <v>10.351041666666665</v>
      </c>
      <c r="I42" s="59">
        <f>+I15/I4</f>
        <v>9.4100378787878789</v>
      </c>
      <c r="J42" s="69"/>
      <c r="AK42" s="52" t="s">
        <v>22</v>
      </c>
      <c r="AL42" s="52" t="s">
        <v>84</v>
      </c>
    </row>
    <row r="43" spans="1:38" s="48" customFormat="1" ht="15.75" customHeight="1">
      <c r="A43" s="52" t="s">
        <v>24</v>
      </c>
      <c r="B43" s="52" t="s">
        <v>85</v>
      </c>
      <c r="C43" s="59">
        <f>+C17/C4</f>
        <v>0</v>
      </c>
      <c r="D43" s="59">
        <f t="shared" ref="D43" si="17">+D17/D4</f>
        <v>0</v>
      </c>
      <c r="E43" s="59">
        <f t="shared" ref="E43:H43" si="18">+E17/E4</f>
        <v>0</v>
      </c>
      <c r="F43" s="59">
        <f t="shared" si="18"/>
        <v>0</v>
      </c>
      <c r="G43" s="59">
        <f t="shared" si="18"/>
        <v>0</v>
      </c>
      <c r="H43" s="59">
        <f t="shared" si="18"/>
        <v>0</v>
      </c>
      <c r="I43" s="59">
        <f>+I17/I4</f>
        <v>0</v>
      </c>
      <c r="J43" s="69"/>
      <c r="AK43" s="52" t="s">
        <v>24</v>
      </c>
      <c r="AL43" s="52" t="s">
        <v>85</v>
      </c>
    </row>
    <row r="44" spans="1:38" s="48" customFormat="1" ht="15.75" customHeight="1">
      <c r="A44" s="52" t="s">
        <v>70</v>
      </c>
      <c r="B44" s="52" t="s">
        <v>86</v>
      </c>
      <c r="C44" s="59">
        <f>+C18/C4</f>
        <v>0</v>
      </c>
      <c r="D44" s="59">
        <f t="shared" ref="D44" si="19">+D18/D4</f>
        <v>0</v>
      </c>
      <c r="E44" s="59">
        <f t="shared" ref="E44:H44" si="20">+E18/E4</f>
        <v>0</v>
      </c>
      <c r="F44" s="59">
        <f t="shared" si="20"/>
        <v>0</v>
      </c>
      <c r="G44" s="59">
        <f t="shared" si="20"/>
        <v>0</v>
      </c>
      <c r="H44" s="59">
        <f t="shared" si="20"/>
        <v>0</v>
      </c>
      <c r="I44" s="59">
        <f>+I18/I4</f>
        <v>0</v>
      </c>
      <c r="J44" s="69"/>
      <c r="AK44" s="52" t="s">
        <v>70</v>
      </c>
      <c r="AL44" s="52" t="s">
        <v>86</v>
      </c>
    </row>
    <row r="45" spans="1:38" s="48" customFormat="1" ht="15.75" customHeight="1">
      <c r="A45" s="52" t="s">
        <v>27</v>
      </c>
      <c r="B45" s="52" t="s">
        <v>87</v>
      </c>
      <c r="C45" s="59"/>
      <c r="D45" s="59"/>
      <c r="E45" s="59"/>
      <c r="F45" s="59"/>
      <c r="G45" s="59"/>
      <c r="H45" s="59"/>
      <c r="I45" s="59"/>
      <c r="J45" s="69"/>
      <c r="AK45" s="52" t="s">
        <v>27</v>
      </c>
      <c r="AL45" s="52" t="s">
        <v>88</v>
      </c>
    </row>
    <row r="46" spans="1:38" s="48" customFormat="1" ht="15.75" customHeight="1">
      <c r="A46" s="52" t="s">
        <v>30</v>
      </c>
      <c r="B46" s="52" t="s">
        <v>89</v>
      </c>
      <c r="C46" s="59"/>
      <c r="D46" s="59"/>
      <c r="E46" s="59"/>
      <c r="F46" s="59"/>
      <c r="G46" s="59"/>
      <c r="H46" s="59"/>
      <c r="I46" s="59"/>
      <c r="J46" s="69"/>
      <c r="AK46" s="52" t="s">
        <v>30</v>
      </c>
      <c r="AL46" s="52" t="s">
        <v>89</v>
      </c>
    </row>
    <row r="47" spans="1:38" s="48" customFormat="1" ht="15.75" customHeight="1">
      <c r="A47" s="52" t="s">
        <v>90</v>
      </c>
      <c r="B47" s="55" t="s">
        <v>91</v>
      </c>
      <c r="C47" s="59"/>
      <c r="D47" s="59"/>
      <c r="E47" s="59"/>
      <c r="F47" s="59"/>
      <c r="G47" s="59"/>
      <c r="H47" s="59"/>
      <c r="I47" s="59"/>
      <c r="J47" s="69"/>
      <c r="AK47" s="52" t="s">
        <v>90</v>
      </c>
      <c r="AL47" s="55" t="s">
        <v>91</v>
      </c>
    </row>
    <row r="48" spans="1:38" s="48" customFormat="1" ht="15.75" customHeight="1">
      <c r="A48" s="52" t="s">
        <v>22</v>
      </c>
      <c r="B48" s="52" t="s">
        <v>92</v>
      </c>
      <c r="C48" s="130">
        <f>+(C11+C17)/C7</f>
        <v>9.3361512308810374E-3</v>
      </c>
      <c r="D48" s="130">
        <f t="shared" ref="D48" si="21">+(D11+D17)/D7</f>
        <v>9.602918030329529E-3</v>
      </c>
      <c r="E48" s="130">
        <f t="shared" ref="E48:H48" si="22">+(E11+E17)/E7</f>
        <v>8.697565412634287E-3</v>
      </c>
      <c r="F48" s="130">
        <f t="shared" si="22"/>
        <v>8.0955951072723357E-3</v>
      </c>
      <c r="G48" s="130">
        <f t="shared" si="22"/>
        <v>9.602918030329529E-3</v>
      </c>
      <c r="H48" s="130">
        <f t="shared" si="22"/>
        <v>9.602918030329529E-3</v>
      </c>
      <c r="I48" s="130">
        <f>+(I11+I17)/I7</f>
        <v>9.0368750122760706E-3</v>
      </c>
      <c r="J48" s="69"/>
      <c r="AK48" s="52" t="s">
        <v>22</v>
      </c>
      <c r="AL48" s="52" t="s">
        <v>92</v>
      </c>
    </row>
    <row r="49" spans="1:38" s="48" customFormat="1" ht="15.75" customHeight="1">
      <c r="A49" s="52" t="s">
        <v>24</v>
      </c>
      <c r="B49" s="52" t="s">
        <v>93</v>
      </c>
      <c r="C49" s="130">
        <f>+(C9+C10+C15)/C7</f>
        <v>9.6586768690150995E-2</v>
      </c>
      <c r="D49" s="130">
        <f t="shared" ref="D49" si="23">+(D9+D10+D15)/D7</f>
        <v>6.7172029713276876E-2</v>
      </c>
      <c r="E49" s="130">
        <f t="shared" ref="E49:H49" si="24">+(E9+E10+E15)/E7</f>
        <v>7.0482166026129556E-2</v>
      </c>
      <c r="F49" s="130">
        <f t="shared" si="24"/>
        <v>6.9087157559843945E-2</v>
      </c>
      <c r="G49" s="130">
        <f t="shared" si="24"/>
        <v>7.2344059426553739E-2</v>
      </c>
      <c r="H49" s="130">
        <f t="shared" si="24"/>
        <v>7.2344059426553739E-2</v>
      </c>
      <c r="I49" s="130">
        <f>+(I9+I10+I15)/I7</f>
        <v>7.1516739403680474E-2</v>
      </c>
      <c r="J49" s="69"/>
      <c r="AK49" s="52" t="s">
        <v>24</v>
      </c>
      <c r="AL49" s="52" t="s">
        <v>93</v>
      </c>
    </row>
    <row r="50" spans="1:38" s="48" customFormat="1" ht="15.75" customHeight="1">
      <c r="A50" s="52" t="s">
        <v>70</v>
      </c>
      <c r="B50" s="52" t="s">
        <v>94</v>
      </c>
      <c r="C50" s="130">
        <f>+C18/C7</f>
        <v>0</v>
      </c>
      <c r="D50" s="130">
        <f t="shared" ref="D50" si="25">+D18/D7</f>
        <v>0</v>
      </c>
      <c r="E50" s="130">
        <f t="shared" ref="E50:H50" si="26">+E18/E7</f>
        <v>0</v>
      </c>
      <c r="F50" s="130">
        <f t="shared" si="26"/>
        <v>0</v>
      </c>
      <c r="G50" s="130">
        <f t="shared" si="26"/>
        <v>0</v>
      </c>
      <c r="H50" s="130">
        <f t="shared" si="26"/>
        <v>0</v>
      </c>
      <c r="I50" s="130">
        <f>+I18/I7</f>
        <v>0</v>
      </c>
      <c r="J50" s="69"/>
      <c r="AK50" s="52" t="s">
        <v>70</v>
      </c>
      <c r="AL50" s="52" t="s">
        <v>94</v>
      </c>
    </row>
    <row r="51" spans="1:38" s="48" customFormat="1" ht="15.75" customHeight="1">
      <c r="A51" s="52" t="s">
        <v>27</v>
      </c>
      <c r="B51" s="52" t="s">
        <v>95</v>
      </c>
      <c r="C51" s="130">
        <f>+C19/C7</f>
        <v>2.2192335430049594E-2</v>
      </c>
      <c r="D51" s="130">
        <f t="shared" ref="D51" si="27">+D19/D7</f>
        <v>6.6371865657347956E-3</v>
      </c>
      <c r="E51" s="130">
        <f t="shared" ref="E51:H51" si="28">+E19/E7</f>
        <v>5.4425169148235863E-3</v>
      </c>
      <c r="F51" s="130">
        <f t="shared" si="28"/>
        <v>4.5474204087315034E-3</v>
      </c>
      <c r="G51" s="130">
        <f t="shared" si="28"/>
        <v>6.6371865657347956E-3</v>
      </c>
      <c r="H51" s="130">
        <f t="shared" si="28"/>
        <v>6.6371865657347956E-3</v>
      </c>
      <c r="I51" s="130">
        <f>+I19/I7</f>
        <v>6.6614650960542315E-3</v>
      </c>
      <c r="J51" s="69"/>
      <c r="AK51" s="52" t="s">
        <v>27</v>
      </c>
      <c r="AL51" s="52" t="s">
        <v>95</v>
      </c>
    </row>
    <row r="52" spans="1:38" s="48" customFormat="1" ht="15.75" customHeight="1">
      <c r="A52" s="52" t="s">
        <v>30</v>
      </c>
      <c r="B52" s="52" t="s">
        <v>96</v>
      </c>
      <c r="C52" s="130">
        <f>+C20/C7</f>
        <v>0.04</v>
      </c>
      <c r="D52" s="130">
        <f t="shared" ref="D52" si="29">+D20/D7</f>
        <v>3.0006745446823399E-2</v>
      </c>
      <c r="E52" s="130">
        <f t="shared" ref="E52:H52" si="30">+E20/E7</f>
        <v>0.04</v>
      </c>
      <c r="F52" s="130">
        <f t="shared" si="30"/>
        <v>0.04</v>
      </c>
      <c r="G52" s="130">
        <f t="shared" si="30"/>
        <v>0.04</v>
      </c>
      <c r="H52" s="130">
        <f t="shared" si="30"/>
        <v>0.04</v>
      </c>
      <c r="I52" s="130">
        <f>+I20/I7</f>
        <v>3.8328365095093041E-2</v>
      </c>
      <c r="J52" s="69"/>
      <c r="AK52" s="52" t="s">
        <v>30</v>
      </c>
      <c r="AL52" s="52" t="s">
        <v>96</v>
      </c>
    </row>
    <row r="53" spans="1:38" s="48" customFormat="1" ht="15.75" customHeight="1">
      <c r="A53" s="52" t="s">
        <v>33</v>
      </c>
      <c r="B53" s="52" t="s">
        <v>97</v>
      </c>
      <c r="C53" s="130">
        <f>+C24/C7</f>
        <v>-5.3400022232852347E-2</v>
      </c>
      <c r="D53" s="130">
        <f t="shared" ref="D53" si="31">+D24/D7</f>
        <v>6.1408395637043822E-3</v>
      </c>
      <c r="E53" s="130">
        <f t="shared" ref="E53:H53" si="32">+E24/E7</f>
        <v>-1.4175457093159087E-2</v>
      </c>
      <c r="F53" s="130">
        <f t="shared" si="32"/>
        <v>-1.2632310676946725E-2</v>
      </c>
      <c r="G53" s="130">
        <f t="shared" si="32"/>
        <v>-6.9774981815142884E-3</v>
      </c>
      <c r="H53" s="130">
        <f t="shared" si="32"/>
        <v>-6.9774981815142884E-3</v>
      </c>
      <c r="I53" s="130">
        <f>+I24/I7</f>
        <v>-9.6121005852592718E-3</v>
      </c>
      <c r="J53" s="69"/>
      <c r="AK53" s="52" t="s">
        <v>33</v>
      </c>
      <c r="AL53" s="52" t="s">
        <v>98</v>
      </c>
    </row>
    <row r="54" spans="1:38" s="48" customFormat="1" ht="15.75" customHeight="1">
      <c r="A54" s="52" t="s">
        <v>99</v>
      </c>
      <c r="B54" s="55" t="s">
        <v>100</v>
      </c>
      <c r="C54" s="59">
        <f>+C22/C4</f>
        <v>-53.27141717930823</v>
      </c>
      <c r="D54" s="59">
        <f t="shared" ref="D54" si="33">+D22/D4</f>
        <v>8.1933128405465112</v>
      </c>
      <c r="E54" s="59">
        <f t="shared" ref="E54:H54" si="34">+E22/E4</f>
        <v>-13.838988443595863</v>
      </c>
      <c r="F54" s="59">
        <f t="shared" si="34"/>
        <v>-12.299954583036257</v>
      </c>
      <c r="G54" s="59">
        <f t="shared" si="34"/>
        <v>-6.9822079927868108</v>
      </c>
      <c r="H54" s="59">
        <f t="shared" si="34"/>
        <v>-6.9822079927868108</v>
      </c>
      <c r="I54" s="59">
        <f>+I22/I4</f>
        <v>-9.50432987237504</v>
      </c>
      <c r="J54" s="69"/>
      <c r="AK54" s="52" t="s">
        <v>99</v>
      </c>
      <c r="AL54" s="55" t="s">
        <v>100</v>
      </c>
    </row>
    <row r="55" spans="1:38" s="48" customFormat="1" ht="15.75" customHeight="1">
      <c r="A55" s="52" t="s">
        <v>101</v>
      </c>
      <c r="B55" s="131" t="s">
        <v>102</v>
      </c>
      <c r="C55" s="59"/>
      <c r="D55" s="59"/>
      <c r="E55" s="59"/>
      <c r="F55" s="59"/>
      <c r="G55" s="59"/>
      <c r="H55" s="59"/>
      <c r="I55" s="59"/>
      <c r="J55" s="69"/>
      <c r="AK55" s="52"/>
      <c r="AL55" s="55"/>
    </row>
    <row r="56" spans="1:38" s="48" customFormat="1" ht="15.75" customHeight="1">
      <c r="A56" s="52" t="s">
        <v>22</v>
      </c>
      <c r="B56" s="52" t="s">
        <v>103</v>
      </c>
      <c r="C56" s="59">
        <f>C57+C58</f>
        <v>420900</v>
      </c>
      <c r="D56" s="59"/>
      <c r="E56" s="59"/>
      <c r="F56" s="59"/>
      <c r="G56" s="59"/>
      <c r="H56" s="59"/>
      <c r="I56" s="59"/>
      <c r="J56" s="69"/>
    </row>
    <row r="57" spans="1:38" s="48" customFormat="1" ht="15.75" customHeight="1">
      <c r="A57" s="52">
        <v>1.1000000000000001</v>
      </c>
      <c r="B57" s="132" t="s">
        <v>104</v>
      </c>
      <c r="C57" s="59">
        <f>项目投资!B27</f>
        <v>159400</v>
      </c>
      <c r="D57" s="59"/>
      <c r="E57" s="59"/>
      <c r="F57" s="59"/>
      <c r="G57" s="59"/>
      <c r="H57" s="59"/>
      <c r="I57" s="59"/>
      <c r="J57" s="69"/>
    </row>
    <row r="58" spans="1:38" s="48" customFormat="1" ht="15.75" customHeight="1">
      <c r="A58" s="52">
        <v>1.2</v>
      </c>
      <c r="B58" s="52" t="s">
        <v>105</v>
      </c>
      <c r="C58" s="59">
        <f>项目投资!B26</f>
        <v>261500</v>
      </c>
      <c r="D58" s="59"/>
      <c r="E58" s="59"/>
      <c r="F58" s="59"/>
      <c r="G58" s="59"/>
      <c r="H58" s="59"/>
      <c r="I58" s="59"/>
      <c r="J58" s="69"/>
    </row>
    <row r="59" spans="1:38" ht="15.75" customHeight="1">
      <c r="A59" s="119" t="s">
        <v>24</v>
      </c>
      <c r="B59" s="119" t="s">
        <v>106</v>
      </c>
      <c r="C59" s="133">
        <f t="shared" ref="C59:D59" si="35">C60+C61</f>
        <v>-22521.533948503209</v>
      </c>
      <c r="D59" s="133">
        <f t="shared" si="35"/>
        <v>65984.105188306188</v>
      </c>
      <c r="E59" s="133">
        <f t="shared" ref="E59:H59" si="36">E60+E61</f>
        <v>-27790.775551312654</v>
      </c>
      <c r="F59" s="133">
        <f t="shared" si="36"/>
        <v>-32395.56083155088</v>
      </c>
      <c r="G59" s="133">
        <f t="shared" si="36"/>
        <v>13475.334695519421</v>
      </c>
      <c r="H59" s="133">
        <f t="shared" si="36"/>
        <v>13475.334695519421</v>
      </c>
      <c r="I59" s="133">
        <f t="shared" ref="I59" si="37">I60+I61</f>
        <v>18420.21708852399</v>
      </c>
      <c r="J59" s="69"/>
    </row>
    <row r="60" spans="1:38" ht="15.75" customHeight="1">
      <c r="A60" s="119" t="s">
        <v>70</v>
      </c>
      <c r="B60" s="119" t="s">
        <v>107</v>
      </c>
      <c r="C60" s="133">
        <f t="shared" ref="C60:D60" si="38">C24</f>
        <v>-63925.700615169873</v>
      </c>
      <c r="D60" s="133">
        <f t="shared" si="38"/>
        <v>24579.938521639531</v>
      </c>
      <c r="E60" s="133">
        <f t="shared" ref="E60:H60" si="39">E24</f>
        <v>-69194.942217979318</v>
      </c>
      <c r="F60" s="133">
        <f t="shared" si="39"/>
        <v>-73799.727498217544</v>
      </c>
      <c r="G60" s="133">
        <f t="shared" si="39"/>
        <v>-27928.831971147243</v>
      </c>
      <c r="H60" s="133">
        <f t="shared" si="39"/>
        <v>-27928.831971147243</v>
      </c>
      <c r="I60" s="133">
        <f t="shared" ref="I60" si="40">I24</f>
        <v>-230004.78291147598</v>
      </c>
      <c r="J60" s="69"/>
    </row>
    <row r="61" spans="1:38" ht="15.75" customHeight="1">
      <c r="A61" s="119" t="s">
        <v>27</v>
      </c>
      <c r="B61" s="119" t="s">
        <v>108</v>
      </c>
      <c r="C61" s="133">
        <f>'2023年'!L18</f>
        <v>41404.166666666664</v>
      </c>
      <c r="D61" s="133">
        <f>'2024年'!L18</f>
        <v>41404.166666666664</v>
      </c>
      <c r="E61" s="133">
        <f>'2025年'!L18</f>
        <v>41404.166666666664</v>
      </c>
      <c r="F61" s="133">
        <f>'2026年'!L18</f>
        <v>41404.166666666664</v>
      </c>
      <c r="G61" s="133">
        <f>'2027年'!L18</f>
        <v>41404.166666666664</v>
      </c>
      <c r="H61" s="133">
        <f>'2028年'!L18</f>
        <v>41404.166666666664</v>
      </c>
      <c r="I61" s="133">
        <f>项目投资!J26</f>
        <v>248424.99999999997</v>
      </c>
      <c r="J61" s="69"/>
    </row>
    <row r="62" spans="1:38" ht="15.75" customHeight="1">
      <c r="A62" s="119" t="s">
        <v>30</v>
      </c>
      <c r="B62" s="119" t="s">
        <v>109</v>
      </c>
      <c r="C62" s="134"/>
      <c r="D62" s="134"/>
      <c r="E62" s="134"/>
      <c r="F62" s="134"/>
      <c r="G62" s="134"/>
      <c r="H62" s="134"/>
      <c r="I62" s="133"/>
      <c r="J62" s="69"/>
    </row>
    <row r="64" spans="1:38">
      <c r="B64"/>
    </row>
  </sheetData>
  <mergeCells count="3">
    <mergeCell ref="A1:I1"/>
    <mergeCell ref="A3:A4"/>
    <mergeCell ref="D2:F2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110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111</v>
      </c>
      <c r="B2" s="77"/>
    </row>
    <row r="3" spans="1:13" ht="16.899999999999999" customHeight="1">
      <c r="A3" s="78" t="s">
        <v>17</v>
      </c>
      <c r="B3" s="78" t="s">
        <v>112</v>
      </c>
      <c r="C3" s="233" t="s">
        <v>113</v>
      </c>
      <c r="D3" s="233"/>
      <c r="E3" s="233"/>
      <c r="F3" s="80"/>
      <c r="G3" s="81"/>
      <c r="H3" s="82"/>
      <c r="I3" s="82"/>
      <c r="J3" s="82" t="s">
        <v>114</v>
      </c>
      <c r="K3" s="82"/>
      <c r="L3" s="82"/>
      <c r="M3" s="103"/>
    </row>
    <row r="4" spans="1:13" ht="16.149999999999999" customHeight="1">
      <c r="A4" s="83"/>
      <c r="B4" s="83" t="s">
        <v>115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116</v>
      </c>
    </row>
    <row r="5" spans="1:13" ht="15.6" customHeight="1">
      <c r="A5" s="85">
        <v>1</v>
      </c>
      <c r="B5" s="86" t="s">
        <v>117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1197110</v>
      </c>
      <c r="G5" s="87">
        <f t="shared" si="1"/>
        <v>4002700</v>
      </c>
      <c r="H5" s="87">
        <f t="shared" si="1"/>
        <v>4002700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23928670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118</v>
      </c>
      <c r="C6" s="89"/>
      <c r="D6" s="89"/>
      <c r="E6" s="89" t="e">
        <f>损益表!#REF!</f>
        <v>#REF!</v>
      </c>
      <c r="F6" s="89">
        <f>损益表!C5</f>
        <v>1197110</v>
      </c>
      <c r="G6" s="89">
        <f>损益表!D5</f>
        <v>4002700</v>
      </c>
      <c r="H6" s="89">
        <f>损益表!H5</f>
        <v>4002700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损益表!I5</f>
        <v>23928670</v>
      </c>
      <c r="M6" s="91" t="e">
        <f t="shared" si="2"/>
        <v>#REF!</v>
      </c>
    </row>
    <row r="7" spans="1:13" ht="15.6" customHeight="1">
      <c r="A7" s="85">
        <v>1.2</v>
      </c>
      <c r="B7" s="88" t="s">
        <v>119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120</v>
      </c>
      <c r="C8" s="89" t="s">
        <v>121</v>
      </c>
      <c r="D8" s="89" t="s">
        <v>121</v>
      </c>
      <c r="E8" s="89" t="s">
        <v>121</v>
      </c>
      <c r="F8" s="89" t="s">
        <v>121</v>
      </c>
      <c r="G8" s="89" t="s">
        <v>121</v>
      </c>
      <c r="H8" s="89" t="s">
        <v>121</v>
      </c>
      <c r="I8" s="89" t="s">
        <v>121</v>
      </c>
      <c r="J8" s="89" t="s">
        <v>121</v>
      </c>
      <c r="K8" s="89" t="s">
        <v>121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122</v>
      </c>
      <c r="C9" s="89" t="s">
        <v>121</v>
      </c>
      <c r="D9" s="89" t="s">
        <v>121</v>
      </c>
      <c r="E9" s="89" t="s">
        <v>121</v>
      </c>
      <c r="F9" s="89" t="s">
        <v>121</v>
      </c>
      <c r="G9" s="89" t="s">
        <v>121</v>
      </c>
      <c r="H9" s="89" t="s">
        <v>121</v>
      </c>
      <c r="I9" s="89" t="s">
        <v>121</v>
      </c>
      <c r="J9" s="89" t="s">
        <v>121</v>
      </c>
      <c r="K9" s="89" t="s">
        <v>121</v>
      </c>
      <c r="L9" s="89" t="s">
        <v>121</v>
      </c>
      <c r="M9" s="91">
        <f t="shared" si="2"/>
        <v>0</v>
      </c>
    </row>
    <row r="10" spans="1:13" ht="15.6" customHeight="1">
      <c r="A10" s="90">
        <v>2</v>
      </c>
      <c r="B10" s="86" t="s">
        <v>123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124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125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126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127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57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128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129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1197110</v>
      </c>
      <c r="G17" s="87">
        <f t="shared" si="4"/>
        <v>4002700</v>
      </c>
      <c r="H17" s="87">
        <f t="shared" si="4"/>
        <v>4002700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23928670</v>
      </c>
      <c r="M17" s="91" t="e">
        <f t="shared" si="2"/>
        <v>#REF!</v>
      </c>
    </row>
    <row r="18" spans="1:18" ht="12">
      <c r="A18" s="92">
        <v>4</v>
      </c>
      <c r="B18" s="88" t="s">
        <v>130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121</v>
      </c>
    </row>
    <row r="19" spans="1:18" s="72" customFormat="1" ht="12">
      <c r="A19" s="92">
        <v>5</v>
      </c>
      <c r="B19" s="88" t="s">
        <v>131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1197110</v>
      </c>
      <c r="G19" s="89">
        <f t="shared" si="6"/>
        <v>4002700</v>
      </c>
      <c r="H19" s="89">
        <f t="shared" si="6"/>
        <v>4002700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23928670</v>
      </c>
      <c r="M19" s="91" t="e">
        <f>SUM(C19:L19)</f>
        <v>#REF!</v>
      </c>
    </row>
    <row r="20" spans="1:18" s="72" customFormat="1" ht="12">
      <c r="A20" s="85">
        <v>6</v>
      </c>
      <c r="B20" s="88" t="s">
        <v>132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121</v>
      </c>
    </row>
    <row r="21" spans="1:18" ht="12">
      <c r="A21" s="93"/>
      <c r="B21" s="94" t="s">
        <v>133</v>
      </c>
      <c r="C21" s="94"/>
      <c r="D21" s="94"/>
      <c r="E21" s="94" t="s">
        <v>134</v>
      </c>
      <c r="F21" s="94"/>
      <c r="G21" s="94"/>
      <c r="H21" s="94"/>
      <c r="I21" s="94" t="s">
        <v>135</v>
      </c>
      <c r="J21" s="94"/>
      <c r="K21" s="94"/>
      <c r="L21" s="94"/>
      <c r="M21" s="105"/>
    </row>
    <row r="22" spans="1:18" ht="12">
      <c r="A22" s="95"/>
      <c r="B22" s="96" t="s">
        <v>136</v>
      </c>
      <c r="C22" s="96"/>
      <c r="D22" s="97" t="s">
        <v>137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138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139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90" zoomScaleNormal="90" workbookViewId="0">
      <pane xSplit="2" ySplit="7" topLeftCell="C8" activePane="bottomRight" state="frozen"/>
      <selection pane="topRight"/>
      <selection pane="bottomLeft"/>
      <selection pane="bottomRight" activeCell="G18" sqref="G18"/>
    </sheetView>
  </sheetViews>
  <sheetFormatPr defaultColWidth="9" defaultRowHeight="16.5"/>
  <cols>
    <col min="1" max="1" width="5.125" style="48" customWidth="1"/>
    <col min="2" max="2" width="17.5" style="48" customWidth="1"/>
    <col min="3" max="11" width="13.25" style="49" customWidth="1"/>
    <col min="12" max="12" width="18.75" style="49" customWidth="1"/>
    <col min="13" max="13" width="12.375" style="48" customWidth="1"/>
    <col min="14" max="14" width="10.125" style="48" customWidth="1"/>
    <col min="15" max="21" width="9" style="48" customWidth="1"/>
    <col min="22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34" t="s">
        <v>140</v>
      </c>
      <c r="B1" s="234"/>
      <c r="C1" s="238" t="s">
        <v>290</v>
      </c>
      <c r="D1" s="239"/>
      <c r="E1" s="239"/>
      <c r="F1" s="239"/>
      <c r="G1" s="239"/>
      <c r="H1" s="239"/>
      <c r="I1" s="239"/>
      <c r="J1" s="239"/>
      <c r="K1" s="239"/>
      <c r="L1" s="240"/>
    </row>
    <row r="2" spans="1:38">
      <c r="A2" s="234" t="s">
        <v>141</v>
      </c>
      <c r="B2" s="234"/>
      <c r="C2" s="241" t="s">
        <v>229</v>
      </c>
      <c r="D2" s="241"/>
      <c r="E2" s="241"/>
      <c r="F2" s="241"/>
      <c r="G2" s="241"/>
      <c r="H2" s="241"/>
      <c r="I2" s="241"/>
      <c r="J2" s="241"/>
      <c r="K2" s="241"/>
      <c r="L2" s="241"/>
    </row>
    <row r="3" spans="1:38">
      <c r="A3" s="234" t="s">
        <v>142</v>
      </c>
      <c r="B3" s="234"/>
      <c r="C3" s="159" t="str">
        <f>销量!C5</f>
        <v>正司机</v>
      </c>
      <c r="D3" s="159" t="str">
        <f>销量!D5</f>
        <v>正司机</v>
      </c>
      <c r="E3" s="159" t="str">
        <f>销量!E5</f>
        <v>正司机</v>
      </c>
      <c r="F3" s="159" t="str">
        <f>销量!F5</f>
        <v>正司机</v>
      </c>
      <c r="G3" s="159" t="str">
        <f>销量!G5</f>
        <v>正司机</v>
      </c>
      <c r="H3" s="159" t="str">
        <f>销量!H5</f>
        <v>正司机</v>
      </c>
      <c r="I3" s="159" t="str">
        <f>销量!I5</f>
        <v>副司机</v>
      </c>
      <c r="J3" s="159">
        <f>销量!J5</f>
        <v>0</v>
      </c>
      <c r="K3" s="159">
        <f>销量!K5</f>
        <v>0</v>
      </c>
      <c r="L3" s="235" t="s">
        <v>18</v>
      </c>
    </row>
    <row r="4" spans="1:38">
      <c r="A4" s="234" t="s">
        <v>143</v>
      </c>
      <c r="B4" s="234"/>
      <c r="C4" s="159" t="str">
        <f>销量!C6</f>
        <v>EZ160051000001</v>
      </c>
      <c r="D4" s="159" t="str">
        <f>销量!D6</f>
        <v>EZ160051000002</v>
      </c>
      <c r="E4" s="159" t="str">
        <f>销量!E6</f>
        <v>EZ160051000003</v>
      </c>
      <c r="F4" s="159" t="str">
        <f>销量!F6</f>
        <v>EZ160051000004</v>
      </c>
      <c r="G4" s="159" t="str">
        <f>销量!G6</f>
        <v>EZ160051000005</v>
      </c>
      <c r="H4" s="159" t="str">
        <f>销量!H6</f>
        <v>EZ160051000004</v>
      </c>
      <c r="I4" s="159" t="str">
        <f>销量!I6</f>
        <v>EZ16B251000008</v>
      </c>
      <c r="J4" s="159">
        <f>销量!J6</f>
        <v>0</v>
      </c>
      <c r="K4" s="159">
        <f>销量!K6</f>
        <v>0</v>
      </c>
      <c r="L4" s="236"/>
    </row>
    <row r="5" spans="1:38">
      <c r="A5" s="234" t="s">
        <v>144</v>
      </c>
      <c r="B5" s="234"/>
      <c r="C5" s="51"/>
      <c r="D5" s="51"/>
      <c r="E5" s="51"/>
      <c r="F5" s="51"/>
      <c r="G5" s="51"/>
      <c r="H5" s="51"/>
      <c r="I5" s="182"/>
      <c r="J5" s="182"/>
      <c r="K5" s="182"/>
      <c r="L5" s="237"/>
      <c r="AL5" s="48" t="s">
        <v>19</v>
      </c>
    </row>
    <row r="6" spans="1:38" ht="17.25">
      <c r="A6" s="52" t="s">
        <v>17</v>
      </c>
      <c r="B6" s="53" t="s">
        <v>145</v>
      </c>
      <c r="C6" s="22">
        <f>销量!C9</f>
        <v>150</v>
      </c>
      <c r="D6" s="22">
        <f>销量!D9</f>
        <v>200</v>
      </c>
      <c r="E6" s="22">
        <f>销量!E9</f>
        <v>100</v>
      </c>
      <c r="F6" s="22">
        <f>销量!F9</f>
        <v>0</v>
      </c>
      <c r="G6" s="22">
        <f>销量!G9</f>
        <v>50</v>
      </c>
      <c r="H6" s="22">
        <f>销量!H9</f>
        <v>100</v>
      </c>
      <c r="I6" s="22">
        <f>销量!I9</f>
        <v>600</v>
      </c>
      <c r="J6" s="22">
        <f>销量!J9</f>
        <v>0</v>
      </c>
      <c r="K6" s="22">
        <f>销量!K9</f>
        <v>0</v>
      </c>
      <c r="L6" s="54">
        <f>SUM(C6:K6)</f>
        <v>1200</v>
      </c>
      <c r="AJ6" s="52" t="s">
        <v>17</v>
      </c>
      <c r="AK6" s="53" t="s">
        <v>3</v>
      </c>
      <c r="AL6" s="48" t="s">
        <v>20</v>
      </c>
    </row>
    <row r="7" spans="1:38">
      <c r="A7" s="50">
        <v>1</v>
      </c>
      <c r="B7" s="53" t="s">
        <v>21</v>
      </c>
      <c r="C7" s="54">
        <f>C6*销量!C8</f>
        <v>175500</v>
      </c>
      <c r="D7" s="54">
        <f>D6*销量!D8</f>
        <v>274400</v>
      </c>
      <c r="E7" s="54">
        <f>E6*销量!E8</f>
        <v>173000</v>
      </c>
      <c r="F7" s="54">
        <f>F6*销量!F8</f>
        <v>0</v>
      </c>
      <c r="G7" s="54">
        <f>G6*销量!G8</f>
        <v>79470</v>
      </c>
      <c r="H7" s="54">
        <f>H6*销量!H8</f>
        <v>194740</v>
      </c>
      <c r="I7" s="54">
        <f>I6*销量!I8</f>
        <v>300000</v>
      </c>
      <c r="J7" s="54">
        <f>J6*销量!J8</f>
        <v>0</v>
      </c>
      <c r="K7" s="54">
        <f>K6*销量!K8</f>
        <v>0</v>
      </c>
      <c r="L7" s="54">
        <f t="shared" ref="L7:L15" si="0">SUM(C7:K7)</f>
        <v>1197110</v>
      </c>
      <c r="M7" s="49"/>
      <c r="AJ7" s="52" t="s">
        <v>22</v>
      </c>
      <c r="AK7" s="53" t="s">
        <v>21</v>
      </c>
      <c r="AL7" s="48" t="s">
        <v>20</v>
      </c>
    </row>
    <row r="8" spans="1:38">
      <c r="A8" s="50">
        <v>2</v>
      </c>
      <c r="B8" s="50" t="s">
        <v>23</v>
      </c>
      <c r="C8" s="54"/>
      <c r="D8" s="54"/>
      <c r="E8" s="54"/>
      <c r="F8" s="54"/>
      <c r="G8" s="54"/>
      <c r="H8" s="54"/>
      <c r="I8" s="54"/>
      <c r="J8" s="54"/>
      <c r="K8" s="54"/>
      <c r="L8" s="54">
        <f t="shared" si="0"/>
        <v>0</v>
      </c>
      <c r="M8" s="69"/>
      <c r="AJ8" s="52" t="s">
        <v>24</v>
      </c>
      <c r="AK8" s="50" t="s">
        <v>25</v>
      </c>
      <c r="AL8" s="48" t="s">
        <v>20</v>
      </c>
    </row>
    <row r="9" spans="1:38">
      <c r="A9" s="50">
        <v>3</v>
      </c>
      <c r="B9" s="53" t="s">
        <v>26</v>
      </c>
      <c r="C9" s="54">
        <f>+C7-C8</f>
        <v>175500</v>
      </c>
      <c r="D9" s="54">
        <f t="shared" ref="D9:K9" si="1">+D7-D8</f>
        <v>274400</v>
      </c>
      <c r="E9" s="54">
        <f t="shared" si="1"/>
        <v>173000</v>
      </c>
      <c r="F9" s="54">
        <f t="shared" si="1"/>
        <v>0</v>
      </c>
      <c r="G9" s="54">
        <f t="shared" si="1"/>
        <v>79470</v>
      </c>
      <c r="H9" s="54">
        <f t="shared" si="1"/>
        <v>194740</v>
      </c>
      <c r="I9" s="54">
        <f t="shared" si="1"/>
        <v>300000</v>
      </c>
      <c r="J9" s="54">
        <f t="shared" si="1"/>
        <v>0</v>
      </c>
      <c r="K9" s="54">
        <f t="shared" si="1"/>
        <v>0</v>
      </c>
      <c r="L9" s="54">
        <f t="shared" si="0"/>
        <v>1197110</v>
      </c>
      <c r="AJ9" s="52" t="s">
        <v>27</v>
      </c>
      <c r="AK9" s="53" t="s">
        <v>26</v>
      </c>
      <c r="AL9" s="48" t="s">
        <v>28</v>
      </c>
    </row>
    <row r="10" spans="1:38">
      <c r="A10" s="50">
        <v>4</v>
      </c>
      <c r="B10" s="52" t="s">
        <v>29</v>
      </c>
      <c r="C10" s="54">
        <f>C6*C33</f>
        <v>146550.57330046676</v>
      </c>
      <c r="D10" s="54">
        <f t="shared" ref="D10:K10" si="2">D6*D33</f>
        <v>245586.70692199079</v>
      </c>
      <c r="E10" s="54">
        <f t="shared" si="2"/>
        <v>144703.82188726106</v>
      </c>
      <c r="F10" s="54">
        <f t="shared" si="2"/>
        <v>0</v>
      </c>
      <c r="G10" s="54">
        <f t="shared" si="2"/>
        <v>71329.709597544497</v>
      </c>
      <c r="H10" s="54">
        <f t="shared" si="2"/>
        <v>164569.88762135463</v>
      </c>
      <c r="I10" s="54">
        <f t="shared" si="2"/>
        <v>287042.5479532188</v>
      </c>
      <c r="J10" s="54">
        <f t="shared" si="2"/>
        <v>0</v>
      </c>
      <c r="K10" s="54">
        <f t="shared" si="2"/>
        <v>0</v>
      </c>
      <c r="L10" s="54">
        <f t="shared" si="0"/>
        <v>1059783.2472818366</v>
      </c>
      <c r="AJ10" s="52" t="s">
        <v>30</v>
      </c>
      <c r="AK10" s="52" t="s">
        <v>29</v>
      </c>
      <c r="AL10" s="48" t="s">
        <v>31</v>
      </c>
    </row>
    <row r="11" spans="1:38">
      <c r="A11" s="50">
        <v>5</v>
      </c>
      <c r="B11" s="52" t="s">
        <v>32</v>
      </c>
      <c r="C11" s="54">
        <f>+C6*C36</f>
        <v>8301.15</v>
      </c>
      <c r="D11" s="54">
        <f t="shared" ref="D11:H11" si="3">+D6*D36</f>
        <v>12979.12</v>
      </c>
      <c r="E11" s="54">
        <f t="shared" si="3"/>
        <v>8182.9000000000005</v>
      </c>
      <c r="F11" s="54">
        <f t="shared" si="3"/>
        <v>0</v>
      </c>
      <c r="G11" s="54">
        <f t="shared" si="3"/>
        <v>3758.9310000000005</v>
      </c>
      <c r="H11" s="54">
        <f t="shared" si="3"/>
        <v>9211.2019999999993</v>
      </c>
      <c r="I11" s="54">
        <f t="shared" ref="I11:K11" si="4">+I6*I36</f>
        <v>14190.000000000002</v>
      </c>
      <c r="J11" s="54">
        <f t="shared" si="4"/>
        <v>0</v>
      </c>
      <c r="K11" s="54">
        <f t="shared" si="4"/>
        <v>0</v>
      </c>
      <c r="L11" s="54">
        <f t="shared" si="0"/>
        <v>56623.303</v>
      </c>
      <c r="AJ11" s="52" t="s">
        <v>33</v>
      </c>
      <c r="AK11" s="52" t="s">
        <v>32</v>
      </c>
    </row>
    <row r="12" spans="1:38">
      <c r="A12" s="50">
        <v>6</v>
      </c>
      <c r="B12" s="52" t="s">
        <v>34</v>
      </c>
      <c r="C12" s="54">
        <f>+C6*C37</f>
        <v>2579.85</v>
      </c>
      <c r="D12" s="54">
        <f t="shared" ref="D12:H12" si="5">+D6*D37</f>
        <v>4033.68</v>
      </c>
      <c r="E12" s="54">
        <f t="shared" si="5"/>
        <v>2543.1</v>
      </c>
      <c r="F12" s="54">
        <f t="shared" si="5"/>
        <v>0</v>
      </c>
      <c r="G12" s="54">
        <f t="shared" si="5"/>
        <v>1168.2090000000001</v>
      </c>
      <c r="H12" s="54">
        <f t="shared" si="5"/>
        <v>2862.6779999999999</v>
      </c>
      <c r="I12" s="54">
        <f t="shared" ref="I12:K12" si="6">+I6*I37</f>
        <v>4410</v>
      </c>
      <c r="J12" s="54">
        <f t="shared" si="6"/>
        <v>0</v>
      </c>
      <c r="K12" s="54">
        <f t="shared" si="6"/>
        <v>0</v>
      </c>
      <c r="L12" s="54">
        <f t="shared" si="0"/>
        <v>17597.517</v>
      </c>
      <c r="AJ12" s="52" t="s">
        <v>35</v>
      </c>
      <c r="AK12" s="52" t="s">
        <v>34</v>
      </c>
    </row>
    <row r="13" spans="1:38">
      <c r="A13" s="50">
        <v>7</v>
      </c>
      <c r="B13" s="52" t="s">
        <v>36</v>
      </c>
      <c r="C13" s="54">
        <f>+C6*C38</f>
        <v>1755.0000000000002</v>
      </c>
      <c r="D13" s="54">
        <f t="shared" ref="D13:H13" si="7">+D6*D38</f>
        <v>2744</v>
      </c>
      <c r="E13" s="54">
        <f t="shared" si="7"/>
        <v>1730</v>
      </c>
      <c r="F13" s="54">
        <f t="shared" si="7"/>
        <v>0</v>
      </c>
      <c r="G13" s="54">
        <f t="shared" si="7"/>
        <v>0</v>
      </c>
      <c r="H13" s="54">
        <f t="shared" si="7"/>
        <v>1947.4</v>
      </c>
      <c r="I13" s="54">
        <f t="shared" ref="I13:K13" si="8">+I6*I38</f>
        <v>3000</v>
      </c>
      <c r="J13" s="54">
        <f t="shared" si="8"/>
        <v>0</v>
      </c>
      <c r="K13" s="54">
        <f t="shared" si="8"/>
        <v>0</v>
      </c>
      <c r="L13" s="54">
        <f t="shared" si="0"/>
        <v>11176.4</v>
      </c>
      <c r="AJ13" s="52" t="s">
        <v>37</v>
      </c>
      <c r="AK13" s="52" t="s">
        <v>36</v>
      </c>
      <c r="AL13" s="48" t="s">
        <v>20</v>
      </c>
    </row>
    <row r="14" spans="1:38">
      <c r="A14" s="50">
        <v>8</v>
      </c>
      <c r="B14" s="55" t="s">
        <v>38</v>
      </c>
      <c r="C14" s="54">
        <f>SUM(C11:C13)</f>
        <v>12636</v>
      </c>
      <c r="D14" s="54">
        <f t="shared" ref="D14:K14" si="9">SUM(D11:D13)</f>
        <v>19756.8</v>
      </c>
      <c r="E14" s="54">
        <f t="shared" si="9"/>
        <v>12456</v>
      </c>
      <c r="F14" s="54">
        <f t="shared" si="9"/>
        <v>0</v>
      </c>
      <c r="G14" s="54">
        <f t="shared" si="9"/>
        <v>4927.1400000000003</v>
      </c>
      <c r="H14" s="54">
        <f t="shared" si="9"/>
        <v>14021.279999999999</v>
      </c>
      <c r="I14" s="54">
        <f t="shared" si="9"/>
        <v>21600</v>
      </c>
      <c r="J14" s="54">
        <f t="shared" si="9"/>
        <v>0</v>
      </c>
      <c r="K14" s="54">
        <f t="shared" si="9"/>
        <v>0</v>
      </c>
      <c r="L14" s="54">
        <f t="shared" si="0"/>
        <v>85397.22</v>
      </c>
      <c r="AJ14" s="52" t="s">
        <v>39</v>
      </c>
      <c r="AK14" s="55" t="s">
        <v>38</v>
      </c>
    </row>
    <row r="15" spans="1:38">
      <c r="A15" s="50">
        <v>9</v>
      </c>
      <c r="B15" s="55" t="s">
        <v>40</v>
      </c>
      <c r="C15" s="54">
        <f>+C9-C10-C14</f>
        <v>16313.426699533244</v>
      </c>
      <c r="D15" s="54">
        <f t="shared" ref="D15:K15" si="10">+D9-D10-D14</f>
        <v>9056.4930780092145</v>
      </c>
      <c r="E15" s="54">
        <f t="shared" si="10"/>
        <v>15840.17811273894</v>
      </c>
      <c r="F15" s="54">
        <f t="shared" si="10"/>
        <v>0</v>
      </c>
      <c r="G15" s="54">
        <f t="shared" si="10"/>
        <v>3213.1504024555024</v>
      </c>
      <c r="H15" s="54">
        <f t="shared" si="10"/>
        <v>16148.832378645369</v>
      </c>
      <c r="I15" s="54">
        <f t="shared" si="10"/>
        <v>-8642.5479532188037</v>
      </c>
      <c r="J15" s="54">
        <f t="shared" si="10"/>
        <v>0</v>
      </c>
      <c r="K15" s="54">
        <f t="shared" si="10"/>
        <v>0</v>
      </c>
      <c r="L15" s="54">
        <f t="shared" si="0"/>
        <v>51929.532718163464</v>
      </c>
      <c r="AJ15" s="52" t="s">
        <v>41</v>
      </c>
      <c r="AK15" s="55" t="s">
        <v>40</v>
      </c>
    </row>
    <row r="16" spans="1:38">
      <c r="A16" s="50">
        <v>10</v>
      </c>
      <c r="B16" s="52" t="s">
        <v>42</v>
      </c>
      <c r="C16" s="56">
        <f>+C15/C9</f>
        <v>9.2953998287938711E-2</v>
      </c>
      <c r="D16" s="56">
        <f t="shared" ref="D16:K16" si="11">+D15/D9</f>
        <v>3.3004712383415506E-2</v>
      </c>
      <c r="E16" s="56">
        <f t="shared" si="11"/>
        <v>9.1561723195022773E-2</v>
      </c>
      <c r="F16" s="56" t="e">
        <f t="shared" si="11"/>
        <v>#DIV/0!</v>
      </c>
      <c r="G16" s="56">
        <f t="shared" si="11"/>
        <v>4.0432243644840854E-2</v>
      </c>
      <c r="H16" s="56">
        <f t="shared" si="11"/>
        <v>8.2925091807771231E-2</v>
      </c>
      <c r="I16" s="56">
        <f t="shared" si="11"/>
        <v>-2.8808493177396012E-2</v>
      </c>
      <c r="J16" s="56" t="e">
        <f t="shared" si="11"/>
        <v>#DIV/0!</v>
      </c>
      <c r="K16" s="56" t="e">
        <f t="shared" si="11"/>
        <v>#DIV/0!</v>
      </c>
      <c r="L16" s="56">
        <f t="shared" ref="L16" si="12">+L15/L9</f>
        <v>4.337908188734825E-2</v>
      </c>
      <c r="AJ16" s="52" t="s">
        <v>43</v>
      </c>
      <c r="AK16" s="52" t="s">
        <v>42</v>
      </c>
    </row>
    <row r="17" spans="1:38">
      <c r="A17" s="50">
        <v>11</v>
      </c>
      <c r="B17" s="52" t="s">
        <v>44</v>
      </c>
      <c r="C17" s="54">
        <f>C6*C43+C18</f>
        <v>5175.520833333333</v>
      </c>
      <c r="D17" s="54">
        <f t="shared" ref="D17:H17" si="13">D6*D43+D18</f>
        <v>6900.6944444444443</v>
      </c>
      <c r="E17" s="54">
        <f t="shared" si="13"/>
        <v>3450.3472222222222</v>
      </c>
      <c r="F17" s="54">
        <f t="shared" si="13"/>
        <v>0</v>
      </c>
      <c r="G17" s="54">
        <f t="shared" si="13"/>
        <v>1725.1736111111111</v>
      </c>
      <c r="H17" s="54">
        <f t="shared" si="13"/>
        <v>3450.3472222222222</v>
      </c>
      <c r="I17" s="54">
        <f t="shared" ref="I17:K17" si="14">I6*I43+I18</f>
        <v>20702.083333333332</v>
      </c>
      <c r="J17" s="54">
        <f t="shared" si="14"/>
        <v>0</v>
      </c>
      <c r="K17" s="54">
        <f t="shared" si="14"/>
        <v>0</v>
      </c>
      <c r="L17" s="54">
        <f>SUM(C17:K17)</f>
        <v>41404.166666666664</v>
      </c>
      <c r="M17" s="167"/>
      <c r="N17" s="168"/>
      <c r="O17" s="168"/>
      <c r="AJ17" s="52" t="s">
        <v>45</v>
      </c>
      <c r="AK17" s="52" t="s">
        <v>44</v>
      </c>
    </row>
    <row r="18" spans="1:38" s="46" customFormat="1">
      <c r="A18" s="50">
        <v>12</v>
      </c>
      <c r="B18" s="57" t="s">
        <v>146</v>
      </c>
      <c r="C18" s="58">
        <f>$L$18/$L$6*C6</f>
        <v>5175.520833333333</v>
      </c>
      <c r="D18" s="58">
        <f t="shared" ref="D18:H18" si="15">$L$18/$L$6*D6</f>
        <v>6900.6944444444443</v>
      </c>
      <c r="E18" s="58">
        <f t="shared" si="15"/>
        <v>3450.3472222222222</v>
      </c>
      <c r="F18" s="58">
        <f t="shared" si="15"/>
        <v>0</v>
      </c>
      <c r="G18" s="58">
        <f t="shared" si="15"/>
        <v>1725.1736111111111</v>
      </c>
      <c r="H18" s="58">
        <f t="shared" si="15"/>
        <v>3450.3472222222222</v>
      </c>
      <c r="I18" s="58">
        <f t="shared" ref="I18:K18" si="16">$L$18/$L$6*I6</f>
        <v>20702.083333333332</v>
      </c>
      <c r="J18" s="58">
        <f t="shared" si="16"/>
        <v>0</v>
      </c>
      <c r="K18" s="58">
        <f t="shared" si="16"/>
        <v>0</v>
      </c>
      <c r="L18" s="58">
        <f>项目投资!D26</f>
        <v>41404.166666666664</v>
      </c>
      <c r="M18" s="169" t="s">
        <v>147</v>
      </c>
      <c r="N18" s="169"/>
      <c r="O18" s="169"/>
    </row>
    <row r="19" spans="1:38">
      <c r="A19" s="50">
        <v>13</v>
      </c>
      <c r="B19" s="52" t="s">
        <v>46</v>
      </c>
      <c r="C19" s="54">
        <f>C6*C44</f>
        <v>0</v>
      </c>
      <c r="D19" s="54">
        <f t="shared" ref="D19:H19" si="17">D6*D44</f>
        <v>0</v>
      </c>
      <c r="E19" s="54">
        <f t="shared" si="17"/>
        <v>0</v>
      </c>
      <c r="F19" s="54">
        <f>F6*F44</f>
        <v>0</v>
      </c>
      <c r="G19" s="54">
        <f t="shared" si="17"/>
        <v>0</v>
      </c>
      <c r="H19" s="54">
        <f t="shared" si="17"/>
        <v>0</v>
      </c>
      <c r="I19" s="54">
        <f t="shared" ref="I19:K19" si="18">I6*I44</f>
        <v>0</v>
      </c>
      <c r="J19" s="54">
        <f t="shared" si="18"/>
        <v>0</v>
      </c>
      <c r="K19" s="54">
        <f t="shared" si="18"/>
        <v>0</v>
      </c>
      <c r="L19" s="54">
        <f>SUM(C19:K19)</f>
        <v>0</v>
      </c>
      <c r="M19" s="170"/>
      <c r="N19" s="168"/>
      <c r="O19" s="168"/>
      <c r="AJ19" s="52" t="s">
        <v>47</v>
      </c>
      <c r="AK19" s="52" t="s">
        <v>46</v>
      </c>
      <c r="AL19" s="48" t="s">
        <v>20</v>
      </c>
    </row>
    <row r="20" spans="1:38">
      <c r="A20" s="50">
        <v>14</v>
      </c>
      <c r="B20" s="52" t="s">
        <v>48</v>
      </c>
      <c r="C20" s="54">
        <f>C6*C45</f>
        <v>0</v>
      </c>
      <c r="D20" s="54">
        <f t="shared" ref="D20:H20" si="19">D6*D45</f>
        <v>0</v>
      </c>
      <c r="E20" s="54">
        <f t="shared" si="19"/>
        <v>0</v>
      </c>
      <c r="F20" s="54">
        <f t="shared" si="19"/>
        <v>0</v>
      </c>
      <c r="G20" s="54">
        <f t="shared" si="19"/>
        <v>0</v>
      </c>
      <c r="H20" s="54">
        <f t="shared" si="19"/>
        <v>0</v>
      </c>
      <c r="I20" s="54">
        <f t="shared" ref="I20:K20" si="20">I6*I45</f>
        <v>0</v>
      </c>
      <c r="J20" s="54">
        <f t="shared" si="20"/>
        <v>0</v>
      </c>
      <c r="K20" s="54">
        <f t="shared" si="20"/>
        <v>0</v>
      </c>
      <c r="L20" s="54">
        <f>SUM(C20:K20)</f>
        <v>0</v>
      </c>
      <c r="AJ20" s="52" t="s">
        <v>49</v>
      </c>
      <c r="AK20" s="52" t="s">
        <v>48</v>
      </c>
    </row>
    <row r="21" spans="1:38">
      <c r="A21" s="50">
        <v>15</v>
      </c>
      <c r="B21" s="52" t="s">
        <v>50</v>
      </c>
      <c r="C21" s="59">
        <f>$L$21/$L$6*C6</f>
        <v>3320.8333333333335</v>
      </c>
      <c r="D21" s="59">
        <f t="shared" ref="D21:H21" si="21">$L$21/$L$6*D6</f>
        <v>4427.7777777777783</v>
      </c>
      <c r="E21" s="59">
        <f t="shared" si="21"/>
        <v>2213.8888888888891</v>
      </c>
      <c r="F21" s="59">
        <f t="shared" si="21"/>
        <v>0</v>
      </c>
      <c r="G21" s="59">
        <f t="shared" si="21"/>
        <v>1106.9444444444446</v>
      </c>
      <c r="H21" s="59">
        <f t="shared" si="21"/>
        <v>2213.8888888888891</v>
      </c>
      <c r="I21" s="59">
        <f t="shared" ref="I21:K21" si="22">$L$21/$L$6*I6</f>
        <v>13283.333333333334</v>
      </c>
      <c r="J21" s="59">
        <f t="shared" si="22"/>
        <v>0</v>
      </c>
      <c r="K21" s="59">
        <f t="shared" si="22"/>
        <v>0</v>
      </c>
      <c r="L21" s="54">
        <f>项目投资!D27</f>
        <v>26566.666666666668</v>
      </c>
      <c r="AJ21" s="52"/>
      <c r="AK21" s="52"/>
    </row>
    <row r="22" spans="1:38">
      <c r="A22" s="50">
        <v>16</v>
      </c>
      <c r="B22" s="52" t="s">
        <v>51</v>
      </c>
      <c r="C22" s="54">
        <f>C6*C47</f>
        <v>7020.0000000000009</v>
      </c>
      <c r="D22" s="54">
        <f t="shared" ref="D22:H22" si="23">D6*D47</f>
        <v>10976</v>
      </c>
      <c r="E22" s="54">
        <f t="shared" si="23"/>
        <v>6920</v>
      </c>
      <c r="F22" s="54">
        <f t="shared" si="23"/>
        <v>0</v>
      </c>
      <c r="G22" s="54">
        <f t="shared" si="23"/>
        <v>3178.8</v>
      </c>
      <c r="H22" s="54">
        <f t="shared" si="23"/>
        <v>7789.6</v>
      </c>
      <c r="I22" s="54">
        <f t="shared" ref="I22:K22" si="24">I6*I47</f>
        <v>12000</v>
      </c>
      <c r="J22" s="54">
        <f t="shared" si="24"/>
        <v>0</v>
      </c>
      <c r="K22" s="54">
        <f t="shared" si="24"/>
        <v>0</v>
      </c>
      <c r="L22" s="54">
        <f>SUM(C22:K22)</f>
        <v>47884.4</v>
      </c>
      <c r="AJ22" s="52" t="s">
        <v>52</v>
      </c>
      <c r="AK22" s="52" t="s">
        <v>51</v>
      </c>
    </row>
    <row r="23" spans="1:38">
      <c r="A23" s="50">
        <v>17</v>
      </c>
      <c r="B23" s="55" t="s">
        <v>53</v>
      </c>
      <c r="C23" s="59">
        <f>+C22+C21+C20+C19+C17</f>
        <v>15516.354166666668</v>
      </c>
      <c r="D23" s="59">
        <f t="shared" ref="D23:K23" si="25">+D22+D21+D20+D19+D17</f>
        <v>22304.472222222223</v>
      </c>
      <c r="E23" s="59">
        <f t="shared" si="25"/>
        <v>12584.236111111111</v>
      </c>
      <c r="F23" s="59">
        <f t="shared" si="25"/>
        <v>0</v>
      </c>
      <c r="G23" s="59">
        <f t="shared" si="25"/>
        <v>6010.9180555555558</v>
      </c>
      <c r="H23" s="59">
        <f t="shared" si="25"/>
        <v>13453.836111111112</v>
      </c>
      <c r="I23" s="59">
        <f t="shared" si="25"/>
        <v>45985.416666666672</v>
      </c>
      <c r="J23" s="59">
        <f t="shared" si="25"/>
        <v>0</v>
      </c>
      <c r="K23" s="59">
        <f t="shared" si="25"/>
        <v>0</v>
      </c>
      <c r="L23" s="59">
        <f t="shared" ref="L23" si="26">+L22+L21+L20+L19+L17</f>
        <v>115855.23333333334</v>
      </c>
      <c r="AJ23" s="52" t="s">
        <v>54</v>
      </c>
      <c r="AK23" s="55" t="s">
        <v>53</v>
      </c>
    </row>
    <row r="24" spans="1:38">
      <c r="A24" s="50">
        <v>18</v>
      </c>
      <c r="B24" s="60" t="s">
        <v>55</v>
      </c>
      <c r="C24" s="59">
        <f>+C15-C23</f>
        <v>797.07253286657578</v>
      </c>
      <c r="D24" s="59">
        <f t="shared" ref="D24:H24" si="27">+D15-D23</f>
        <v>-13247.979144213008</v>
      </c>
      <c r="E24" s="59">
        <f t="shared" si="27"/>
        <v>3255.9420016278291</v>
      </c>
      <c r="F24" s="59">
        <f t="shared" si="27"/>
        <v>0</v>
      </c>
      <c r="G24" s="59">
        <f t="shared" si="27"/>
        <v>-2797.7676531000534</v>
      </c>
      <c r="H24" s="59">
        <f t="shared" si="27"/>
        <v>2694.9962675342576</v>
      </c>
      <c r="I24" s="59">
        <f t="shared" ref="I24:K24" si="28">+I15-I23</f>
        <v>-54627.964619885475</v>
      </c>
      <c r="J24" s="59">
        <f t="shared" si="28"/>
        <v>0</v>
      </c>
      <c r="K24" s="59">
        <f t="shared" si="28"/>
        <v>0</v>
      </c>
      <c r="L24" s="59">
        <f t="shared" ref="L24" si="29">+L15-L23</f>
        <v>-63925.700615169873</v>
      </c>
      <c r="N24" s="71"/>
      <c r="AJ24" s="52" t="s">
        <v>56</v>
      </c>
      <c r="AK24" s="52" t="s">
        <v>55</v>
      </c>
    </row>
    <row r="25" spans="1:38">
      <c r="A25" s="50">
        <v>19</v>
      </c>
      <c r="B25" s="52" t="s">
        <v>232</v>
      </c>
      <c r="C25" s="59">
        <f>IF(C24&lt;0,0,C24*0.25)</f>
        <v>199.26813321664395</v>
      </c>
      <c r="D25" s="59">
        <f>IF(D24&lt;0,0,D24*0.25)</f>
        <v>0</v>
      </c>
      <c r="E25" s="59">
        <f t="shared" ref="E25:H25" si="30">IF(E24&lt;0,0,E24*0.25)</f>
        <v>813.98550040695727</v>
      </c>
      <c r="F25" s="59">
        <f>IF(F24&lt;0,0,F24*0.25)</f>
        <v>0</v>
      </c>
      <c r="G25" s="59">
        <f t="shared" si="30"/>
        <v>0</v>
      </c>
      <c r="H25" s="59">
        <f t="shared" si="30"/>
        <v>673.74906688356441</v>
      </c>
      <c r="I25" s="59">
        <f t="shared" ref="I25:K25" si="31">IF(I24&lt;0,0,I24*0.25)</f>
        <v>0</v>
      </c>
      <c r="J25" s="59">
        <f t="shared" si="31"/>
        <v>0</v>
      </c>
      <c r="K25" s="59">
        <f t="shared" si="31"/>
        <v>0</v>
      </c>
      <c r="L25" s="59">
        <f>IF(L24&lt;0,0,L24*0.25)</f>
        <v>0</v>
      </c>
      <c r="M25" s="67"/>
      <c r="N25" s="67"/>
      <c r="O25" s="67"/>
      <c r="AJ25" s="52" t="s">
        <v>58</v>
      </c>
      <c r="AK25" s="52" t="s">
        <v>57</v>
      </c>
    </row>
    <row r="26" spans="1:38">
      <c r="A26" s="50">
        <v>20</v>
      </c>
      <c r="B26" s="52" t="s">
        <v>59</v>
      </c>
      <c r="C26" s="59">
        <f t="shared" ref="C26:H26" si="32">C24-C25</f>
        <v>597.80439964993184</v>
      </c>
      <c r="D26" s="59">
        <f t="shared" si="32"/>
        <v>-13247.979144213008</v>
      </c>
      <c r="E26" s="59">
        <f t="shared" si="32"/>
        <v>2441.9565012208718</v>
      </c>
      <c r="F26" s="59">
        <f t="shared" si="32"/>
        <v>0</v>
      </c>
      <c r="G26" s="59">
        <f t="shared" si="32"/>
        <v>-2797.7676531000534</v>
      </c>
      <c r="H26" s="59">
        <f t="shared" si="32"/>
        <v>2021.2472006506932</v>
      </c>
      <c r="I26" s="59">
        <f t="shared" ref="I26:K26" si="33">I24-I25</f>
        <v>-54627.964619885475</v>
      </c>
      <c r="J26" s="59">
        <f t="shared" si="33"/>
        <v>0</v>
      </c>
      <c r="K26" s="59">
        <f t="shared" si="33"/>
        <v>0</v>
      </c>
      <c r="L26" s="54">
        <f>L24-L25</f>
        <v>-63925.700615169873</v>
      </c>
      <c r="M26" s="67"/>
      <c r="N26" s="67"/>
      <c r="O26" s="67"/>
      <c r="AJ26" s="52" t="s">
        <v>60</v>
      </c>
      <c r="AK26" s="52" t="s">
        <v>59</v>
      </c>
    </row>
    <row r="27" spans="1:38">
      <c r="A27" s="50">
        <v>21</v>
      </c>
      <c r="B27" s="52" t="s">
        <v>63</v>
      </c>
      <c r="C27" s="61">
        <f t="shared" ref="C27:L27" si="34">C26/C7</f>
        <v>3.406292875498187E-3</v>
      </c>
      <c r="D27" s="61">
        <f t="shared" ref="D27:K27" si="35">D26/D7</f>
        <v>-4.8279807376869564E-2</v>
      </c>
      <c r="E27" s="61">
        <f t="shared" si="35"/>
        <v>1.4115355498386542E-2</v>
      </c>
      <c r="F27" s="61" t="e">
        <f t="shared" si="35"/>
        <v>#DIV/0!</v>
      </c>
      <c r="G27" s="61">
        <f t="shared" si="35"/>
        <v>-3.5205330981503129E-2</v>
      </c>
      <c r="H27" s="61">
        <f t="shared" si="35"/>
        <v>1.0379209205354284E-2</v>
      </c>
      <c r="I27" s="61">
        <f t="shared" si="35"/>
        <v>-0.18209321539961826</v>
      </c>
      <c r="J27" s="61" t="e">
        <f t="shared" si="35"/>
        <v>#DIV/0!</v>
      </c>
      <c r="K27" s="61" t="e">
        <f t="shared" si="35"/>
        <v>#DIV/0!</v>
      </c>
      <c r="L27" s="61">
        <f t="shared" si="34"/>
        <v>-5.3400022232852347E-2</v>
      </c>
      <c r="M27" s="67"/>
      <c r="N27" s="67"/>
      <c r="O27" s="67"/>
      <c r="AJ27" s="52" t="s">
        <v>62</v>
      </c>
      <c r="AK27" s="52" t="s">
        <v>63</v>
      </c>
    </row>
    <row r="28" spans="1:38">
      <c r="M28" s="67"/>
      <c r="N28" s="67"/>
      <c r="O28" s="67"/>
    </row>
    <row r="29" spans="1:38">
      <c r="A29" s="48" t="s">
        <v>64</v>
      </c>
      <c r="L29" s="49" t="s">
        <v>148</v>
      </c>
      <c r="M29" s="67"/>
      <c r="N29" s="67"/>
      <c r="O29" s="67"/>
      <c r="AJ29" s="48" t="s">
        <v>64</v>
      </c>
    </row>
    <row r="30" spans="1:38">
      <c r="A30" s="52" t="s">
        <v>65</v>
      </c>
      <c r="B30" s="55" t="s">
        <v>66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7"/>
      <c r="N30" s="67"/>
      <c r="O30" s="67"/>
      <c r="Q30" s="67"/>
      <c r="AJ30" s="52" t="s">
        <v>67</v>
      </c>
      <c r="AK30" s="55" t="s">
        <v>66</v>
      </c>
    </row>
    <row r="31" spans="1:38">
      <c r="A31" s="62">
        <v>1</v>
      </c>
      <c r="B31" s="57" t="s">
        <v>68</v>
      </c>
      <c r="C31" s="63">
        <f>销量!C8</f>
        <v>1170</v>
      </c>
      <c r="D31" s="63">
        <f>销量!D8</f>
        <v>1372</v>
      </c>
      <c r="E31" s="63">
        <f>销量!E8</f>
        <v>1730</v>
      </c>
      <c r="F31" s="63">
        <f>销量!F8</f>
        <v>1437.4</v>
      </c>
      <c r="G31" s="63">
        <f>销量!G8</f>
        <v>1589.4</v>
      </c>
      <c r="H31" s="63">
        <f>销量!H8</f>
        <v>1947.4</v>
      </c>
      <c r="I31" s="63">
        <f>销量!I8</f>
        <v>500</v>
      </c>
      <c r="J31" s="63">
        <f>销量!J8</f>
        <v>0</v>
      </c>
      <c r="K31" s="63">
        <f>销量!K8</f>
        <v>0</v>
      </c>
      <c r="L31" s="59"/>
      <c r="M31" s="67"/>
      <c r="N31" s="67"/>
      <c r="O31" s="67"/>
      <c r="Q31" s="67"/>
      <c r="AJ31" s="52" t="s">
        <v>22</v>
      </c>
      <c r="AK31" s="52" t="s">
        <v>68</v>
      </c>
    </row>
    <row r="32" spans="1:38">
      <c r="A32" s="62">
        <v>2</v>
      </c>
      <c r="B32" s="52" t="s">
        <v>149</v>
      </c>
      <c r="C32" s="54">
        <f>C31*1</f>
        <v>1170</v>
      </c>
      <c r="D32" s="54">
        <f t="shared" ref="D32:K32" si="36">D31*1</f>
        <v>1372</v>
      </c>
      <c r="E32" s="54">
        <f t="shared" si="36"/>
        <v>1730</v>
      </c>
      <c r="F32" s="54">
        <f t="shared" si="36"/>
        <v>1437.4</v>
      </c>
      <c r="G32" s="54">
        <f t="shared" si="36"/>
        <v>1589.4</v>
      </c>
      <c r="H32" s="54">
        <f t="shared" si="36"/>
        <v>1947.4</v>
      </c>
      <c r="I32" s="54">
        <f t="shared" si="36"/>
        <v>500</v>
      </c>
      <c r="J32" s="54">
        <f t="shared" si="36"/>
        <v>0</v>
      </c>
      <c r="K32" s="54">
        <f t="shared" si="36"/>
        <v>0</v>
      </c>
      <c r="L32" s="59"/>
      <c r="M32" s="67"/>
      <c r="N32" s="67"/>
      <c r="O32" s="67"/>
      <c r="P32" s="67"/>
      <c r="Q32" s="67"/>
      <c r="R32" s="67"/>
      <c r="S32" s="67"/>
      <c r="AJ32" s="52"/>
      <c r="AK32" s="52"/>
    </row>
    <row r="33" spans="1:37">
      <c r="A33" s="62">
        <v>3</v>
      </c>
      <c r="B33" s="57" t="s">
        <v>69</v>
      </c>
      <c r="C33" s="54">
        <f>材料成本!D14</f>
        <v>977.00382200311174</v>
      </c>
      <c r="D33" s="54">
        <f>材料成本!E14</f>
        <v>1227.933534609954</v>
      </c>
      <c r="E33" s="54">
        <f>材料成本!F14</f>
        <v>1447.0382188726105</v>
      </c>
      <c r="F33" s="54">
        <f>材料成本!G14</f>
        <v>1218.7260691911115</v>
      </c>
      <c r="G33" s="54">
        <f>材料成本!H14</f>
        <v>1426.5941919508898</v>
      </c>
      <c r="H33" s="54">
        <f>材料成本!I14</f>
        <v>1645.6988762135463</v>
      </c>
      <c r="I33" s="54">
        <f>材料成本!J14</f>
        <v>478.40424658869802</v>
      </c>
      <c r="J33" s="54">
        <f>材料成本!K14</f>
        <v>0</v>
      </c>
      <c r="K33" s="54">
        <f>材料成本!L14</f>
        <v>0</v>
      </c>
      <c r="L33" s="59"/>
      <c r="N33" s="67"/>
      <c r="O33" s="67"/>
      <c r="P33" s="67"/>
      <c r="Q33" s="67"/>
      <c r="R33" s="67"/>
      <c r="S33" s="67"/>
      <c r="AJ33" s="52" t="s">
        <v>24</v>
      </c>
      <c r="AK33" s="52" t="s">
        <v>69</v>
      </c>
    </row>
    <row r="34" spans="1:37" ht="17.25" customHeight="1">
      <c r="A34" s="62">
        <v>4</v>
      </c>
      <c r="B34" s="52" t="s">
        <v>71</v>
      </c>
      <c r="C34" s="64">
        <f>C32-C33</f>
        <v>192.99617799688826</v>
      </c>
      <c r="D34" s="64">
        <f t="shared" ref="D34:K34" si="37">D32-D33</f>
        <v>144.06646539004601</v>
      </c>
      <c r="E34" s="64">
        <f t="shared" si="37"/>
        <v>282.96178112738949</v>
      </c>
      <c r="F34" s="64">
        <f t="shared" si="37"/>
        <v>218.6739308088886</v>
      </c>
      <c r="G34" s="64">
        <f t="shared" si="37"/>
        <v>162.80580804911028</v>
      </c>
      <c r="H34" s="64">
        <f t="shared" si="37"/>
        <v>301.70112378645376</v>
      </c>
      <c r="I34" s="64">
        <f t="shared" si="37"/>
        <v>21.595753411301985</v>
      </c>
      <c r="J34" s="64">
        <f t="shared" si="37"/>
        <v>0</v>
      </c>
      <c r="K34" s="64">
        <f t="shared" si="37"/>
        <v>0</v>
      </c>
      <c r="L34" s="59"/>
      <c r="N34" s="67"/>
      <c r="O34" s="67"/>
      <c r="P34" s="67"/>
      <c r="Q34" s="67"/>
      <c r="R34" s="67"/>
      <c r="S34" s="67"/>
      <c r="AJ34" s="52" t="s">
        <v>70</v>
      </c>
      <c r="AK34" s="52" t="s">
        <v>71</v>
      </c>
    </row>
    <row r="35" spans="1:37">
      <c r="A35" s="52" t="s">
        <v>67</v>
      </c>
      <c r="B35" s="55" t="s">
        <v>10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7"/>
      <c r="N35" s="67"/>
      <c r="O35" s="67"/>
      <c r="P35" s="67"/>
      <c r="Q35" s="67"/>
      <c r="R35" s="67"/>
      <c r="S35" s="67"/>
      <c r="T35" s="67"/>
      <c r="U35" s="67"/>
      <c r="AJ35" s="52" t="s">
        <v>73</v>
      </c>
      <c r="AK35" s="55" t="s">
        <v>10</v>
      </c>
    </row>
    <row r="36" spans="1:37">
      <c r="A36" s="62">
        <v>1</v>
      </c>
      <c r="B36" s="52" t="s">
        <v>74</v>
      </c>
      <c r="C36" s="58">
        <f>标准成本!D4</f>
        <v>55.341000000000001</v>
      </c>
      <c r="D36" s="58">
        <f>标准成本!D18</f>
        <v>64.895600000000002</v>
      </c>
      <c r="E36" s="58">
        <f>标准成本!D32</f>
        <v>81.829000000000008</v>
      </c>
      <c r="F36" s="58">
        <f>标准成本!D45</f>
        <v>67.989020000000011</v>
      </c>
      <c r="G36" s="58">
        <f>标准成本!D58</f>
        <v>75.178620000000009</v>
      </c>
      <c r="H36" s="58">
        <f>标准成本!D71</f>
        <v>92.112020000000001</v>
      </c>
      <c r="I36" s="58">
        <f>标准成本!D84</f>
        <v>23.650000000000002</v>
      </c>
      <c r="J36" s="58">
        <f>标准成本!D97</f>
        <v>0</v>
      </c>
      <c r="K36" s="58">
        <f>标准成本!D110</f>
        <v>0</v>
      </c>
      <c r="L36" s="63"/>
      <c r="M36" s="67"/>
      <c r="N36" s="67"/>
      <c r="O36" s="67"/>
      <c r="P36" s="67"/>
      <c r="Q36" s="67"/>
      <c r="R36" s="67"/>
      <c r="S36" s="67"/>
      <c r="T36" s="67"/>
      <c r="U36" s="67"/>
      <c r="AJ36" s="52" t="s">
        <v>70</v>
      </c>
      <c r="AK36" s="52" t="s">
        <v>74</v>
      </c>
    </row>
    <row r="37" spans="1:37">
      <c r="A37" s="62">
        <v>2</v>
      </c>
      <c r="B37" s="52" t="s">
        <v>75</v>
      </c>
      <c r="C37" s="58">
        <f>标准成本!D6</f>
        <v>17.198999999999998</v>
      </c>
      <c r="D37" s="58">
        <f>标准成本!D20</f>
        <v>20.168399999999998</v>
      </c>
      <c r="E37" s="58">
        <f>标准成本!D34</f>
        <v>25.431000000000001</v>
      </c>
      <c r="F37" s="58">
        <f>标准成本!D47</f>
        <v>21.12978</v>
      </c>
      <c r="G37" s="58">
        <f>标准成本!D60</f>
        <v>23.364180000000001</v>
      </c>
      <c r="H37" s="58">
        <f>标准成本!D73</f>
        <v>28.62678</v>
      </c>
      <c r="I37" s="58">
        <f>标准成本!D86</f>
        <v>7.35</v>
      </c>
      <c r="J37" s="58">
        <f>标准成本!D99</f>
        <v>0</v>
      </c>
      <c r="K37" s="58">
        <f>标准成本!D112</f>
        <v>0</v>
      </c>
      <c r="L37" s="63"/>
      <c r="M37" s="67"/>
      <c r="N37" s="67"/>
      <c r="O37" s="67"/>
      <c r="P37" s="67"/>
      <c r="Q37" s="67"/>
      <c r="R37" s="67"/>
      <c r="S37" s="67"/>
      <c r="T37" s="67"/>
      <c r="U37" s="67"/>
      <c r="AJ37" s="52" t="s">
        <v>27</v>
      </c>
      <c r="AK37" s="52" t="s">
        <v>75</v>
      </c>
    </row>
    <row r="38" spans="1:37">
      <c r="A38" s="62">
        <v>3</v>
      </c>
      <c r="B38" s="52" t="s">
        <v>76</v>
      </c>
      <c r="C38" s="58">
        <f>标准成本!D10</f>
        <v>11.700000000000001</v>
      </c>
      <c r="D38" s="58">
        <f>标准成本!D24</f>
        <v>13.72</v>
      </c>
      <c r="E38" s="58">
        <f>标准成本!D38</f>
        <v>17.3</v>
      </c>
      <c r="F38" s="58">
        <f>标准成本!D51</f>
        <v>14.374000000000001</v>
      </c>
      <c r="G38" s="58">
        <f>标准成本!D64</f>
        <v>0</v>
      </c>
      <c r="H38" s="58">
        <f>标准成本!D77</f>
        <v>19.474</v>
      </c>
      <c r="I38" s="58">
        <f>标准成本!D90</f>
        <v>5</v>
      </c>
      <c r="J38" s="58">
        <f>标准成本!D103</f>
        <v>0</v>
      </c>
      <c r="K38" s="58">
        <f>标准成本!D116</f>
        <v>0</v>
      </c>
      <c r="L38" s="63"/>
      <c r="M38" s="67"/>
      <c r="N38" s="67"/>
      <c r="O38" s="67"/>
      <c r="P38" s="67"/>
      <c r="Q38" s="67"/>
      <c r="R38" s="67"/>
      <c r="S38" s="67"/>
      <c r="T38" s="67"/>
      <c r="U38" s="67"/>
      <c r="AJ38" s="52" t="s">
        <v>33</v>
      </c>
      <c r="AK38" s="52" t="s">
        <v>76</v>
      </c>
    </row>
    <row r="39" spans="1:37">
      <c r="A39" s="52" t="s">
        <v>73</v>
      </c>
      <c r="B39" s="55" t="s">
        <v>78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AJ39" s="52" t="s">
        <v>77</v>
      </c>
      <c r="AK39" s="55" t="s">
        <v>78</v>
      </c>
    </row>
    <row r="40" spans="1:37">
      <c r="A40" s="62">
        <v>1</v>
      </c>
      <c r="B40" s="52" t="s">
        <v>80</v>
      </c>
      <c r="C40" s="59">
        <f>C34-C36-C37-C38</f>
        <v>108.75617799688825</v>
      </c>
      <c r="D40" s="59">
        <f t="shared" ref="D40:K40" si="38">D34-D36-D37-D38</f>
        <v>45.282465390046006</v>
      </c>
      <c r="E40" s="59">
        <f t="shared" si="38"/>
        <v>158.40178112738946</v>
      </c>
      <c r="F40" s="59">
        <f t="shared" si="38"/>
        <v>115.18113080888858</v>
      </c>
      <c r="G40" s="59">
        <f t="shared" si="38"/>
        <v>64.263008049110269</v>
      </c>
      <c r="H40" s="59">
        <f t="shared" si="38"/>
        <v>161.48832378645378</v>
      </c>
      <c r="I40" s="59">
        <f t="shared" si="38"/>
        <v>-14.404246588698017</v>
      </c>
      <c r="J40" s="59">
        <f t="shared" si="38"/>
        <v>0</v>
      </c>
      <c r="K40" s="59">
        <f t="shared" si="38"/>
        <v>0</v>
      </c>
      <c r="L40" s="59"/>
      <c r="AJ40" s="52" t="s">
        <v>22</v>
      </c>
      <c r="AK40" s="52" t="s">
        <v>80</v>
      </c>
    </row>
    <row r="41" spans="1:37">
      <c r="A41" s="62">
        <v>2</v>
      </c>
      <c r="B41" s="52" t="s">
        <v>81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AJ41" s="52" t="s">
        <v>24</v>
      </c>
      <c r="AK41" s="52" t="s">
        <v>81</v>
      </c>
    </row>
    <row r="42" spans="1:37">
      <c r="A42" s="52" t="s">
        <v>77</v>
      </c>
      <c r="B42" s="55" t="s">
        <v>83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AJ42" s="52" t="s">
        <v>82</v>
      </c>
      <c r="AK42" s="55" t="s">
        <v>83</v>
      </c>
    </row>
    <row r="43" spans="1:37">
      <c r="A43" s="62">
        <v>1</v>
      </c>
      <c r="B43" s="60" t="s">
        <v>84</v>
      </c>
      <c r="C43" s="58">
        <f>标准成本!D5</f>
        <v>0</v>
      </c>
      <c r="D43" s="58">
        <f>标准成本!D19</f>
        <v>0</v>
      </c>
      <c r="E43" s="58">
        <f>标准成本!D33</f>
        <v>0</v>
      </c>
      <c r="F43" s="58">
        <f>标准成本!D46</f>
        <v>0</v>
      </c>
      <c r="G43" s="58">
        <f>标准成本!D59</f>
        <v>0</v>
      </c>
      <c r="H43" s="58">
        <f>标准成本!D72</f>
        <v>0</v>
      </c>
      <c r="I43" s="58">
        <f>标准成本!D85</f>
        <v>0</v>
      </c>
      <c r="J43" s="58">
        <f>标准成本!D98</f>
        <v>0</v>
      </c>
      <c r="K43" s="58">
        <f>标准成本!D111</f>
        <v>0</v>
      </c>
      <c r="L43" s="59"/>
      <c r="AJ43" s="52" t="s">
        <v>22</v>
      </c>
      <c r="AK43" s="52" t="s">
        <v>84</v>
      </c>
    </row>
    <row r="44" spans="1:37">
      <c r="A44" s="62">
        <v>2</v>
      </c>
      <c r="B44" s="60" t="s">
        <v>85</v>
      </c>
      <c r="C44" s="58">
        <f>标准成本!D9</f>
        <v>0</v>
      </c>
      <c r="D44" s="58">
        <f>标准成本!D23</f>
        <v>0</v>
      </c>
      <c r="E44" s="58">
        <f>标准成本!D37</f>
        <v>0</v>
      </c>
      <c r="F44" s="58">
        <f>标准成本!D50</f>
        <v>0</v>
      </c>
      <c r="G44" s="58">
        <f>标准成本!D63</f>
        <v>0</v>
      </c>
      <c r="H44" s="58">
        <f>标准成本!D76</f>
        <v>0</v>
      </c>
      <c r="I44" s="58">
        <f>标准成本!D89</f>
        <v>0</v>
      </c>
      <c r="J44" s="58">
        <f>标准成本!D102</f>
        <v>0</v>
      </c>
      <c r="K44" s="58">
        <f>标准成本!D115</f>
        <v>0</v>
      </c>
      <c r="L44" s="59"/>
      <c r="AJ44" s="52" t="s">
        <v>24</v>
      </c>
      <c r="AK44" s="52" t="s">
        <v>85</v>
      </c>
    </row>
    <row r="45" spans="1:37">
      <c r="A45" s="62">
        <v>3</v>
      </c>
      <c r="B45" s="60" t="s">
        <v>86</v>
      </c>
      <c r="C45" s="65">
        <f>标准成本!D8</f>
        <v>0</v>
      </c>
      <c r="D45" s="65">
        <f>标准成本!D22</f>
        <v>0</v>
      </c>
      <c r="E45" s="65">
        <f>标准成本!D36</f>
        <v>0</v>
      </c>
      <c r="F45" s="65">
        <f>标准成本!D49</f>
        <v>0</v>
      </c>
      <c r="G45" s="65">
        <f>标准成本!D62</f>
        <v>0</v>
      </c>
      <c r="H45" s="65">
        <f>标准成本!D75</f>
        <v>0</v>
      </c>
      <c r="I45" s="65">
        <f>标准成本!D88</f>
        <v>0</v>
      </c>
      <c r="J45" s="65">
        <f>标准成本!D101</f>
        <v>0</v>
      </c>
      <c r="K45" s="65">
        <f>标准成本!D114</f>
        <v>0</v>
      </c>
      <c r="L45" s="59"/>
      <c r="AJ45" s="52" t="s">
        <v>70</v>
      </c>
      <c r="AK45" s="52" t="s">
        <v>86</v>
      </c>
    </row>
    <row r="46" spans="1:37" s="47" customFormat="1">
      <c r="A46" s="62">
        <v>4</v>
      </c>
      <c r="B46" s="60" t="s">
        <v>87</v>
      </c>
      <c r="C46" s="65">
        <f>C21/C6</f>
        <v>22.138888888888889</v>
      </c>
      <c r="D46" s="65">
        <f t="shared" ref="D46:K46" si="39">D21/D6</f>
        <v>22.138888888888893</v>
      </c>
      <c r="E46" s="65">
        <f t="shared" si="39"/>
        <v>22.138888888888893</v>
      </c>
      <c r="F46" s="65" t="e">
        <f t="shared" si="39"/>
        <v>#DIV/0!</v>
      </c>
      <c r="G46" s="65">
        <f t="shared" si="39"/>
        <v>22.138888888888893</v>
      </c>
      <c r="H46" s="65">
        <f t="shared" si="39"/>
        <v>22.138888888888893</v>
      </c>
      <c r="I46" s="65">
        <f t="shared" si="39"/>
        <v>22.138888888888889</v>
      </c>
      <c r="J46" s="65" t="e">
        <f t="shared" si="39"/>
        <v>#DIV/0!</v>
      </c>
      <c r="K46" s="65" t="e">
        <f t="shared" si="39"/>
        <v>#DIV/0!</v>
      </c>
      <c r="L46" s="65"/>
      <c r="AJ46" s="60" t="s">
        <v>30</v>
      </c>
      <c r="AK46" s="60" t="s">
        <v>89</v>
      </c>
    </row>
    <row r="47" spans="1:37" s="47" customFormat="1">
      <c r="A47" s="62">
        <v>5</v>
      </c>
      <c r="B47" s="60" t="s">
        <v>89</v>
      </c>
      <c r="C47" s="65">
        <f>标准成本!D11</f>
        <v>46.800000000000004</v>
      </c>
      <c r="D47" s="65">
        <f>标准成本!D25</f>
        <v>54.88</v>
      </c>
      <c r="E47" s="65">
        <f>标准成本!D39</f>
        <v>69.2</v>
      </c>
      <c r="F47" s="65">
        <f>标准成本!D52</f>
        <v>57.496000000000002</v>
      </c>
      <c r="G47" s="65">
        <f>标准成本!D65</f>
        <v>63.576000000000008</v>
      </c>
      <c r="H47" s="65">
        <f>标准成本!D78</f>
        <v>77.896000000000001</v>
      </c>
      <c r="I47" s="65">
        <f>标准成本!D91</f>
        <v>20</v>
      </c>
      <c r="J47" s="65">
        <f>标准成本!D104</f>
        <v>0</v>
      </c>
      <c r="K47" s="65">
        <f>标准成本!D117</f>
        <v>0</v>
      </c>
      <c r="L47" s="65"/>
      <c r="AJ47" s="60" t="s">
        <v>30</v>
      </c>
      <c r="AK47" s="60" t="s">
        <v>89</v>
      </c>
    </row>
    <row r="48" spans="1:37">
      <c r="A48" s="52" t="s">
        <v>82</v>
      </c>
      <c r="B48" s="55" t="s">
        <v>100</v>
      </c>
      <c r="C48" s="59">
        <f>C40-C43-C44-C45-C47-C46</f>
        <v>39.817289107999358</v>
      </c>
      <c r="D48" s="59">
        <f t="shared" ref="D48:K48" si="40">D40-D43-D44-D45-D47-D46</f>
        <v>-31.736423498842889</v>
      </c>
      <c r="E48" s="59">
        <f t="shared" si="40"/>
        <v>67.062892238500552</v>
      </c>
      <c r="F48" s="59" t="e">
        <f t="shared" si="40"/>
        <v>#DIV/0!</v>
      </c>
      <c r="G48" s="59">
        <f t="shared" si="40"/>
        <v>-21.451880839778632</v>
      </c>
      <c r="H48" s="59">
        <f t="shared" si="40"/>
        <v>61.453434897564883</v>
      </c>
      <c r="I48" s="59">
        <f t="shared" si="40"/>
        <v>-56.543135477586901</v>
      </c>
      <c r="J48" s="59" t="e">
        <f t="shared" si="40"/>
        <v>#DIV/0!</v>
      </c>
      <c r="K48" s="59" t="e">
        <f t="shared" si="40"/>
        <v>#DIV/0!</v>
      </c>
      <c r="L48" s="59"/>
      <c r="AJ48" s="52" t="s">
        <v>99</v>
      </c>
      <c r="AK48" s="55" t="s">
        <v>100</v>
      </c>
    </row>
    <row r="51" spans="2:17">
      <c r="C51" s="66"/>
      <c r="D51" s="66"/>
      <c r="E51" s="66"/>
      <c r="F51" s="66"/>
      <c r="G51" s="66"/>
      <c r="H51" s="66"/>
      <c r="I51" s="66"/>
      <c r="J51" s="66"/>
      <c r="K51" s="66"/>
    </row>
    <row r="54" spans="2:17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7"/>
      <c r="N54" s="67"/>
      <c r="O54" s="67"/>
      <c r="P54" s="67"/>
      <c r="Q54" s="67"/>
    </row>
    <row r="55" spans="2:17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7"/>
      <c r="N55" s="67"/>
      <c r="O55" s="67"/>
      <c r="P55" s="67"/>
      <c r="Q55" s="67"/>
    </row>
    <row r="56" spans="2:17"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7"/>
      <c r="N56" s="67"/>
      <c r="O56" s="67"/>
      <c r="P56" s="67"/>
      <c r="Q56" s="67"/>
    </row>
    <row r="57" spans="2:17"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7"/>
      <c r="N57" s="67"/>
      <c r="O57" s="67"/>
      <c r="P57" s="67"/>
      <c r="Q57" s="67"/>
    </row>
    <row r="58" spans="2:17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7"/>
      <c r="N58" s="67"/>
      <c r="O58" s="67"/>
      <c r="P58" s="67"/>
      <c r="Q58" s="67"/>
    </row>
    <row r="59" spans="2:17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7"/>
      <c r="N59" s="67"/>
      <c r="O59" s="67"/>
      <c r="P59" s="67"/>
      <c r="Q59" s="67"/>
    </row>
    <row r="60" spans="2:17"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7"/>
      <c r="N60" s="67"/>
      <c r="O60" s="67"/>
      <c r="P60" s="67"/>
      <c r="Q60" s="67"/>
    </row>
    <row r="61" spans="2:17"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7"/>
      <c r="N61" s="67"/>
      <c r="O61" s="67"/>
      <c r="P61" s="67"/>
      <c r="Q61" s="67"/>
    </row>
    <row r="62" spans="2:17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7"/>
      <c r="N62" s="67"/>
      <c r="O62" s="67"/>
      <c r="P62" s="67"/>
      <c r="Q62" s="67"/>
    </row>
    <row r="63" spans="2:17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7"/>
      <c r="N63" s="67"/>
      <c r="O63" s="67"/>
      <c r="P63" s="67"/>
      <c r="Q63" s="67"/>
    </row>
    <row r="64" spans="2:17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7"/>
      <c r="N64" s="67"/>
      <c r="O64" s="67"/>
      <c r="P64" s="67"/>
      <c r="Q64" s="67"/>
    </row>
    <row r="65" spans="2:17"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7"/>
      <c r="N65" s="67"/>
      <c r="O65" s="67"/>
      <c r="P65" s="67"/>
      <c r="Q65" s="67"/>
    </row>
    <row r="66" spans="2:17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7"/>
      <c r="N66" s="67"/>
      <c r="O66" s="67"/>
      <c r="P66" s="67"/>
      <c r="Q66" s="67"/>
    </row>
    <row r="67" spans="2:17">
      <c r="B67" s="67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7"/>
    </row>
    <row r="68" spans="2:17"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7"/>
    </row>
    <row r="69" spans="2:17">
      <c r="B69" s="67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7"/>
    </row>
    <row r="70" spans="2:17">
      <c r="B70" s="67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7"/>
    </row>
    <row r="71" spans="2:17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7"/>
    </row>
    <row r="72" spans="2:17">
      <c r="B72" s="67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7"/>
    </row>
    <row r="73" spans="2:17"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7"/>
    </row>
    <row r="74" spans="2:17"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7"/>
    </row>
  </sheetData>
  <mergeCells count="8">
    <mergeCell ref="A4:B4"/>
    <mergeCell ref="A5:B5"/>
    <mergeCell ref="L3:L5"/>
    <mergeCell ref="A1:B1"/>
    <mergeCell ref="C1:L1"/>
    <mergeCell ref="A2:B2"/>
    <mergeCell ref="C2:L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zoomScale="90" zoomScaleNormal="90" workbookViewId="0">
      <pane xSplit="2" ySplit="7" topLeftCell="C11" activePane="bottomRight" state="frozen"/>
      <selection pane="topRight"/>
      <selection pane="bottomLeft"/>
      <selection pane="bottomRight" activeCell="L22" sqref="L22"/>
    </sheetView>
  </sheetViews>
  <sheetFormatPr defaultColWidth="9" defaultRowHeight="16.5"/>
  <cols>
    <col min="1" max="1" width="5.125" style="48" customWidth="1"/>
    <col min="2" max="2" width="17.5" style="48" customWidth="1"/>
    <col min="3" max="11" width="13.25" style="49" customWidth="1"/>
    <col min="12" max="12" width="18.75" style="49" customWidth="1"/>
    <col min="13" max="13" width="12.375" style="48" customWidth="1"/>
    <col min="14" max="14" width="10.125" style="48" customWidth="1"/>
    <col min="15" max="21" width="9" style="48" customWidth="1"/>
    <col min="22" max="38" width="9" style="48"/>
    <col min="39" max="39" width="4.375" style="48" customWidth="1"/>
    <col min="40" max="40" width="13.875" style="48" customWidth="1"/>
    <col min="41" max="16384" width="9" style="48"/>
  </cols>
  <sheetData>
    <row r="1" spans="1:41">
      <c r="A1" s="234" t="s">
        <v>140</v>
      </c>
      <c r="B1" s="234"/>
      <c r="C1" s="238" t="s">
        <v>289</v>
      </c>
      <c r="D1" s="239"/>
      <c r="E1" s="239"/>
      <c r="F1" s="239"/>
      <c r="G1" s="239"/>
      <c r="H1" s="239"/>
      <c r="I1" s="239"/>
      <c r="J1" s="239"/>
      <c r="K1" s="239"/>
      <c r="L1" s="240"/>
    </row>
    <row r="2" spans="1:41">
      <c r="A2" s="234" t="s">
        <v>141</v>
      </c>
      <c r="B2" s="234"/>
      <c r="C2" s="241" t="str">
        <f>'2023年'!C2:L2</f>
        <v>成都王牌</v>
      </c>
      <c r="D2" s="241"/>
      <c r="E2" s="241"/>
      <c r="F2" s="241"/>
      <c r="G2" s="241"/>
      <c r="H2" s="241"/>
      <c r="I2" s="241"/>
      <c r="J2" s="241"/>
      <c r="K2" s="241"/>
      <c r="L2" s="241"/>
    </row>
    <row r="3" spans="1:41">
      <c r="A3" s="234" t="s">
        <v>142</v>
      </c>
      <c r="B3" s="234"/>
      <c r="C3" s="159" t="str">
        <f>销量!C5</f>
        <v>正司机</v>
      </c>
      <c r="D3" s="159" t="str">
        <f>销量!D5</f>
        <v>正司机</v>
      </c>
      <c r="E3" s="159" t="str">
        <f>销量!E5</f>
        <v>正司机</v>
      </c>
      <c r="F3" s="159" t="str">
        <f>销量!F5</f>
        <v>正司机</v>
      </c>
      <c r="G3" s="159" t="str">
        <f>销量!G5</f>
        <v>正司机</v>
      </c>
      <c r="H3" s="159" t="str">
        <f>销量!H5</f>
        <v>正司机</v>
      </c>
      <c r="I3" s="159" t="str">
        <f>销量!I5</f>
        <v>副司机</v>
      </c>
      <c r="J3" s="159">
        <f>销量!J5</f>
        <v>0</v>
      </c>
      <c r="K3" s="159">
        <f>销量!K5</f>
        <v>0</v>
      </c>
      <c r="L3" s="235" t="s">
        <v>18</v>
      </c>
    </row>
    <row r="4" spans="1:41">
      <c r="A4" s="234" t="s">
        <v>143</v>
      </c>
      <c r="B4" s="234"/>
      <c r="C4" s="159" t="str">
        <f>销量!C6</f>
        <v>EZ160051000001</v>
      </c>
      <c r="D4" s="159" t="str">
        <f>销量!D6</f>
        <v>EZ160051000002</v>
      </c>
      <c r="E4" s="159" t="str">
        <f>销量!E6</f>
        <v>EZ160051000003</v>
      </c>
      <c r="F4" s="159" t="str">
        <f>销量!F6</f>
        <v>EZ160051000004</v>
      </c>
      <c r="G4" s="159" t="str">
        <f>销量!G6</f>
        <v>EZ160051000005</v>
      </c>
      <c r="H4" s="159" t="str">
        <f>销量!H6</f>
        <v>EZ160051000004</v>
      </c>
      <c r="I4" s="159" t="str">
        <f>销量!I6</f>
        <v>EZ16B251000008</v>
      </c>
      <c r="J4" s="159">
        <f>销量!J6</f>
        <v>0</v>
      </c>
      <c r="K4" s="159">
        <f>销量!K6</f>
        <v>0</v>
      </c>
      <c r="L4" s="236"/>
    </row>
    <row r="5" spans="1:41">
      <c r="A5" s="234" t="s">
        <v>144</v>
      </c>
      <c r="B5" s="234"/>
      <c r="C5" s="51"/>
      <c r="D5" s="51"/>
      <c r="E5" s="51"/>
      <c r="F5" s="51"/>
      <c r="G5" s="51"/>
      <c r="H5" s="51"/>
      <c r="I5" s="51"/>
      <c r="J5" s="51"/>
      <c r="K5" s="51"/>
      <c r="L5" s="237"/>
      <c r="AO5" s="48" t="s">
        <v>19</v>
      </c>
    </row>
    <row r="6" spans="1:41" ht="17.25">
      <c r="A6" s="52" t="s">
        <v>17</v>
      </c>
      <c r="B6" s="53" t="s">
        <v>145</v>
      </c>
      <c r="C6" s="22">
        <f>销量!C10</f>
        <v>600</v>
      </c>
      <c r="D6" s="22">
        <f>销量!D10</f>
        <v>400</v>
      </c>
      <c r="E6" s="22">
        <f>销量!E10</f>
        <v>500</v>
      </c>
      <c r="F6" s="22">
        <f>销量!F10</f>
        <v>100</v>
      </c>
      <c r="G6" s="22">
        <f>销量!G10</f>
        <v>100</v>
      </c>
      <c r="H6" s="22">
        <f>销量!H10</f>
        <v>300</v>
      </c>
      <c r="I6" s="22">
        <f>销量!I10</f>
        <v>2000</v>
      </c>
      <c r="J6" s="22">
        <f>销量!J10</f>
        <v>0</v>
      </c>
      <c r="K6" s="22">
        <f>销量!K10</f>
        <v>0</v>
      </c>
      <c r="L6" s="54">
        <f>SUM(C6:K6)</f>
        <v>4000</v>
      </c>
      <c r="W6" s="53" t="s">
        <v>3</v>
      </c>
      <c r="AM6" s="52" t="s">
        <v>17</v>
      </c>
      <c r="AN6" s="53" t="s">
        <v>3</v>
      </c>
      <c r="AO6" s="48" t="s">
        <v>20</v>
      </c>
    </row>
    <row r="7" spans="1:41">
      <c r="A7" s="158">
        <v>1</v>
      </c>
      <c r="B7" s="53" t="s">
        <v>21</v>
      </c>
      <c r="C7" s="54">
        <f>C6*销量!C8</f>
        <v>702000</v>
      </c>
      <c r="D7" s="54">
        <f>D6*销量!D8</f>
        <v>548800</v>
      </c>
      <c r="E7" s="54">
        <f>E6*销量!E8</f>
        <v>865000</v>
      </c>
      <c r="F7" s="54">
        <f>F6*销量!F8</f>
        <v>143740</v>
      </c>
      <c r="G7" s="54">
        <f>G6*销量!G8</f>
        <v>158940</v>
      </c>
      <c r="H7" s="54">
        <f>H6*销量!H8</f>
        <v>584220</v>
      </c>
      <c r="I7" s="54">
        <f>I6*销量!I8</f>
        <v>1000000</v>
      </c>
      <c r="J7" s="54">
        <f>J6*销量!J8</f>
        <v>0</v>
      </c>
      <c r="K7" s="54">
        <f>K6*销量!K8</f>
        <v>0</v>
      </c>
      <c r="L7" s="54">
        <f t="shared" ref="L7:L15" si="0">SUM(C7:K7)</f>
        <v>4002700</v>
      </c>
      <c r="M7" s="49"/>
      <c r="W7" s="53" t="s">
        <v>21</v>
      </c>
      <c r="AM7" s="52" t="s">
        <v>22</v>
      </c>
      <c r="AN7" s="53" t="s">
        <v>21</v>
      </c>
      <c r="AO7" s="48" t="s">
        <v>20</v>
      </c>
    </row>
    <row r="8" spans="1:41">
      <c r="A8" s="158">
        <v>2</v>
      </c>
      <c r="B8" s="158" t="s">
        <v>23</v>
      </c>
      <c r="C8" s="54">
        <f>C7*(1-销量!$O$7)</f>
        <v>0</v>
      </c>
      <c r="D8" s="54">
        <f>D7*(1-销量!$O$7)</f>
        <v>0</v>
      </c>
      <c r="E8" s="54">
        <f>E7*(1-销量!$O$7)</f>
        <v>0</v>
      </c>
      <c r="F8" s="54">
        <f>F7*(1-销量!$O$7)</f>
        <v>0</v>
      </c>
      <c r="G8" s="54">
        <f>G7*(1-销量!$O$7)</f>
        <v>0</v>
      </c>
      <c r="H8" s="54">
        <f>H7*(1-销量!$O$7)</f>
        <v>0</v>
      </c>
      <c r="I8" s="54">
        <f>I7*(1-销量!$O$7)</f>
        <v>0</v>
      </c>
      <c r="J8" s="54">
        <f>J7*(1-销量!$O$7)</f>
        <v>0</v>
      </c>
      <c r="K8" s="54">
        <f>K7*(1-销量!$O$7)</f>
        <v>0</v>
      </c>
      <c r="L8" s="54">
        <f t="shared" si="0"/>
        <v>0</v>
      </c>
      <c r="M8" s="69"/>
      <c r="W8" s="158" t="s">
        <v>25</v>
      </c>
      <c r="AM8" s="52" t="s">
        <v>24</v>
      </c>
      <c r="AN8" s="158" t="s">
        <v>25</v>
      </c>
      <c r="AO8" s="48" t="s">
        <v>20</v>
      </c>
    </row>
    <row r="9" spans="1:41">
      <c r="A9" s="158">
        <v>3</v>
      </c>
      <c r="B9" s="53" t="s">
        <v>26</v>
      </c>
      <c r="C9" s="54">
        <f>+C7-C8</f>
        <v>702000</v>
      </c>
      <c r="D9" s="54">
        <f t="shared" ref="D9:K9" si="1">+D7-D8</f>
        <v>548800</v>
      </c>
      <c r="E9" s="54">
        <f t="shared" si="1"/>
        <v>865000</v>
      </c>
      <c r="F9" s="54">
        <f t="shared" si="1"/>
        <v>143740</v>
      </c>
      <c r="G9" s="54">
        <f t="shared" si="1"/>
        <v>158940</v>
      </c>
      <c r="H9" s="54">
        <f t="shared" si="1"/>
        <v>584220</v>
      </c>
      <c r="I9" s="54">
        <f t="shared" si="1"/>
        <v>1000000</v>
      </c>
      <c r="J9" s="54">
        <f t="shared" si="1"/>
        <v>0</v>
      </c>
      <c r="K9" s="54">
        <f t="shared" si="1"/>
        <v>0</v>
      </c>
      <c r="L9" s="54">
        <f t="shared" si="0"/>
        <v>4002700</v>
      </c>
      <c r="W9" s="53" t="s">
        <v>26</v>
      </c>
      <c r="AM9" s="52" t="s">
        <v>27</v>
      </c>
      <c r="AN9" s="53" t="s">
        <v>26</v>
      </c>
      <c r="AO9" s="48" t="s">
        <v>28</v>
      </c>
    </row>
    <row r="10" spans="1:41">
      <c r="A10" s="158">
        <v>4</v>
      </c>
      <c r="B10" s="52" t="s">
        <v>29</v>
      </c>
      <c r="C10" s="54">
        <f>C6*C33</f>
        <v>586202.29320186703</v>
      </c>
      <c r="D10" s="54">
        <f t="shared" ref="D10:K10" si="2">D6*D33</f>
        <v>491173.41384398157</v>
      </c>
      <c r="E10" s="54">
        <f t="shared" si="2"/>
        <v>723519.10943630524</v>
      </c>
      <c r="F10" s="54">
        <f t="shared" si="2"/>
        <v>121872.60691911115</v>
      </c>
      <c r="G10" s="54">
        <f t="shared" si="2"/>
        <v>142659.41919508899</v>
      </c>
      <c r="H10" s="54">
        <f t="shared" si="2"/>
        <v>493709.66286406392</v>
      </c>
      <c r="I10" s="54">
        <f t="shared" si="2"/>
        <v>956808.49317739601</v>
      </c>
      <c r="J10" s="54">
        <f t="shared" si="2"/>
        <v>0</v>
      </c>
      <c r="K10" s="54">
        <f t="shared" si="2"/>
        <v>0</v>
      </c>
      <c r="L10" s="54">
        <f t="shared" si="0"/>
        <v>3515944.9986378141</v>
      </c>
      <c r="W10" s="52" t="s">
        <v>29</v>
      </c>
      <c r="AM10" s="52" t="s">
        <v>30</v>
      </c>
      <c r="AN10" s="52" t="s">
        <v>29</v>
      </c>
      <c r="AO10" s="48" t="s">
        <v>31</v>
      </c>
    </row>
    <row r="11" spans="1:41">
      <c r="A11" s="158">
        <v>5</v>
      </c>
      <c r="B11" s="52" t="s">
        <v>32</v>
      </c>
      <c r="C11" s="54">
        <f>+C6*C36</f>
        <v>33204.6</v>
      </c>
      <c r="D11" s="54">
        <f>+D6*D36</f>
        <v>25958.240000000002</v>
      </c>
      <c r="E11" s="54">
        <f t="shared" ref="E11:H11" si="3">+E6*E36</f>
        <v>40914.500000000007</v>
      </c>
      <c r="F11" s="54">
        <f t="shared" si="3"/>
        <v>6798.902000000001</v>
      </c>
      <c r="G11" s="54">
        <f t="shared" si="3"/>
        <v>7517.862000000001</v>
      </c>
      <c r="H11" s="54">
        <f t="shared" si="3"/>
        <v>27633.606</v>
      </c>
      <c r="I11" s="54">
        <f t="shared" ref="I11:K11" si="4">+I6*I36</f>
        <v>47300.000000000007</v>
      </c>
      <c r="J11" s="54">
        <f t="shared" si="4"/>
        <v>0</v>
      </c>
      <c r="K11" s="54">
        <f t="shared" si="4"/>
        <v>0</v>
      </c>
      <c r="L11" s="54">
        <f t="shared" si="0"/>
        <v>189327.71</v>
      </c>
      <c r="W11" s="52" t="s">
        <v>32</v>
      </c>
      <c r="AM11" s="52" t="s">
        <v>33</v>
      </c>
      <c r="AN11" s="52" t="s">
        <v>32</v>
      </c>
    </row>
    <row r="12" spans="1:41">
      <c r="A12" s="158">
        <v>6</v>
      </c>
      <c r="B12" s="52" t="s">
        <v>34</v>
      </c>
      <c r="C12" s="54">
        <f>+C6*C37</f>
        <v>10319.4</v>
      </c>
      <c r="D12" s="54">
        <f t="shared" ref="D12:H12" si="5">+D6*D37</f>
        <v>8067.36</v>
      </c>
      <c r="E12" s="54">
        <f t="shared" si="5"/>
        <v>12715.5</v>
      </c>
      <c r="F12" s="54">
        <f t="shared" si="5"/>
        <v>2112.9780000000001</v>
      </c>
      <c r="G12" s="54">
        <f t="shared" si="5"/>
        <v>2336.4180000000001</v>
      </c>
      <c r="H12" s="54">
        <f t="shared" si="5"/>
        <v>8588.0339999999997</v>
      </c>
      <c r="I12" s="54">
        <f t="shared" ref="I12:K12" si="6">+I6*I37</f>
        <v>14700</v>
      </c>
      <c r="J12" s="54">
        <f t="shared" si="6"/>
        <v>0</v>
      </c>
      <c r="K12" s="54">
        <f t="shared" si="6"/>
        <v>0</v>
      </c>
      <c r="L12" s="54">
        <f t="shared" si="0"/>
        <v>58839.689999999995</v>
      </c>
      <c r="W12" s="52" t="s">
        <v>34</v>
      </c>
      <c r="AM12" s="52" t="s">
        <v>35</v>
      </c>
      <c r="AN12" s="52" t="s">
        <v>34</v>
      </c>
    </row>
    <row r="13" spans="1:41">
      <c r="A13" s="158">
        <v>7</v>
      </c>
      <c r="B13" s="52" t="s">
        <v>36</v>
      </c>
      <c r="C13" s="54">
        <f>+C6*C38</f>
        <v>7020.0000000000009</v>
      </c>
      <c r="D13" s="54">
        <f t="shared" ref="D13:H13" si="7">+D6*D38</f>
        <v>5488</v>
      </c>
      <c r="E13" s="54">
        <f t="shared" si="7"/>
        <v>8650</v>
      </c>
      <c r="F13" s="54">
        <f t="shared" si="7"/>
        <v>1437.4</v>
      </c>
      <c r="G13" s="54">
        <f t="shared" si="7"/>
        <v>0</v>
      </c>
      <c r="H13" s="54">
        <f t="shared" si="7"/>
        <v>5842.2</v>
      </c>
      <c r="I13" s="54">
        <f t="shared" ref="I13:K13" si="8">+I6*I38</f>
        <v>10000</v>
      </c>
      <c r="J13" s="54">
        <f t="shared" si="8"/>
        <v>0</v>
      </c>
      <c r="K13" s="54">
        <f t="shared" si="8"/>
        <v>0</v>
      </c>
      <c r="L13" s="54">
        <f t="shared" si="0"/>
        <v>38437.600000000006</v>
      </c>
      <c r="W13" s="52" t="s">
        <v>36</v>
      </c>
      <c r="AM13" s="52" t="s">
        <v>37</v>
      </c>
      <c r="AN13" s="52" t="s">
        <v>36</v>
      </c>
      <c r="AO13" s="48" t="s">
        <v>20</v>
      </c>
    </row>
    <row r="14" spans="1:41">
      <c r="A14" s="158">
        <v>8</v>
      </c>
      <c r="B14" s="55" t="s">
        <v>38</v>
      </c>
      <c r="C14" s="54">
        <f>SUM(C11:C13)</f>
        <v>50544</v>
      </c>
      <c r="D14" s="54">
        <f t="shared" ref="D14:H14" si="9">SUM(D11:D13)</f>
        <v>39513.599999999999</v>
      </c>
      <c r="E14" s="54">
        <f t="shared" si="9"/>
        <v>62280.000000000007</v>
      </c>
      <c r="F14" s="54">
        <f t="shared" si="9"/>
        <v>10349.280000000001</v>
      </c>
      <c r="G14" s="54">
        <f t="shared" si="9"/>
        <v>9854.2800000000007</v>
      </c>
      <c r="H14" s="54">
        <f t="shared" si="9"/>
        <v>42063.839999999997</v>
      </c>
      <c r="I14" s="54">
        <f t="shared" ref="I14:K14" si="10">SUM(I11:I13)</f>
        <v>72000</v>
      </c>
      <c r="J14" s="54">
        <f t="shared" si="10"/>
        <v>0</v>
      </c>
      <c r="K14" s="54">
        <f t="shared" si="10"/>
        <v>0</v>
      </c>
      <c r="L14" s="54">
        <f t="shared" si="0"/>
        <v>286605</v>
      </c>
      <c r="W14" s="55" t="s">
        <v>38</v>
      </c>
      <c r="AM14" s="52" t="s">
        <v>39</v>
      </c>
      <c r="AN14" s="55" t="s">
        <v>38</v>
      </c>
    </row>
    <row r="15" spans="1:41">
      <c r="A15" s="158">
        <v>9</v>
      </c>
      <c r="B15" s="55" t="s">
        <v>40</v>
      </c>
      <c r="C15" s="54">
        <f>+C9-C10-C14</f>
        <v>65253.706798132975</v>
      </c>
      <c r="D15" s="54">
        <f t="shared" ref="D15:H15" si="11">+D9-D10-D14</f>
        <v>18112.986156018429</v>
      </c>
      <c r="E15" s="54">
        <f t="shared" si="11"/>
        <v>79200.89056369476</v>
      </c>
      <c r="F15" s="54">
        <f t="shared" si="11"/>
        <v>11518.113080888854</v>
      </c>
      <c r="G15" s="54">
        <f t="shared" si="11"/>
        <v>6426.3008049110049</v>
      </c>
      <c r="H15" s="54">
        <f t="shared" si="11"/>
        <v>48446.497135936079</v>
      </c>
      <c r="I15" s="54">
        <f t="shared" ref="I15:K15" si="12">+I9-I10-I14</f>
        <v>-28808.493177396012</v>
      </c>
      <c r="J15" s="54">
        <f t="shared" si="12"/>
        <v>0</v>
      </c>
      <c r="K15" s="54">
        <f t="shared" si="12"/>
        <v>0</v>
      </c>
      <c r="L15" s="54">
        <f t="shared" si="0"/>
        <v>200150.00136218607</v>
      </c>
      <c r="W15" s="55" t="s">
        <v>40</v>
      </c>
      <c r="AM15" s="52" t="s">
        <v>41</v>
      </c>
      <c r="AN15" s="55" t="s">
        <v>40</v>
      </c>
    </row>
    <row r="16" spans="1:41">
      <c r="A16" s="158">
        <v>10</v>
      </c>
      <c r="B16" s="52" t="s">
        <v>42</v>
      </c>
      <c r="C16" s="56">
        <f>+C15/C9</f>
        <v>9.2953998287938711E-2</v>
      </c>
      <c r="D16" s="56">
        <f t="shared" ref="D16:K16" si="13">+D15/D9</f>
        <v>3.3004712383415506E-2</v>
      </c>
      <c r="E16" s="56">
        <f t="shared" si="13"/>
        <v>9.1561723195022843E-2</v>
      </c>
      <c r="F16" s="56">
        <f t="shared" si="13"/>
        <v>8.0131578411638052E-2</v>
      </c>
      <c r="G16" s="56">
        <f t="shared" si="13"/>
        <v>4.0432243644840854E-2</v>
      </c>
      <c r="H16" s="56">
        <f t="shared" si="13"/>
        <v>8.2925091807771176E-2</v>
      </c>
      <c r="I16" s="56">
        <f t="shared" si="13"/>
        <v>-2.8808493177396012E-2</v>
      </c>
      <c r="J16" s="56" t="e">
        <f t="shared" si="13"/>
        <v>#DIV/0!</v>
      </c>
      <c r="K16" s="56" t="e">
        <f t="shared" si="13"/>
        <v>#DIV/0!</v>
      </c>
      <c r="L16" s="56">
        <f t="shared" ref="L16" si="14">+L15/L9</f>
        <v>5.0003747810774248E-2</v>
      </c>
      <c r="W16" s="52" t="s">
        <v>42</v>
      </c>
      <c r="AM16" s="52" t="s">
        <v>43</v>
      </c>
      <c r="AN16" s="52" t="s">
        <v>42</v>
      </c>
    </row>
    <row r="17" spans="1:41">
      <c r="A17" s="158">
        <v>11</v>
      </c>
      <c r="B17" s="52" t="s">
        <v>44</v>
      </c>
      <c r="C17" s="54">
        <f>C6*C43+C18</f>
        <v>6210.6249999999991</v>
      </c>
      <c r="D17" s="54">
        <f t="shared" ref="D17:H17" si="15">D6*D43+D18</f>
        <v>4140.4166666666661</v>
      </c>
      <c r="E17" s="54">
        <f t="shared" si="15"/>
        <v>5175.520833333333</v>
      </c>
      <c r="F17" s="54">
        <f t="shared" si="15"/>
        <v>1035.1041666666665</v>
      </c>
      <c r="G17" s="54">
        <f t="shared" si="15"/>
        <v>1035.1041666666665</v>
      </c>
      <c r="H17" s="54">
        <f t="shared" si="15"/>
        <v>3105.3124999999995</v>
      </c>
      <c r="I17" s="54">
        <f t="shared" ref="I17:K17" si="16">I6*I43+I18</f>
        <v>20702.083333333332</v>
      </c>
      <c r="J17" s="54">
        <f t="shared" si="16"/>
        <v>0</v>
      </c>
      <c r="K17" s="54">
        <f t="shared" si="16"/>
        <v>0</v>
      </c>
      <c r="L17" s="54">
        <f t="shared" ref="L17:L20" si="17">SUM(C17:H17)</f>
        <v>20702.083333333332</v>
      </c>
      <c r="M17" s="69"/>
      <c r="W17" s="52" t="s">
        <v>44</v>
      </c>
      <c r="AM17" s="52" t="s">
        <v>45</v>
      </c>
      <c r="AN17" s="52" t="s">
        <v>44</v>
      </c>
    </row>
    <row r="18" spans="1:41" s="46" customFormat="1">
      <c r="A18" s="158">
        <v>12</v>
      </c>
      <c r="B18" s="57" t="s">
        <v>146</v>
      </c>
      <c r="C18" s="58">
        <f>$L$18/$L$6*C6</f>
        <v>6210.6249999999991</v>
      </c>
      <c r="D18" s="58">
        <f t="shared" ref="D18:H18" si="18">$L$18/$L$6*D6</f>
        <v>4140.4166666666661</v>
      </c>
      <c r="E18" s="58">
        <f t="shared" si="18"/>
        <v>5175.520833333333</v>
      </c>
      <c r="F18" s="58">
        <f t="shared" si="18"/>
        <v>1035.1041666666665</v>
      </c>
      <c r="G18" s="58">
        <f t="shared" si="18"/>
        <v>1035.1041666666665</v>
      </c>
      <c r="H18" s="58">
        <f t="shared" si="18"/>
        <v>3105.3124999999995</v>
      </c>
      <c r="I18" s="58">
        <f t="shared" ref="I18:K18" si="19">$L$18/$L$6*I6</f>
        <v>20702.083333333332</v>
      </c>
      <c r="J18" s="58">
        <f t="shared" si="19"/>
        <v>0</v>
      </c>
      <c r="K18" s="58">
        <f t="shared" si="19"/>
        <v>0</v>
      </c>
      <c r="L18" s="58">
        <f>项目投资!E26</f>
        <v>41404.166666666664</v>
      </c>
      <c r="M18" s="70" t="s">
        <v>147</v>
      </c>
      <c r="N18" s="70"/>
      <c r="O18" s="70"/>
    </row>
    <row r="19" spans="1:41">
      <c r="A19" s="158">
        <v>13</v>
      </c>
      <c r="B19" s="52" t="s">
        <v>46</v>
      </c>
      <c r="C19" s="54">
        <f>C6*C44</f>
        <v>0</v>
      </c>
      <c r="D19" s="54">
        <f t="shared" ref="D19:H19" si="20">D6*D44</f>
        <v>0</v>
      </c>
      <c r="E19" s="54">
        <f t="shared" si="20"/>
        <v>0</v>
      </c>
      <c r="F19" s="54">
        <f t="shared" si="20"/>
        <v>0</v>
      </c>
      <c r="G19" s="54">
        <f t="shared" si="20"/>
        <v>0</v>
      </c>
      <c r="H19" s="54">
        <f t="shared" si="20"/>
        <v>0</v>
      </c>
      <c r="I19" s="54">
        <f t="shared" ref="I19:K19" si="21">I6*I44</f>
        <v>0</v>
      </c>
      <c r="J19" s="54">
        <f t="shared" si="21"/>
        <v>0</v>
      </c>
      <c r="K19" s="54">
        <f t="shared" si="21"/>
        <v>0</v>
      </c>
      <c r="L19" s="54">
        <f>SUM(C19:H19)</f>
        <v>0</v>
      </c>
      <c r="M19" s="46"/>
      <c r="W19" s="52" t="s">
        <v>46</v>
      </c>
      <c r="AM19" s="52" t="s">
        <v>47</v>
      </c>
      <c r="AN19" s="52" t="s">
        <v>46</v>
      </c>
      <c r="AO19" s="48" t="s">
        <v>20</v>
      </c>
    </row>
    <row r="20" spans="1:41">
      <c r="A20" s="158">
        <v>14</v>
      </c>
      <c r="B20" s="52" t="s">
        <v>48</v>
      </c>
      <c r="C20" s="54">
        <f>C6*C45</f>
        <v>0</v>
      </c>
      <c r="D20" s="54">
        <f t="shared" ref="D20:H20" si="22">D6*D45</f>
        <v>0</v>
      </c>
      <c r="E20" s="54">
        <f t="shared" si="22"/>
        <v>0</v>
      </c>
      <c r="F20" s="54">
        <f t="shared" si="22"/>
        <v>0</v>
      </c>
      <c r="G20" s="54">
        <f t="shared" si="22"/>
        <v>0</v>
      </c>
      <c r="H20" s="54">
        <f t="shared" si="22"/>
        <v>0</v>
      </c>
      <c r="I20" s="54">
        <f t="shared" ref="I20:K20" si="23">I6*I45</f>
        <v>0</v>
      </c>
      <c r="J20" s="54">
        <f t="shared" si="23"/>
        <v>0</v>
      </c>
      <c r="K20" s="54">
        <f t="shared" si="23"/>
        <v>0</v>
      </c>
      <c r="L20" s="54">
        <f t="shared" si="17"/>
        <v>0</v>
      </c>
      <c r="W20" s="52" t="s">
        <v>48</v>
      </c>
      <c r="AM20" s="52" t="s">
        <v>49</v>
      </c>
      <c r="AN20" s="52" t="s">
        <v>48</v>
      </c>
    </row>
    <row r="21" spans="1:41">
      <c r="A21" s="158">
        <v>15</v>
      </c>
      <c r="B21" s="52" t="s">
        <v>50</v>
      </c>
      <c r="C21" s="59">
        <f>$L$21/$L$6*C6</f>
        <v>3985</v>
      </c>
      <c r="D21" s="59">
        <f t="shared" ref="D21:H21" si="24">$L$21/$L$6*D6</f>
        <v>2656.6666666666665</v>
      </c>
      <c r="E21" s="59">
        <f t="shared" si="24"/>
        <v>3320.8333333333335</v>
      </c>
      <c r="F21" s="59">
        <f t="shared" si="24"/>
        <v>664.16666666666663</v>
      </c>
      <c r="G21" s="59">
        <f t="shared" si="24"/>
        <v>664.16666666666663</v>
      </c>
      <c r="H21" s="59">
        <f t="shared" si="24"/>
        <v>1992.5</v>
      </c>
      <c r="I21" s="59">
        <f t="shared" ref="I21:K21" si="25">$L$21/$L$6*I6</f>
        <v>13283.333333333334</v>
      </c>
      <c r="J21" s="59">
        <f t="shared" si="25"/>
        <v>0</v>
      </c>
      <c r="K21" s="59">
        <f t="shared" si="25"/>
        <v>0</v>
      </c>
      <c r="L21" s="54">
        <f>项目投资!E27</f>
        <v>26566.666666666668</v>
      </c>
      <c r="W21" s="52" t="s">
        <v>50</v>
      </c>
      <c r="AM21" s="52"/>
      <c r="AN21" s="52"/>
    </row>
    <row r="22" spans="1:41">
      <c r="A22" s="158">
        <v>16</v>
      </c>
      <c r="B22" s="52" t="s">
        <v>51</v>
      </c>
      <c r="C22" s="54">
        <f>C6*C47</f>
        <v>28080.000000000004</v>
      </c>
      <c r="D22" s="54">
        <f t="shared" ref="D22:H22" si="26">D6*D47</f>
        <v>21952</v>
      </c>
      <c r="E22" s="54">
        <f t="shared" si="26"/>
        <v>34600</v>
      </c>
      <c r="F22" s="54">
        <f t="shared" si="26"/>
        <v>5749.6</v>
      </c>
      <c r="G22" s="54">
        <f t="shared" si="26"/>
        <v>6357.6</v>
      </c>
      <c r="H22" s="54">
        <f t="shared" si="26"/>
        <v>23368.799999999999</v>
      </c>
      <c r="I22" s="54">
        <f t="shared" ref="I22:K22" si="27">I6*I47</f>
        <v>40000</v>
      </c>
      <c r="J22" s="54">
        <f t="shared" si="27"/>
        <v>0</v>
      </c>
      <c r="K22" s="54">
        <f t="shared" si="27"/>
        <v>0</v>
      </c>
      <c r="L22" s="54">
        <f>SUM(C22:H22)</f>
        <v>120108.00000000001</v>
      </c>
      <c r="W22" s="52" t="s">
        <v>51</v>
      </c>
      <c r="AM22" s="52" t="s">
        <v>52</v>
      </c>
      <c r="AN22" s="52" t="s">
        <v>51</v>
      </c>
    </row>
    <row r="23" spans="1:41">
      <c r="A23" s="158">
        <v>17</v>
      </c>
      <c r="B23" s="55" t="s">
        <v>53</v>
      </c>
      <c r="C23" s="59">
        <f>+C22+C21+C20+C19+C17</f>
        <v>38275.625</v>
      </c>
      <c r="D23" s="59">
        <f t="shared" ref="D23:H23" si="28">+D22+D21+D20+D19+D17</f>
        <v>28749.083333333336</v>
      </c>
      <c r="E23" s="59">
        <f t="shared" si="28"/>
        <v>43096.354166666672</v>
      </c>
      <c r="F23" s="59">
        <f t="shared" si="28"/>
        <v>7448.8708333333343</v>
      </c>
      <c r="G23" s="59">
        <f t="shared" si="28"/>
        <v>8056.8708333333343</v>
      </c>
      <c r="H23" s="59">
        <f t="shared" si="28"/>
        <v>28466.612499999999</v>
      </c>
      <c r="I23" s="59">
        <f t="shared" ref="I23:K23" si="29">+I22+I21+I20+I19+I17</f>
        <v>73985.416666666672</v>
      </c>
      <c r="J23" s="59">
        <f t="shared" si="29"/>
        <v>0</v>
      </c>
      <c r="K23" s="59">
        <f t="shared" si="29"/>
        <v>0</v>
      </c>
      <c r="L23" s="59">
        <f t="shared" ref="L23" si="30">+L22+L21+L20+L19+L17</f>
        <v>167376.75000000003</v>
      </c>
      <c r="W23" s="55" t="s">
        <v>53</v>
      </c>
      <c r="AM23" s="52" t="s">
        <v>54</v>
      </c>
      <c r="AN23" s="55" t="s">
        <v>53</v>
      </c>
    </row>
    <row r="24" spans="1:41">
      <c r="A24" s="158">
        <v>18</v>
      </c>
      <c r="B24" s="60" t="s">
        <v>55</v>
      </c>
      <c r="C24" s="59">
        <f>+C15-C23</f>
        <v>26978.081798132975</v>
      </c>
      <c r="D24" s="59">
        <f t="shared" ref="D24:H24" si="31">+D15-D23</f>
        <v>-10636.097177314907</v>
      </c>
      <c r="E24" s="59">
        <f t="shared" si="31"/>
        <v>36104.536397028089</v>
      </c>
      <c r="F24" s="59">
        <f t="shared" si="31"/>
        <v>4069.2422475555195</v>
      </c>
      <c r="G24" s="59">
        <f t="shared" si="31"/>
        <v>-1630.5700284223294</v>
      </c>
      <c r="H24" s="59">
        <f t="shared" si="31"/>
        <v>19979.88463593608</v>
      </c>
      <c r="I24" s="59">
        <f t="shared" ref="I24:K24" si="32">+I15-I23</f>
        <v>-102793.90984406268</v>
      </c>
      <c r="J24" s="59">
        <f t="shared" si="32"/>
        <v>0</v>
      </c>
      <c r="K24" s="59">
        <f t="shared" si="32"/>
        <v>0</v>
      </c>
      <c r="L24" s="59">
        <f t="shared" ref="L24" si="33">+L15-L23</f>
        <v>32773.251362186042</v>
      </c>
      <c r="N24" s="71"/>
      <c r="W24" s="52" t="s">
        <v>55</v>
      </c>
      <c r="AM24" s="52" t="s">
        <v>56</v>
      </c>
      <c r="AN24" s="52" t="s">
        <v>55</v>
      </c>
    </row>
    <row r="25" spans="1:41">
      <c r="A25" s="158">
        <v>19</v>
      </c>
      <c r="B25" s="52" t="s">
        <v>232</v>
      </c>
      <c r="C25" s="59">
        <f t="shared" ref="C25:L25" si="34">IF(C24&lt;0,0,C24*0.25)</f>
        <v>6744.5204495332437</v>
      </c>
      <c r="D25" s="59">
        <f t="shared" si="34"/>
        <v>0</v>
      </c>
      <c r="E25" s="59">
        <f t="shared" si="34"/>
        <v>9026.1340992570222</v>
      </c>
      <c r="F25" s="59">
        <f t="shared" si="34"/>
        <v>1017.3105618888799</v>
      </c>
      <c r="G25" s="59">
        <f t="shared" si="34"/>
        <v>0</v>
      </c>
      <c r="H25" s="59">
        <f t="shared" si="34"/>
        <v>4994.9711589840199</v>
      </c>
      <c r="I25" s="59">
        <f t="shared" si="34"/>
        <v>0</v>
      </c>
      <c r="J25" s="59">
        <f t="shared" si="34"/>
        <v>0</v>
      </c>
      <c r="K25" s="59">
        <f t="shared" si="34"/>
        <v>0</v>
      </c>
      <c r="L25" s="59">
        <f t="shared" si="34"/>
        <v>8193.3128405465104</v>
      </c>
      <c r="M25" s="67"/>
      <c r="N25" s="67"/>
      <c r="O25" s="67"/>
      <c r="W25" s="52" t="s">
        <v>57</v>
      </c>
      <c r="AM25" s="52" t="s">
        <v>58</v>
      </c>
      <c r="AN25" s="52" t="s">
        <v>57</v>
      </c>
    </row>
    <row r="26" spans="1:41">
      <c r="A26" s="158">
        <v>20</v>
      </c>
      <c r="B26" s="52" t="s">
        <v>59</v>
      </c>
      <c r="C26" s="59">
        <f t="shared" ref="C26:H26" si="35">C24-C25</f>
        <v>20233.561348599731</v>
      </c>
      <c r="D26" s="59">
        <f t="shared" si="35"/>
        <v>-10636.097177314907</v>
      </c>
      <c r="E26" s="59">
        <f t="shared" si="35"/>
        <v>27078.402297771067</v>
      </c>
      <c r="F26" s="59">
        <f t="shared" si="35"/>
        <v>3051.9316856666396</v>
      </c>
      <c r="G26" s="59">
        <f t="shared" si="35"/>
        <v>-1630.5700284223294</v>
      </c>
      <c r="H26" s="59">
        <f t="shared" si="35"/>
        <v>14984.913476952061</v>
      </c>
      <c r="I26" s="59">
        <f t="shared" ref="I26:K26" si="36">I24-I25</f>
        <v>-102793.90984406268</v>
      </c>
      <c r="J26" s="59">
        <f t="shared" si="36"/>
        <v>0</v>
      </c>
      <c r="K26" s="59">
        <f t="shared" si="36"/>
        <v>0</v>
      </c>
      <c r="L26" s="54">
        <f>L24-L25</f>
        <v>24579.938521639531</v>
      </c>
      <c r="M26" s="67"/>
      <c r="N26" s="67"/>
      <c r="O26" s="67"/>
      <c r="W26" s="52" t="s">
        <v>59</v>
      </c>
      <c r="AM26" s="52" t="s">
        <v>60</v>
      </c>
      <c r="AN26" s="52" t="s">
        <v>59</v>
      </c>
    </row>
    <row r="27" spans="1:41">
      <c r="A27" s="158">
        <v>21</v>
      </c>
      <c r="B27" s="52" t="s">
        <v>63</v>
      </c>
      <c r="C27" s="61">
        <f t="shared" ref="C27:L27" si="37">C26/C7</f>
        <v>2.8822736963817281E-2</v>
      </c>
      <c r="D27" s="61">
        <f t="shared" ref="D27:K27" si="38">D26/D7</f>
        <v>-1.938064354467002E-2</v>
      </c>
      <c r="E27" s="61">
        <f t="shared" si="38"/>
        <v>3.130451132690297E-2</v>
      </c>
      <c r="F27" s="61">
        <f t="shared" si="38"/>
        <v>2.1232306147673852E-2</v>
      </c>
      <c r="G27" s="61">
        <f t="shared" si="38"/>
        <v>-1.0259028743062348E-2</v>
      </c>
      <c r="H27" s="61">
        <f t="shared" si="38"/>
        <v>2.5649435960686147E-2</v>
      </c>
      <c r="I27" s="61">
        <f t="shared" si="38"/>
        <v>-0.10279390984406268</v>
      </c>
      <c r="J27" s="61" t="e">
        <f t="shared" si="38"/>
        <v>#DIV/0!</v>
      </c>
      <c r="K27" s="61" t="e">
        <f t="shared" si="38"/>
        <v>#DIV/0!</v>
      </c>
      <c r="L27" s="61">
        <f t="shared" si="37"/>
        <v>6.1408395637043822E-3</v>
      </c>
      <c r="M27" s="67"/>
      <c r="N27" s="67"/>
      <c r="O27" s="67"/>
      <c r="W27" s="52" t="s">
        <v>63</v>
      </c>
      <c r="AM27" s="52" t="s">
        <v>62</v>
      </c>
      <c r="AN27" s="52" t="s">
        <v>63</v>
      </c>
    </row>
    <row r="28" spans="1:41">
      <c r="M28" s="67"/>
      <c r="N28" s="67"/>
      <c r="O28" s="67"/>
      <c r="W28" s="52"/>
    </row>
    <row r="29" spans="1:41">
      <c r="A29" s="48" t="s">
        <v>64</v>
      </c>
      <c r="L29" s="49" t="s">
        <v>148</v>
      </c>
      <c r="M29" s="67"/>
      <c r="N29" s="67"/>
      <c r="O29" s="67"/>
      <c r="W29" s="52"/>
      <c r="AM29" s="48" t="s">
        <v>64</v>
      </c>
    </row>
    <row r="30" spans="1:41">
      <c r="A30" s="52" t="s">
        <v>65</v>
      </c>
      <c r="B30" s="55" t="s">
        <v>66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7"/>
      <c r="N30" s="67"/>
      <c r="O30" s="67"/>
      <c r="Q30" s="67"/>
      <c r="W30" s="55" t="s">
        <v>66</v>
      </c>
      <c r="AM30" s="52" t="s">
        <v>67</v>
      </c>
      <c r="AN30" s="55" t="s">
        <v>66</v>
      </c>
    </row>
    <row r="31" spans="1:41">
      <c r="A31" s="158">
        <v>1</v>
      </c>
      <c r="B31" s="57" t="s">
        <v>68</v>
      </c>
      <c r="C31" s="63">
        <f>销量!C8</f>
        <v>1170</v>
      </c>
      <c r="D31" s="63">
        <f>销量!D8</f>
        <v>1372</v>
      </c>
      <c r="E31" s="63">
        <f>销量!E8</f>
        <v>1730</v>
      </c>
      <c r="F31" s="63">
        <f>销量!F8</f>
        <v>1437.4</v>
      </c>
      <c r="G31" s="63">
        <f>销量!G8</f>
        <v>1589.4</v>
      </c>
      <c r="H31" s="63">
        <f>销量!H8</f>
        <v>1947.4</v>
      </c>
      <c r="I31" s="63">
        <f>销量!I8</f>
        <v>500</v>
      </c>
      <c r="J31" s="63">
        <f>销量!J8</f>
        <v>0</v>
      </c>
      <c r="K31" s="63">
        <f>销量!K8</f>
        <v>0</v>
      </c>
      <c r="L31" s="59"/>
      <c r="M31" s="67"/>
      <c r="N31" s="67"/>
      <c r="O31" s="67"/>
      <c r="Q31" s="67"/>
      <c r="W31" s="52" t="s">
        <v>68</v>
      </c>
      <c r="AM31" s="52" t="s">
        <v>22</v>
      </c>
      <c r="AN31" s="52" t="s">
        <v>68</v>
      </c>
    </row>
    <row r="32" spans="1:41">
      <c r="A32" s="158">
        <v>2</v>
      </c>
      <c r="B32" s="52" t="s">
        <v>149</v>
      </c>
      <c r="C32" s="54">
        <f>C9/C6</f>
        <v>1170</v>
      </c>
      <c r="D32" s="54">
        <f t="shared" ref="D32:K32" si="39">D9/D6</f>
        <v>1372</v>
      </c>
      <c r="E32" s="54">
        <f t="shared" si="39"/>
        <v>1730</v>
      </c>
      <c r="F32" s="54">
        <f t="shared" si="39"/>
        <v>1437.4</v>
      </c>
      <c r="G32" s="54">
        <f t="shared" si="39"/>
        <v>1589.4</v>
      </c>
      <c r="H32" s="54">
        <f t="shared" si="39"/>
        <v>1947.4</v>
      </c>
      <c r="I32" s="54">
        <f t="shared" si="39"/>
        <v>500</v>
      </c>
      <c r="J32" s="54" t="e">
        <f t="shared" si="39"/>
        <v>#DIV/0!</v>
      </c>
      <c r="K32" s="54" t="e">
        <f t="shared" si="39"/>
        <v>#DIV/0!</v>
      </c>
      <c r="L32" s="59"/>
      <c r="M32" s="67"/>
      <c r="N32" s="67"/>
      <c r="O32" s="67"/>
      <c r="P32" s="67"/>
      <c r="Q32" s="67"/>
      <c r="R32" s="67"/>
      <c r="S32" s="67"/>
      <c r="AM32" s="52"/>
      <c r="AN32" s="52"/>
    </row>
    <row r="33" spans="1:40">
      <c r="A33" s="158">
        <v>3</v>
      </c>
      <c r="B33" s="57" t="s">
        <v>69</v>
      </c>
      <c r="C33" s="54">
        <f>材料成本!D15</f>
        <v>977.00382200311174</v>
      </c>
      <c r="D33" s="54">
        <f>材料成本!E15</f>
        <v>1227.933534609954</v>
      </c>
      <c r="E33" s="54">
        <f>材料成本!F15</f>
        <v>1447.0382188726105</v>
      </c>
      <c r="F33" s="54">
        <f>材料成本!G15</f>
        <v>1218.7260691911115</v>
      </c>
      <c r="G33" s="54">
        <f>材料成本!H15</f>
        <v>1426.5941919508898</v>
      </c>
      <c r="H33" s="54">
        <f>材料成本!I15</f>
        <v>1645.6988762135463</v>
      </c>
      <c r="I33" s="54">
        <f>材料成本!J15</f>
        <v>478.40424658869802</v>
      </c>
      <c r="J33" s="54">
        <f>材料成本!K15</f>
        <v>0</v>
      </c>
      <c r="K33" s="54">
        <f>材料成本!L15</f>
        <v>0</v>
      </c>
      <c r="L33" s="59"/>
      <c r="N33" s="67"/>
      <c r="O33" s="67"/>
      <c r="P33" s="67"/>
      <c r="Q33" s="67"/>
      <c r="R33" s="67"/>
      <c r="S33" s="67"/>
      <c r="W33" s="52" t="s">
        <v>69</v>
      </c>
      <c r="AM33" s="52" t="s">
        <v>24</v>
      </c>
      <c r="AN33" s="52" t="s">
        <v>69</v>
      </c>
    </row>
    <row r="34" spans="1:40" ht="17.25" customHeight="1">
      <c r="A34" s="158">
        <v>4</v>
      </c>
      <c r="B34" s="52" t="s">
        <v>71</v>
      </c>
      <c r="C34" s="64">
        <f>C32-C33</f>
        <v>192.99617799688826</v>
      </c>
      <c r="D34" s="64">
        <f t="shared" ref="D34:K34" si="40">D32-D33</f>
        <v>144.06646539004601</v>
      </c>
      <c r="E34" s="64">
        <f t="shared" si="40"/>
        <v>282.96178112738949</v>
      </c>
      <c r="F34" s="64">
        <f t="shared" si="40"/>
        <v>218.6739308088886</v>
      </c>
      <c r="G34" s="64">
        <f t="shared" si="40"/>
        <v>162.80580804911028</v>
      </c>
      <c r="H34" s="64">
        <f t="shared" si="40"/>
        <v>301.70112378645376</v>
      </c>
      <c r="I34" s="64">
        <f t="shared" si="40"/>
        <v>21.595753411301985</v>
      </c>
      <c r="J34" s="64" t="e">
        <f t="shared" si="40"/>
        <v>#DIV/0!</v>
      </c>
      <c r="K34" s="64" t="e">
        <f t="shared" si="40"/>
        <v>#DIV/0!</v>
      </c>
      <c r="L34" s="59"/>
      <c r="N34" s="67"/>
      <c r="O34" s="67"/>
      <c r="P34" s="67"/>
      <c r="Q34" s="67"/>
      <c r="R34" s="67"/>
      <c r="S34" s="67"/>
      <c r="W34" s="52" t="s">
        <v>71</v>
      </c>
      <c r="AM34" s="52" t="s">
        <v>70</v>
      </c>
      <c r="AN34" s="52" t="s">
        <v>71</v>
      </c>
    </row>
    <row r="35" spans="1:40">
      <c r="A35" s="52" t="s">
        <v>67</v>
      </c>
      <c r="B35" s="55" t="s">
        <v>10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55" t="s">
        <v>10</v>
      </c>
      <c r="AM35" s="52" t="s">
        <v>73</v>
      </c>
      <c r="AN35" s="55" t="s">
        <v>10</v>
      </c>
    </row>
    <row r="36" spans="1:40">
      <c r="A36" s="158">
        <v>1</v>
      </c>
      <c r="B36" s="52" t="s">
        <v>74</v>
      </c>
      <c r="C36" s="58">
        <f>'2023年'!C36</f>
        <v>55.341000000000001</v>
      </c>
      <c r="D36" s="58">
        <f>'2023年'!D36</f>
        <v>64.895600000000002</v>
      </c>
      <c r="E36" s="58">
        <f>'2023年'!E36</f>
        <v>81.829000000000008</v>
      </c>
      <c r="F36" s="58">
        <f>'2023年'!F36</f>
        <v>67.989020000000011</v>
      </c>
      <c r="G36" s="58">
        <f>'2023年'!G36</f>
        <v>75.178620000000009</v>
      </c>
      <c r="H36" s="58">
        <f>'2023年'!H36</f>
        <v>92.112020000000001</v>
      </c>
      <c r="I36" s="58">
        <f>'2023年'!I36</f>
        <v>23.650000000000002</v>
      </c>
      <c r="J36" s="58">
        <f>'2023年'!J36</f>
        <v>0</v>
      </c>
      <c r="K36" s="58">
        <f>'2023年'!K36</f>
        <v>0</v>
      </c>
      <c r="L36" s="63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52" t="s">
        <v>74</v>
      </c>
      <c r="AM36" s="52" t="s">
        <v>70</v>
      </c>
      <c r="AN36" s="52" t="s">
        <v>74</v>
      </c>
    </row>
    <row r="37" spans="1:40">
      <c r="A37" s="158">
        <v>2</v>
      </c>
      <c r="B37" s="52" t="s">
        <v>75</v>
      </c>
      <c r="C37" s="58">
        <f>'2023年'!C37</f>
        <v>17.198999999999998</v>
      </c>
      <c r="D37" s="58">
        <f>'2023年'!D37</f>
        <v>20.168399999999998</v>
      </c>
      <c r="E37" s="58">
        <f>'2023年'!E37</f>
        <v>25.431000000000001</v>
      </c>
      <c r="F37" s="58">
        <f>'2023年'!F37</f>
        <v>21.12978</v>
      </c>
      <c r="G37" s="58">
        <f>'2023年'!G37</f>
        <v>23.364180000000001</v>
      </c>
      <c r="H37" s="58">
        <f>'2023年'!H37</f>
        <v>28.62678</v>
      </c>
      <c r="I37" s="58">
        <f>'2023年'!I37</f>
        <v>7.35</v>
      </c>
      <c r="J37" s="58">
        <f>'2023年'!J37</f>
        <v>0</v>
      </c>
      <c r="K37" s="58">
        <f>'2023年'!K37</f>
        <v>0</v>
      </c>
      <c r="L37" s="63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52" t="s">
        <v>75</v>
      </c>
      <c r="AM37" s="52" t="s">
        <v>27</v>
      </c>
      <c r="AN37" s="52" t="s">
        <v>75</v>
      </c>
    </row>
    <row r="38" spans="1:40">
      <c r="A38" s="158">
        <v>3</v>
      </c>
      <c r="B38" s="52" t="s">
        <v>76</v>
      </c>
      <c r="C38" s="58">
        <f>'2023年'!C38</f>
        <v>11.700000000000001</v>
      </c>
      <c r="D38" s="58">
        <f>'2023年'!D38</f>
        <v>13.72</v>
      </c>
      <c r="E38" s="58">
        <f>'2023年'!E38</f>
        <v>17.3</v>
      </c>
      <c r="F38" s="58">
        <f>'2023年'!F38</f>
        <v>14.374000000000001</v>
      </c>
      <c r="G38" s="58">
        <f>'2023年'!G38</f>
        <v>0</v>
      </c>
      <c r="H38" s="58">
        <f>'2023年'!H38</f>
        <v>19.474</v>
      </c>
      <c r="I38" s="58">
        <f>'2023年'!I38</f>
        <v>5</v>
      </c>
      <c r="J38" s="58">
        <f>'2023年'!J38</f>
        <v>0</v>
      </c>
      <c r="K38" s="58">
        <f>'2023年'!K38</f>
        <v>0</v>
      </c>
      <c r="L38" s="63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52" t="s">
        <v>76</v>
      </c>
      <c r="AM38" s="52" t="s">
        <v>33</v>
      </c>
      <c r="AN38" s="52" t="s">
        <v>76</v>
      </c>
    </row>
    <row r="39" spans="1:40">
      <c r="A39" s="52" t="s">
        <v>73</v>
      </c>
      <c r="B39" s="55" t="s">
        <v>78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W39" s="55" t="s">
        <v>78</v>
      </c>
      <c r="AM39" s="52" t="s">
        <v>77</v>
      </c>
      <c r="AN39" s="55" t="s">
        <v>78</v>
      </c>
    </row>
    <row r="40" spans="1:40">
      <c r="A40" s="158">
        <v>1</v>
      </c>
      <c r="B40" s="52" t="s">
        <v>80</v>
      </c>
      <c r="C40" s="59">
        <f>C34-C36-C37-C38</f>
        <v>108.75617799688825</v>
      </c>
      <c r="D40" s="59">
        <f t="shared" ref="D40:K40" si="41">D34-D36-D37-D38</f>
        <v>45.282465390046006</v>
      </c>
      <c r="E40" s="59">
        <f t="shared" si="41"/>
        <v>158.40178112738946</v>
      </c>
      <c r="F40" s="59">
        <f t="shared" si="41"/>
        <v>115.18113080888858</v>
      </c>
      <c r="G40" s="59">
        <f t="shared" si="41"/>
        <v>64.263008049110269</v>
      </c>
      <c r="H40" s="59">
        <f t="shared" si="41"/>
        <v>161.48832378645378</v>
      </c>
      <c r="I40" s="59">
        <f t="shared" si="41"/>
        <v>-14.404246588698017</v>
      </c>
      <c r="J40" s="59" t="e">
        <f t="shared" si="41"/>
        <v>#DIV/0!</v>
      </c>
      <c r="K40" s="59" t="e">
        <f t="shared" si="41"/>
        <v>#DIV/0!</v>
      </c>
      <c r="L40" s="59"/>
      <c r="W40" s="52" t="s">
        <v>80</v>
      </c>
      <c r="AM40" s="52" t="s">
        <v>22</v>
      </c>
      <c r="AN40" s="52" t="s">
        <v>80</v>
      </c>
    </row>
    <row r="41" spans="1:40">
      <c r="A41" s="158">
        <v>2</v>
      </c>
      <c r="B41" s="52" t="s">
        <v>81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W41" s="52" t="s">
        <v>81</v>
      </c>
      <c r="AM41" s="52" t="s">
        <v>24</v>
      </c>
      <c r="AN41" s="52" t="s">
        <v>81</v>
      </c>
    </row>
    <row r="42" spans="1:40">
      <c r="A42" s="52" t="s">
        <v>77</v>
      </c>
      <c r="B42" s="55" t="s">
        <v>83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W42" s="55" t="s">
        <v>83</v>
      </c>
      <c r="AM42" s="52" t="s">
        <v>82</v>
      </c>
      <c r="AN42" s="55" t="s">
        <v>83</v>
      </c>
    </row>
    <row r="43" spans="1:40">
      <c r="A43" s="158">
        <v>1</v>
      </c>
      <c r="B43" s="60" t="s">
        <v>84</v>
      </c>
      <c r="C43" s="58">
        <f>'2023年'!C43</f>
        <v>0</v>
      </c>
      <c r="D43" s="58">
        <f>'2023年'!D43</f>
        <v>0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>
        <f>'2023年'!H43</f>
        <v>0</v>
      </c>
      <c r="I43" s="58">
        <f>'2023年'!I43</f>
        <v>0</v>
      </c>
      <c r="J43" s="58">
        <f>'2023年'!J43</f>
        <v>0</v>
      </c>
      <c r="K43" s="58">
        <f>'2023年'!K43</f>
        <v>0</v>
      </c>
      <c r="L43" s="59"/>
      <c r="W43" s="52" t="s">
        <v>84</v>
      </c>
      <c r="AM43" s="52" t="s">
        <v>22</v>
      </c>
      <c r="AN43" s="52" t="s">
        <v>84</v>
      </c>
    </row>
    <row r="44" spans="1:40">
      <c r="A44" s="158">
        <v>2</v>
      </c>
      <c r="B44" s="60" t="s">
        <v>85</v>
      </c>
      <c r="C44" s="58">
        <f>'2023年'!C44</f>
        <v>0</v>
      </c>
      <c r="D44" s="58">
        <f>'2023年'!D44</f>
        <v>0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>
        <f>'2023年'!H44</f>
        <v>0</v>
      </c>
      <c r="I44" s="58">
        <f>'2023年'!I44</f>
        <v>0</v>
      </c>
      <c r="J44" s="58">
        <f>'2023年'!J44</f>
        <v>0</v>
      </c>
      <c r="K44" s="58">
        <f>'2023年'!K44</f>
        <v>0</v>
      </c>
      <c r="L44" s="59"/>
      <c r="W44" s="52" t="s">
        <v>85</v>
      </c>
      <c r="AM44" s="52" t="s">
        <v>24</v>
      </c>
      <c r="AN44" s="52" t="s">
        <v>85</v>
      </c>
    </row>
    <row r="45" spans="1:40">
      <c r="A45" s="158">
        <v>3</v>
      </c>
      <c r="B45" s="60" t="s">
        <v>86</v>
      </c>
      <c r="C45" s="58">
        <f>'2023年'!C45</f>
        <v>0</v>
      </c>
      <c r="D45" s="58">
        <f>'2023年'!D45</f>
        <v>0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>
        <f>'2023年'!H45</f>
        <v>0</v>
      </c>
      <c r="I45" s="58">
        <f>'2023年'!I45</f>
        <v>0</v>
      </c>
      <c r="J45" s="58">
        <f>'2023年'!J45</f>
        <v>0</v>
      </c>
      <c r="K45" s="58">
        <f>'2023年'!K45</f>
        <v>0</v>
      </c>
      <c r="L45" s="59"/>
      <c r="W45" s="52" t="s">
        <v>86</v>
      </c>
      <c r="AM45" s="52" t="s">
        <v>70</v>
      </c>
      <c r="AN45" s="52" t="s">
        <v>86</v>
      </c>
    </row>
    <row r="46" spans="1:40" s="47" customFormat="1">
      <c r="A46" s="158">
        <v>4</v>
      </c>
      <c r="B46" s="60" t="s">
        <v>87</v>
      </c>
      <c r="C46" s="65">
        <f>C21/C6</f>
        <v>6.6416666666666666</v>
      </c>
      <c r="D46" s="65">
        <f t="shared" ref="D46:K46" si="42">D21/D6</f>
        <v>6.6416666666666666</v>
      </c>
      <c r="E46" s="65">
        <f t="shared" si="42"/>
        <v>6.6416666666666666</v>
      </c>
      <c r="F46" s="65">
        <f t="shared" si="42"/>
        <v>6.6416666666666666</v>
      </c>
      <c r="G46" s="65">
        <f t="shared" si="42"/>
        <v>6.6416666666666666</v>
      </c>
      <c r="H46" s="65">
        <f t="shared" si="42"/>
        <v>6.6416666666666666</v>
      </c>
      <c r="I46" s="65">
        <f t="shared" si="42"/>
        <v>6.6416666666666666</v>
      </c>
      <c r="J46" s="65" t="e">
        <f t="shared" si="42"/>
        <v>#DIV/0!</v>
      </c>
      <c r="K46" s="65" t="e">
        <f t="shared" si="42"/>
        <v>#DIV/0!</v>
      </c>
      <c r="L46" s="65"/>
      <c r="W46" s="60" t="s">
        <v>89</v>
      </c>
      <c r="AM46" s="60" t="s">
        <v>30</v>
      </c>
      <c r="AN46" s="60" t="s">
        <v>89</v>
      </c>
    </row>
    <row r="47" spans="1:40" s="47" customFormat="1">
      <c r="A47" s="158">
        <v>5</v>
      </c>
      <c r="B47" s="60" t="s">
        <v>89</v>
      </c>
      <c r="C47" s="65">
        <f>'2023年'!C47</f>
        <v>46.800000000000004</v>
      </c>
      <c r="D47" s="65">
        <f>'2023年'!D47</f>
        <v>54.88</v>
      </c>
      <c r="E47" s="65">
        <f>'2023年'!E47</f>
        <v>69.2</v>
      </c>
      <c r="F47" s="65">
        <f>'2023年'!F47</f>
        <v>57.496000000000002</v>
      </c>
      <c r="G47" s="65">
        <f>'2023年'!G47</f>
        <v>63.576000000000008</v>
      </c>
      <c r="H47" s="65">
        <f>'2023年'!H47</f>
        <v>77.896000000000001</v>
      </c>
      <c r="I47" s="65">
        <f>'2023年'!I47</f>
        <v>20</v>
      </c>
      <c r="J47" s="65">
        <f>'2023年'!J47</f>
        <v>0</v>
      </c>
      <c r="K47" s="65">
        <f>'2023年'!K47</f>
        <v>0</v>
      </c>
      <c r="L47" s="65"/>
      <c r="W47" s="60" t="s">
        <v>89</v>
      </c>
      <c r="AM47" s="60" t="s">
        <v>30</v>
      </c>
      <c r="AN47" s="60" t="s">
        <v>89</v>
      </c>
    </row>
    <row r="48" spans="1:40">
      <c r="A48" s="52" t="s">
        <v>82</v>
      </c>
      <c r="B48" s="55" t="s">
        <v>100</v>
      </c>
      <c r="C48" s="59">
        <f>C40-C43-C44-C45-C47-C46</f>
        <v>55.314511330221585</v>
      </c>
      <c r="D48" s="59">
        <f t="shared" ref="D48:K48" si="43">D40-D43-D44-D45-D47-D46</f>
        <v>-16.239201276620662</v>
      </c>
      <c r="E48" s="59">
        <f t="shared" si="43"/>
        <v>82.560114460722787</v>
      </c>
      <c r="F48" s="59">
        <f t="shared" si="43"/>
        <v>51.043464142221914</v>
      </c>
      <c r="G48" s="59">
        <f t="shared" si="43"/>
        <v>-5.9546586175564054</v>
      </c>
      <c r="H48" s="59">
        <f t="shared" si="43"/>
        <v>76.95065711978711</v>
      </c>
      <c r="I48" s="59">
        <f t="shared" si="43"/>
        <v>-41.045913255364681</v>
      </c>
      <c r="J48" s="59" t="e">
        <f t="shared" si="43"/>
        <v>#DIV/0!</v>
      </c>
      <c r="K48" s="59" t="e">
        <f t="shared" si="43"/>
        <v>#DIV/0!</v>
      </c>
      <c r="L48" s="59"/>
      <c r="W48" s="55" t="s">
        <v>100</v>
      </c>
      <c r="AM48" s="52" t="s">
        <v>99</v>
      </c>
      <c r="AN48" s="55" t="s">
        <v>100</v>
      </c>
    </row>
    <row r="51" spans="2:17">
      <c r="C51" s="66"/>
      <c r="D51" s="66"/>
      <c r="E51" s="66"/>
      <c r="F51" s="66"/>
      <c r="G51" s="66"/>
      <c r="H51" s="66"/>
      <c r="I51" s="66"/>
      <c r="J51" s="66"/>
      <c r="K51" s="66"/>
    </row>
    <row r="54" spans="2:17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7"/>
      <c r="N54" s="67"/>
      <c r="O54" s="67"/>
      <c r="P54" s="67"/>
      <c r="Q54" s="67"/>
    </row>
    <row r="55" spans="2:17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7"/>
      <c r="N55" s="67"/>
      <c r="O55" s="67"/>
      <c r="P55" s="67"/>
      <c r="Q55" s="67"/>
    </row>
    <row r="56" spans="2:17"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7"/>
      <c r="N56" s="67"/>
      <c r="O56" s="67"/>
      <c r="P56" s="67"/>
      <c r="Q56" s="67"/>
    </row>
    <row r="57" spans="2:17"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7"/>
      <c r="N57" s="67"/>
      <c r="O57" s="67"/>
      <c r="P57" s="67"/>
      <c r="Q57" s="67"/>
    </row>
    <row r="58" spans="2:17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7"/>
      <c r="N58" s="67"/>
      <c r="O58" s="67"/>
      <c r="P58" s="67"/>
      <c r="Q58" s="67"/>
    </row>
    <row r="59" spans="2:17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7"/>
      <c r="N59" s="67"/>
      <c r="O59" s="67"/>
      <c r="P59" s="67"/>
      <c r="Q59" s="67"/>
    </row>
    <row r="60" spans="2:17"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7"/>
      <c r="N60" s="67"/>
      <c r="O60" s="67"/>
      <c r="P60" s="67"/>
      <c r="Q60" s="67"/>
    </row>
    <row r="61" spans="2:17"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7"/>
      <c r="N61" s="67"/>
      <c r="O61" s="67"/>
      <c r="P61" s="67"/>
      <c r="Q61" s="67"/>
    </row>
    <row r="62" spans="2:17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7"/>
      <c r="N62" s="67"/>
      <c r="O62" s="67"/>
      <c r="P62" s="67"/>
      <c r="Q62" s="67"/>
    </row>
    <row r="63" spans="2:17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7"/>
      <c r="N63" s="67"/>
      <c r="O63" s="67"/>
      <c r="P63" s="67"/>
      <c r="Q63" s="67"/>
    </row>
    <row r="64" spans="2:17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7"/>
      <c r="N64" s="67"/>
      <c r="O64" s="67"/>
      <c r="P64" s="67"/>
      <c r="Q64" s="67"/>
    </row>
    <row r="65" spans="2:17"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7"/>
      <c r="N65" s="67"/>
      <c r="O65" s="67"/>
      <c r="P65" s="67"/>
      <c r="Q65" s="67"/>
    </row>
    <row r="66" spans="2:17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7"/>
      <c r="N66" s="67"/>
      <c r="O66" s="67"/>
      <c r="P66" s="67"/>
      <c r="Q66" s="67"/>
    </row>
    <row r="67" spans="2:17">
      <c r="B67" s="67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7"/>
    </row>
    <row r="68" spans="2:17"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7"/>
    </row>
    <row r="69" spans="2:17">
      <c r="B69" s="67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7"/>
    </row>
    <row r="70" spans="2:17">
      <c r="B70" s="67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7"/>
    </row>
    <row r="71" spans="2:17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7"/>
    </row>
    <row r="72" spans="2:17">
      <c r="B72" s="67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7"/>
    </row>
    <row r="73" spans="2:17"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7"/>
    </row>
    <row r="74" spans="2:17"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7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zoomScale="90" zoomScaleNormal="90" workbookViewId="0">
      <pane xSplit="2" ySplit="7" topLeftCell="C11" activePane="bottomRight" state="frozen"/>
      <selection pane="topRight"/>
      <selection pane="bottomLeft"/>
      <selection pane="bottomRight" activeCell="L22" sqref="L22"/>
    </sheetView>
  </sheetViews>
  <sheetFormatPr defaultColWidth="9" defaultRowHeight="16.5"/>
  <cols>
    <col min="1" max="1" width="5.125" style="48" customWidth="1"/>
    <col min="2" max="2" width="17.5" style="48" customWidth="1"/>
    <col min="3" max="11" width="13.25" style="49" customWidth="1"/>
    <col min="12" max="12" width="18.75" style="49" customWidth="1"/>
    <col min="13" max="13" width="12.375" style="48" customWidth="1"/>
    <col min="14" max="14" width="10.125" style="48" customWidth="1"/>
    <col min="15" max="21" width="9" style="48" customWidth="1"/>
    <col min="22" max="38" width="9" style="48"/>
    <col min="39" max="39" width="4.375" style="48" customWidth="1"/>
    <col min="40" max="40" width="13.875" style="48" customWidth="1"/>
    <col min="41" max="16384" width="9" style="48"/>
  </cols>
  <sheetData>
    <row r="1" spans="1:41">
      <c r="A1" s="234" t="s">
        <v>140</v>
      </c>
      <c r="B1" s="234"/>
      <c r="C1" s="238" t="s">
        <v>288</v>
      </c>
      <c r="D1" s="239"/>
      <c r="E1" s="239"/>
      <c r="F1" s="239"/>
      <c r="G1" s="239"/>
      <c r="H1" s="239"/>
      <c r="I1" s="239"/>
      <c r="J1" s="239"/>
      <c r="K1" s="239"/>
      <c r="L1" s="240"/>
    </row>
    <row r="2" spans="1:41">
      <c r="A2" s="234" t="s">
        <v>141</v>
      </c>
      <c r="B2" s="234"/>
      <c r="C2" s="241" t="str">
        <f>'2023年'!C2:L2</f>
        <v>成都王牌</v>
      </c>
      <c r="D2" s="241"/>
      <c r="E2" s="241"/>
      <c r="F2" s="241"/>
      <c r="G2" s="241"/>
      <c r="H2" s="241"/>
      <c r="I2" s="241"/>
      <c r="J2" s="241"/>
      <c r="K2" s="241"/>
      <c r="L2" s="241"/>
    </row>
    <row r="3" spans="1:41">
      <c r="A3" s="234" t="s">
        <v>142</v>
      </c>
      <c r="B3" s="234"/>
      <c r="C3" s="159" t="str">
        <f>销量!C5</f>
        <v>正司机</v>
      </c>
      <c r="D3" s="159" t="str">
        <f>销量!D5</f>
        <v>正司机</v>
      </c>
      <c r="E3" s="159" t="str">
        <f>销量!E5</f>
        <v>正司机</v>
      </c>
      <c r="F3" s="159" t="str">
        <f>销量!F5</f>
        <v>正司机</v>
      </c>
      <c r="G3" s="159" t="str">
        <f>销量!G5</f>
        <v>正司机</v>
      </c>
      <c r="H3" s="159" t="str">
        <f>销量!H5</f>
        <v>正司机</v>
      </c>
      <c r="I3" s="159" t="str">
        <f>销量!I5</f>
        <v>副司机</v>
      </c>
      <c r="J3" s="159">
        <f>销量!J5</f>
        <v>0</v>
      </c>
      <c r="K3" s="159">
        <f>销量!K5</f>
        <v>0</v>
      </c>
      <c r="L3" s="235" t="s">
        <v>18</v>
      </c>
    </row>
    <row r="4" spans="1:41">
      <c r="A4" s="234" t="s">
        <v>143</v>
      </c>
      <c r="B4" s="234"/>
      <c r="C4" s="159" t="str">
        <f>销量!C6</f>
        <v>EZ160051000001</v>
      </c>
      <c r="D4" s="159" t="str">
        <f>销量!D6</f>
        <v>EZ160051000002</v>
      </c>
      <c r="E4" s="159" t="str">
        <f>销量!E6</f>
        <v>EZ160051000003</v>
      </c>
      <c r="F4" s="159" t="str">
        <f>销量!F6</f>
        <v>EZ160051000004</v>
      </c>
      <c r="G4" s="159" t="str">
        <f>销量!G6</f>
        <v>EZ160051000005</v>
      </c>
      <c r="H4" s="159" t="str">
        <f>销量!H6</f>
        <v>EZ160051000004</v>
      </c>
      <c r="I4" s="159" t="str">
        <f>销量!I6</f>
        <v>EZ16B251000008</v>
      </c>
      <c r="J4" s="159">
        <f>销量!J6</f>
        <v>0</v>
      </c>
      <c r="K4" s="159">
        <f>销量!K6</f>
        <v>0</v>
      </c>
      <c r="L4" s="236"/>
    </row>
    <row r="5" spans="1:41">
      <c r="A5" s="234" t="s">
        <v>144</v>
      </c>
      <c r="B5" s="234"/>
      <c r="C5" s="51"/>
      <c r="D5" s="51"/>
      <c r="E5" s="51"/>
      <c r="F5" s="51"/>
      <c r="G5" s="51"/>
      <c r="H5" s="51"/>
      <c r="I5" s="182"/>
      <c r="J5" s="182"/>
      <c r="K5" s="182"/>
      <c r="L5" s="237"/>
      <c r="AO5" s="48" t="s">
        <v>19</v>
      </c>
    </row>
    <row r="6" spans="1:41" ht="17.25">
      <c r="A6" s="52" t="s">
        <v>17</v>
      </c>
      <c r="B6" s="53" t="s">
        <v>145</v>
      </c>
      <c r="C6" s="22">
        <f>销量!C11</f>
        <v>600</v>
      </c>
      <c r="D6" s="22">
        <f>销量!D11</f>
        <v>800</v>
      </c>
      <c r="E6" s="22">
        <f>销量!E11</f>
        <v>300</v>
      </c>
      <c r="F6" s="22">
        <f>销量!F11</f>
        <v>200</v>
      </c>
      <c r="G6" s="22">
        <f>销量!G11</f>
        <v>400</v>
      </c>
      <c r="H6" s="22">
        <f>销量!H11</f>
        <v>200</v>
      </c>
      <c r="I6" s="22">
        <f>销量!I11</f>
        <v>2500</v>
      </c>
      <c r="J6" s="22">
        <f>销量!J11</f>
        <v>0</v>
      </c>
      <c r="K6" s="22">
        <f>销量!K11</f>
        <v>0</v>
      </c>
      <c r="L6" s="54">
        <f>SUM(C6:K6)</f>
        <v>5000</v>
      </c>
      <c r="W6" s="53" t="s">
        <v>3</v>
      </c>
      <c r="AM6" s="52" t="s">
        <v>17</v>
      </c>
      <c r="AN6" s="53" t="s">
        <v>3</v>
      </c>
      <c r="AO6" s="48" t="s">
        <v>20</v>
      </c>
    </row>
    <row r="7" spans="1:41">
      <c r="A7" s="158">
        <v>1</v>
      </c>
      <c r="B7" s="53" t="s">
        <v>21</v>
      </c>
      <c r="C7" s="54">
        <f>C6*销量!C8</f>
        <v>702000</v>
      </c>
      <c r="D7" s="54">
        <f>D6*销量!D8</f>
        <v>1097600</v>
      </c>
      <c r="E7" s="54">
        <f>E6*销量!E8</f>
        <v>519000</v>
      </c>
      <c r="F7" s="54">
        <f>F6*销量!F8</f>
        <v>287480</v>
      </c>
      <c r="G7" s="54">
        <f>G6*销量!G8</f>
        <v>635760</v>
      </c>
      <c r="H7" s="54">
        <f>H6*销量!H8</f>
        <v>389480</v>
      </c>
      <c r="I7" s="54">
        <f>I6*销量!I8</f>
        <v>1250000</v>
      </c>
      <c r="J7" s="54">
        <f>J6*销量!J8</f>
        <v>0</v>
      </c>
      <c r="K7" s="54">
        <f>K6*销量!K8</f>
        <v>0</v>
      </c>
      <c r="L7" s="54">
        <f t="shared" ref="L7:L15" si="0">SUM(C7:K7)</f>
        <v>4881320</v>
      </c>
      <c r="M7" s="49"/>
      <c r="W7" s="53" t="s">
        <v>21</v>
      </c>
      <c r="AM7" s="52" t="s">
        <v>22</v>
      </c>
      <c r="AN7" s="53" t="s">
        <v>21</v>
      </c>
      <c r="AO7" s="48" t="s">
        <v>20</v>
      </c>
    </row>
    <row r="8" spans="1:41">
      <c r="A8" s="158">
        <v>2</v>
      </c>
      <c r="B8" s="158" t="s">
        <v>23</v>
      </c>
      <c r="C8" s="54">
        <f>C7*(1-销量!$O$8)</f>
        <v>0</v>
      </c>
      <c r="D8" s="54">
        <f>D7*(1-销量!$O$8)</f>
        <v>0</v>
      </c>
      <c r="E8" s="54">
        <f>E7*(1-销量!$O$8)</f>
        <v>0</v>
      </c>
      <c r="F8" s="54">
        <f>F7*(1-销量!$O$8)</f>
        <v>0</v>
      </c>
      <c r="G8" s="54">
        <f>G7*(1-销量!$O$8)</f>
        <v>0</v>
      </c>
      <c r="H8" s="54">
        <f>H7*(1-销量!$O$8)</f>
        <v>0</v>
      </c>
      <c r="I8" s="54">
        <f>I7*(1-销量!$O$8)</f>
        <v>0</v>
      </c>
      <c r="J8" s="54">
        <f>J7*(1-销量!$O$8)</f>
        <v>0</v>
      </c>
      <c r="K8" s="54">
        <f>K7*(1-销量!$O$8)</f>
        <v>0</v>
      </c>
      <c r="L8" s="54">
        <f t="shared" si="0"/>
        <v>0</v>
      </c>
      <c r="M8" s="69"/>
      <c r="W8" s="158" t="s">
        <v>25</v>
      </c>
      <c r="AM8" s="52" t="s">
        <v>24</v>
      </c>
      <c r="AN8" s="158" t="s">
        <v>25</v>
      </c>
      <c r="AO8" s="48" t="s">
        <v>20</v>
      </c>
    </row>
    <row r="9" spans="1:41">
      <c r="A9" s="158">
        <v>3</v>
      </c>
      <c r="B9" s="53" t="s">
        <v>26</v>
      </c>
      <c r="C9" s="54">
        <f>+C7-C8</f>
        <v>702000</v>
      </c>
      <c r="D9" s="54">
        <f t="shared" ref="D9:K9" si="1">+D7-D8</f>
        <v>1097600</v>
      </c>
      <c r="E9" s="54">
        <f t="shared" si="1"/>
        <v>519000</v>
      </c>
      <c r="F9" s="54">
        <f t="shared" si="1"/>
        <v>287480</v>
      </c>
      <c r="G9" s="54">
        <f t="shared" si="1"/>
        <v>635760</v>
      </c>
      <c r="H9" s="54">
        <f t="shared" si="1"/>
        <v>389480</v>
      </c>
      <c r="I9" s="54">
        <f t="shared" si="1"/>
        <v>1250000</v>
      </c>
      <c r="J9" s="54">
        <f t="shared" si="1"/>
        <v>0</v>
      </c>
      <c r="K9" s="54">
        <f t="shared" si="1"/>
        <v>0</v>
      </c>
      <c r="L9" s="54">
        <f t="shared" si="0"/>
        <v>4881320</v>
      </c>
      <c r="W9" s="53" t="s">
        <v>26</v>
      </c>
      <c r="AM9" s="52" t="s">
        <v>27</v>
      </c>
      <c r="AN9" s="53" t="s">
        <v>26</v>
      </c>
      <c r="AO9" s="48" t="s">
        <v>28</v>
      </c>
    </row>
    <row r="10" spans="1:41">
      <c r="A10" s="158">
        <v>4</v>
      </c>
      <c r="B10" s="52" t="s">
        <v>29</v>
      </c>
      <c r="C10" s="54">
        <f>C6*C33</f>
        <v>586202.29320186703</v>
      </c>
      <c r="D10" s="54">
        <f t="shared" ref="D10:K10" si="2">D6*D33</f>
        <v>982346.82768796314</v>
      </c>
      <c r="E10" s="54">
        <f t="shared" si="2"/>
        <v>434111.46566178318</v>
      </c>
      <c r="F10" s="54">
        <f t="shared" si="2"/>
        <v>243745.21383822229</v>
      </c>
      <c r="G10" s="54">
        <f t="shared" si="2"/>
        <v>570637.67678035598</v>
      </c>
      <c r="H10" s="54">
        <f t="shared" si="2"/>
        <v>329139.77524270926</v>
      </c>
      <c r="I10" s="54">
        <f t="shared" si="2"/>
        <v>1196010.6164717451</v>
      </c>
      <c r="J10" s="54">
        <f t="shared" si="2"/>
        <v>0</v>
      </c>
      <c r="K10" s="54">
        <f t="shared" si="2"/>
        <v>0</v>
      </c>
      <c r="L10" s="54">
        <f t="shared" si="0"/>
        <v>4342193.8688846454</v>
      </c>
      <c r="W10" s="52" t="s">
        <v>29</v>
      </c>
      <c r="AM10" s="52" t="s">
        <v>30</v>
      </c>
      <c r="AN10" s="52" t="s">
        <v>29</v>
      </c>
      <c r="AO10" s="48" t="s">
        <v>31</v>
      </c>
    </row>
    <row r="11" spans="1:41">
      <c r="A11" s="158">
        <v>5</v>
      </c>
      <c r="B11" s="52" t="s">
        <v>32</v>
      </c>
      <c r="C11" s="54">
        <f>+C6*C36</f>
        <v>33204.6</v>
      </c>
      <c r="D11" s="54">
        <f t="shared" ref="D11:H11" si="3">+D6*D36</f>
        <v>51916.480000000003</v>
      </c>
      <c r="E11" s="54">
        <f t="shared" si="3"/>
        <v>24548.7</v>
      </c>
      <c r="F11" s="54">
        <f t="shared" si="3"/>
        <v>13597.804000000002</v>
      </c>
      <c r="G11" s="54">
        <f t="shared" si="3"/>
        <v>30071.448000000004</v>
      </c>
      <c r="H11" s="54">
        <f t="shared" si="3"/>
        <v>18422.403999999999</v>
      </c>
      <c r="I11" s="54">
        <f t="shared" ref="I11:K11" si="4">+I6*I36</f>
        <v>59125.000000000007</v>
      </c>
      <c r="J11" s="54">
        <f t="shared" si="4"/>
        <v>0</v>
      </c>
      <c r="K11" s="54">
        <f t="shared" si="4"/>
        <v>0</v>
      </c>
      <c r="L11" s="54">
        <f t="shared" si="0"/>
        <v>230886.43600000002</v>
      </c>
      <c r="W11" s="52" t="s">
        <v>32</v>
      </c>
      <c r="AM11" s="52" t="s">
        <v>33</v>
      </c>
      <c r="AN11" s="52" t="s">
        <v>32</v>
      </c>
    </row>
    <row r="12" spans="1:41">
      <c r="A12" s="158">
        <v>6</v>
      </c>
      <c r="B12" s="52" t="s">
        <v>34</v>
      </c>
      <c r="C12" s="54">
        <f>+C6*C37</f>
        <v>10319.4</v>
      </c>
      <c r="D12" s="54">
        <f t="shared" ref="D12:H12" si="5">+D6*D37</f>
        <v>16134.72</v>
      </c>
      <c r="E12" s="54">
        <f t="shared" si="5"/>
        <v>7629.3</v>
      </c>
      <c r="F12" s="54">
        <f t="shared" si="5"/>
        <v>4225.9560000000001</v>
      </c>
      <c r="G12" s="54">
        <f t="shared" si="5"/>
        <v>9345.6720000000005</v>
      </c>
      <c r="H12" s="54">
        <f t="shared" si="5"/>
        <v>5725.3559999999998</v>
      </c>
      <c r="I12" s="54">
        <f t="shared" ref="I12:K12" si="6">+I6*I37</f>
        <v>18375</v>
      </c>
      <c r="J12" s="54">
        <f t="shared" si="6"/>
        <v>0</v>
      </c>
      <c r="K12" s="54">
        <f t="shared" si="6"/>
        <v>0</v>
      </c>
      <c r="L12" s="54">
        <f t="shared" si="0"/>
        <v>71755.403999999995</v>
      </c>
      <c r="W12" s="52" t="s">
        <v>34</v>
      </c>
      <c r="AM12" s="52" t="s">
        <v>35</v>
      </c>
      <c r="AN12" s="52" t="s">
        <v>34</v>
      </c>
    </row>
    <row r="13" spans="1:41">
      <c r="A13" s="158">
        <v>7</v>
      </c>
      <c r="B13" s="52" t="s">
        <v>36</v>
      </c>
      <c r="C13" s="54">
        <f>+C6*C38</f>
        <v>7020.0000000000009</v>
      </c>
      <c r="D13" s="54">
        <f t="shared" ref="D13:H13" si="7">+D6*D38</f>
        <v>10976</v>
      </c>
      <c r="E13" s="54">
        <f t="shared" si="7"/>
        <v>5190</v>
      </c>
      <c r="F13" s="54">
        <f t="shared" si="7"/>
        <v>2874.8</v>
      </c>
      <c r="G13" s="54">
        <f t="shared" si="7"/>
        <v>0</v>
      </c>
      <c r="H13" s="54">
        <f t="shared" si="7"/>
        <v>3894.8</v>
      </c>
      <c r="I13" s="54">
        <f t="shared" ref="I13:K13" si="8">+I6*I38</f>
        <v>12500</v>
      </c>
      <c r="J13" s="54">
        <f t="shared" si="8"/>
        <v>0</v>
      </c>
      <c r="K13" s="54">
        <f t="shared" si="8"/>
        <v>0</v>
      </c>
      <c r="L13" s="54">
        <f t="shared" si="0"/>
        <v>42455.6</v>
      </c>
      <c r="W13" s="52" t="s">
        <v>36</v>
      </c>
      <c r="AM13" s="52" t="s">
        <v>37</v>
      </c>
      <c r="AN13" s="52" t="s">
        <v>36</v>
      </c>
      <c r="AO13" s="48" t="s">
        <v>20</v>
      </c>
    </row>
    <row r="14" spans="1:41">
      <c r="A14" s="158">
        <v>8</v>
      </c>
      <c r="B14" s="55" t="s">
        <v>38</v>
      </c>
      <c r="C14" s="54">
        <f>SUM(C11:C13)</f>
        <v>50544</v>
      </c>
      <c r="D14" s="54">
        <f t="shared" ref="D14:H14" si="9">SUM(D11:D13)</f>
        <v>79027.199999999997</v>
      </c>
      <c r="E14" s="54">
        <f t="shared" si="9"/>
        <v>37368</v>
      </c>
      <c r="F14" s="54">
        <f t="shared" si="9"/>
        <v>20698.560000000001</v>
      </c>
      <c r="G14" s="54">
        <f t="shared" si="9"/>
        <v>39417.120000000003</v>
      </c>
      <c r="H14" s="54">
        <f t="shared" si="9"/>
        <v>28042.559999999998</v>
      </c>
      <c r="I14" s="54">
        <f t="shared" ref="I14:K14" si="10">SUM(I11:I13)</f>
        <v>90000</v>
      </c>
      <c r="J14" s="54">
        <f t="shared" si="10"/>
        <v>0</v>
      </c>
      <c r="K14" s="54">
        <f t="shared" si="10"/>
        <v>0</v>
      </c>
      <c r="L14" s="54">
        <f t="shared" si="0"/>
        <v>345097.44</v>
      </c>
      <c r="W14" s="55" t="s">
        <v>38</v>
      </c>
      <c r="AM14" s="52" t="s">
        <v>39</v>
      </c>
      <c r="AN14" s="55" t="s">
        <v>38</v>
      </c>
    </row>
    <row r="15" spans="1:41">
      <c r="A15" s="158">
        <v>9</v>
      </c>
      <c r="B15" s="55" t="s">
        <v>40</v>
      </c>
      <c r="C15" s="54">
        <f>+C9-C10-C14</f>
        <v>65253.706798132975</v>
      </c>
      <c r="D15" s="54">
        <f t="shared" ref="D15:H15" si="11">+D9-D10-D14</f>
        <v>36225.972312036858</v>
      </c>
      <c r="E15" s="54">
        <f t="shared" si="11"/>
        <v>47520.534338216821</v>
      </c>
      <c r="F15" s="54">
        <f t="shared" si="11"/>
        <v>23036.226161777708</v>
      </c>
      <c r="G15" s="54">
        <f t="shared" si="11"/>
        <v>25705.20321964402</v>
      </c>
      <c r="H15" s="54">
        <f t="shared" si="11"/>
        <v>32297.664757290739</v>
      </c>
      <c r="I15" s="54">
        <f t="shared" ref="I15:K15" si="12">+I9-I10-I14</f>
        <v>-36010.616471745074</v>
      </c>
      <c r="J15" s="54">
        <f t="shared" si="12"/>
        <v>0</v>
      </c>
      <c r="K15" s="54">
        <f t="shared" si="12"/>
        <v>0</v>
      </c>
      <c r="L15" s="54">
        <f t="shared" si="0"/>
        <v>194028.69111535404</v>
      </c>
      <c r="W15" s="55" t="s">
        <v>40</v>
      </c>
      <c r="AM15" s="52" t="s">
        <v>41</v>
      </c>
      <c r="AN15" s="55" t="s">
        <v>40</v>
      </c>
    </row>
    <row r="16" spans="1:41">
      <c r="A16" s="158">
        <v>10</v>
      </c>
      <c r="B16" s="52" t="s">
        <v>42</v>
      </c>
      <c r="C16" s="56">
        <f>+C15/C9</f>
        <v>9.2953998287938711E-2</v>
      </c>
      <c r="D16" s="56">
        <f t="shared" ref="D16:H16" si="13">+D15/D9</f>
        <v>3.3004712383415506E-2</v>
      </c>
      <c r="E16" s="56">
        <f t="shared" si="13"/>
        <v>9.1561723195022773E-2</v>
      </c>
      <c r="F16" s="56">
        <f t="shared" si="13"/>
        <v>8.0131578411638052E-2</v>
      </c>
      <c r="G16" s="56">
        <f t="shared" si="13"/>
        <v>4.0432243644840854E-2</v>
      </c>
      <c r="H16" s="56">
        <f t="shared" si="13"/>
        <v>8.2925091807771231E-2</v>
      </c>
      <c r="I16" s="56">
        <f t="shared" ref="I16:K16" si="14">+I15/I9</f>
        <v>-2.8808493177396061E-2</v>
      </c>
      <c r="J16" s="56" t="e">
        <f t="shared" si="14"/>
        <v>#DIV/0!</v>
      </c>
      <c r="K16" s="56" t="e">
        <f t="shared" si="14"/>
        <v>#DIV/0!</v>
      </c>
      <c r="L16" s="56">
        <f t="shared" ref="L16" si="15">+L15/L9</f>
        <v>3.9749225847794049E-2</v>
      </c>
      <c r="W16" s="52" t="s">
        <v>42</v>
      </c>
      <c r="AM16" s="52" t="s">
        <v>43</v>
      </c>
      <c r="AN16" s="52" t="s">
        <v>42</v>
      </c>
    </row>
    <row r="17" spans="1:41">
      <c r="A17" s="158">
        <v>11</v>
      </c>
      <c r="B17" s="52" t="s">
        <v>44</v>
      </c>
      <c r="C17" s="54">
        <f>C6*C43+C18</f>
        <v>4968.5</v>
      </c>
      <c r="D17" s="54">
        <f t="shared" ref="D17:H17" si="16">D6*D43+D18</f>
        <v>6624.666666666667</v>
      </c>
      <c r="E17" s="54">
        <f t="shared" si="16"/>
        <v>2484.25</v>
      </c>
      <c r="F17" s="54">
        <f t="shared" si="16"/>
        <v>1656.1666666666667</v>
      </c>
      <c r="G17" s="54">
        <f t="shared" si="16"/>
        <v>3312.3333333333335</v>
      </c>
      <c r="H17" s="54">
        <f t="shared" si="16"/>
        <v>1656.1666666666667</v>
      </c>
      <c r="I17" s="54">
        <f t="shared" ref="I17:K17" si="17">I6*I43+I18</f>
        <v>20702.083333333336</v>
      </c>
      <c r="J17" s="54">
        <f t="shared" si="17"/>
        <v>0</v>
      </c>
      <c r="K17" s="54">
        <f t="shared" si="17"/>
        <v>0</v>
      </c>
      <c r="L17" s="54">
        <f>SUM(C17:K17)</f>
        <v>41404.166666666672</v>
      </c>
      <c r="M17" s="69"/>
      <c r="W17" s="52" t="s">
        <v>44</v>
      </c>
      <c r="AM17" s="52" t="s">
        <v>45</v>
      </c>
      <c r="AN17" s="52" t="s">
        <v>44</v>
      </c>
    </row>
    <row r="18" spans="1:41" s="46" customFormat="1">
      <c r="A18" s="158">
        <v>12</v>
      </c>
      <c r="B18" s="57" t="s">
        <v>146</v>
      </c>
      <c r="C18" s="58">
        <f>$L$18/$L$6*C6</f>
        <v>4968.5</v>
      </c>
      <c r="D18" s="58">
        <f t="shared" ref="D18:H18" si="18">$L$18/$L$6*D6</f>
        <v>6624.666666666667</v>
      </c>
      <c r="E18" s="58">
        <f t="shared" si="18"/>
        <v>2484.25</v>
      </c>
      <c r="F18" s="58">
        <f t="shared" si="18"/>
        <v>1656.1666666666667</v>
      </c>
      <c r="G18" s="58">
        <f t="shared" si="18"/>
        <v>3312.3333333333335</v>
      </c>
      <c r="H18" s="58">
        <f t="shared" si="18"/>
        <v>1656.1666666666667</v>
      </c>
      <c r="I18" s="58">
        <f t="shared" ref="I18:K18" si="19">$L$18/$L$6*I6</f>
        <v>20702.083333333336</v>
      </c>
      <c r="J18" s="58">
        <f t="shared" si="19"/>
        <v>0</v>
      </c>
      <c r="K18" s="58">
        <f t="shared" si="19"/>
        <v>0</v>
      </c>
      <c r="L18" s="58">
        <f>项目投资!F26</f>
        <v>41404.166666666664</v>
      </c>
      <c r="M18" s="70" t="s">
        <v>147</v>
      </c>
      <c r="N18" s="70"/>
      <c r="O18" s="70"/>
    </row>
    <row r="19" spans="1:41">
      <c r="A19" s="158">
        <v>13</v>
      </c>
      <c r="B19" s="52" t="s">
        <v>46</v>
      </c>
      <c r="C19" s="54">
        <f>C6*C44</f>
        <v>0</v>
      </c>
      <c r="D19" s="54">
        <f t="shared" ref="D19:H19" si="20">D6*D44</f>
        <v>0</v>
      </c>
      <c r="E19" s="54">
        <f t="shared" si="20"/>
        <v>0</v>
      </c>
      <c r="F19" s="54">
        <f t="shared" si="20"/>
        <v>0</v>
      </c>
      <c r="G19" s="54">
        <f t="shared" si="20"/>
        <v>0</v>
      </c>
      <c r="H19" s="54">
        <f t="shared" si="20"/>
        <v>0</v>
      </c>
      <c r="I19" s="54">
        <f t="shared" ref="I19:K19" si="21">I6*I44</f>
        <v>0</v>
      </c>
      <c r="J19" s="54">
        <f t="shared" si="21"/>
        <v>0</v>
      </c>
      <c r="K19" s="54">
        <f t="shared" si="21"/>
        <v>0</v>
      </c>
      <c r="L19" s="54">
        <f>SUM(C19:K19)</f>
        <v>0</v>
      </c>
      <c r="M19" s="46"/>
      <c r="W19" s="52" t="s">
        <v>46</v>
      </c>
      <c r="AM19" s="52" t="s">
        <v>47</v>
      </c>
      <c r="AN19" s="52" t="s">
        <v>46</v>
      </c>
      <c r="AO19" s="48" t="s">
        <v>20</v>
      </c>
    </row>
    <row r="20" spans="1:41">
      <c r="A20" s="158">
        <v>14</v>
      </c>
      <c r="B20" s="52" t="s">
        <v>48</v>
      </c>
      <c r="C20" s="54">
        <f>C6*C45</f>
        <v>0</v>
      </c>
      <c r="D20" s="54">
        <f t="shared" ref="D20:H20" si="22">D6*D45</f>
        <v>0</v>
      </c>
      <c r="E20" s="54">
        <f t="shared" si="22"/>
        <v>0</v>
      </c>
      <c r="F20" s="54">
        <f t="shared" si="22"/>
        <v>0</v>
      </c>
      <c r="G20" s="54">
        <f t="shared" si="22"/>
        <v>0</v>
      </c>
      <c r="H20" s="54">
        <f t="shared" si="22"/>
        <v>0</v>
      </c>
      <c r="I20" s="54">
        <f t="shared" ref="I20:K20" si="23">I6*I45</f>
        <v>0</v>
      </c>
      <c r="J20" s="54">
        <f t="shared" si="23"/>
        <v>0</v>
      </c>
      <c r="K20" s="54">
        <f t="shared" si="23"/>
        <v>0</v>
      </c>
      <c r="L20" s="54">
        <f>SUM(C20:K20)</f>
        <v>0</v>
      </c>
      <c r="W20" s="52" t="s">
        <v>48</v>
      </c>
      <c r="AM20" s="52" t="s">
        <v>49</v>
      </c>
      <c r="AN20" s="52" t="s">
        <v>48</v>
      </c>
    </row>
    <row r="21" spans="1:41">
      <c r="A21" s="158">
        <v>15</v>
      </c>
      <c r="B21" s="52" t="s">
        <v>50</v>
      </c>
      <c r="C21" s="59">
        <f>$L$21/$L$6*C6</f>
        <v>3188</v>
      </c>
      <c r="D21" s="59">
        <f t="shared" ref="D21:H21" si="24">$L$21/$L$6*D6</f>
        <v>4250.666666666667</v>
      </c>
      <c r="E21" s="59">
        <f t="shared" si="24"/>
        <v>1594</v>
      </c>
      <c r="F21" s="59">
        <f t="shared" si="24"/>
        <v>1062.6666666666667</v>
      </c>
      <c r="G21" s="59">
        <f t="shared" si="24"/>
        <v>2125.3333333333335</v>
      </c>
      <c r="H21" s="59">
        <f t="shared" si="24"/>
        <v>1062.6666666666667</v>
      </c>
      <c r="I21" s="59">
        <f t="shared" ref="I21:K21" si="25">$L$21/$L$6*I6</f>
        <v>13283.333333333334</v>
      </c>
      <c r="J21" s="59">
        <f t="shared" si="25"/>
        <v>0</v>
      </c>
      <c r="K21" s="59">
        <f t="shared" si="25"/>
        <v>0</v>
      </c>
      <c r="L21" s="54">
        <f>项目投资!F27</f>
        <v>26566.666666666668</v>
      </c>
      <c r="W21" s="52" t="s">
        <v>50</v>
      </c>
      <c r="AM21" s="52"/>
      <c r="AN21" s="52"/>
    </row>
    <row r="22" spans="1:41">
      <c r="A22" s="158">
        <v>16</v>
      </c>
      <c r="B22" s="52" t="s">
        <v>51</v>
      </c>
      <c r="C22" s="54">
        <f>C6*C47</f>
        <v>28080.000000000004</v>
      </c>
      <c r="D22" s="54">
        <f t="shared" ref="D22:H22" si="26">D6*D47</f>
        <v>43904</v>
      </c>
      <c r="E22" s="54">
        <f t="shared" si="26"/>
        <v>20760</v>
      </c>
      <c r="F22" s="54">
        <f t="shared" si="26"/>
        <v>11499.2</v>
      </c>
      <c r="G22" s="54">
        <f t="shared" si="26"/>
        <v>25430.400000000001</v>
      </c>
      <c r="H22" s="54">
        <f t="shared" si="26"/>
        <v>15579.2</v>
      </c>
      <c r="I22" s="54">
        <f t="shared" ref="I22:K22" si="27">I6*I47</f>
        <v>50000</v>
      </c>
      <c r="J22" s="54">
        <f t="shared" si="27"/>
        <v>0</v>
      </c>
      <c r="K22" s="54">
        <f t="shared" si="27"/>
        <v>0</v>
      </c>
      <c r="L22" s="54">
        <f>SUM(C22:K22)</f>
        <v>195252.80000000002</v>
      </c>
      <c r="W22" s="52" t="s">
        <v>51</v>
      </c>
      <c r="AM22" s="52" t="s">
        <v>52</v>
      </c>
      <c r="AN22" s="52" t="s">
        <v>51</v>
      </c>
    </row>
    <row r="23" spans="1:41">
      <c r="A23" s="158">
        <v>17</v>
      </c>
      <c r="B23" s="55" t="s">
        <v>53</v>
      </c>
      <c r="C23" s="59">
        <f>+C22+C21+C20+C19+C17</f>
        <v>36236.5</v>
      </c>
      <c r="D23" s="59">
        <f t="shared" ref="D23:H23" si="28">+D22+D21+D20+D19+D17</f>
        <v>54779.333333333328</v>
      </c>
      <c r="E23" s="59">
        <f t="shared" si="28"/>
        <v>24838.25</v>
      </c>
      <c r="F23" s="59">
        <f t="shared" si="28"/>
        <v>14218.033333333333</v>
      </c>
      <c r="G23" s="59">
        <f t="shared" si="28"/>
        <v>30868.066666666666</v>
      </c>
      <c r="H23" s="59">
        <f t="shared" si="28"/>
        <v>18298.033333333336</v>
      </c>
      <c r="I23" s="59">
        <f t="shared" ref="I23:K23" si="29">+I22+I21+I20+I19+I17</f>
        <v>83985.416666666672</v>
      </c>
      <c r="J23" s="59">
        <f t="shared" si="29"/>
        <v>0</v>
      </c>
      <c r="K23" s="59">
        <f t="shared" si="29"/>
        <v>0</v>
      </c>
      <c r="L23" s="59">
        <f t="shared" ref="L23" si="30">+L22+L21+L20+L19+L17</f>
        <v>263223.63333333336</v>
      </c>
      <c r="W23" s="55" t="s">
        <v>53</v>
      </c>
      <c r="AM23" s="52" t="s">
        <v>54</v>
      </c>
      <c r="AN23" s="55" t="s">
        <v>53</v>
      </c>
    </row>
    <row r="24" spans="1:41">
      <c r="A24" s="158">
        <v>18</v>
      </c>
      <c r="B24" s="60" t="s">
        <v>55</v>
      </c>
      <c r="C24" s="59">
        <f>+C15-C23</f>
        <v>29017.206798132975</v>
      </c>
      <c r="D24" s="59">
        <f t="shared" ref="D24:H24" si="31">+D15-D23</f>
        <v>-18553.36102129647</v>
      </c>
      <c r="E24" s="59">
        <f t="shared" si="31"/>
        <v>22682.284338216821</v>
      </c>
      <c r="F24" s="59">
        <f t="shared" si="31"/>
        <v>8818.1928284443748</v>
      </c>
      <c r="G24" s="59">
        <f t="shared" si="31"/>
        <v>-5162.8634470226461</v>
      </c>
      <c r="H24" s="59">
        <f t="shared" si="31"/>
        <v>13999.631423957402</v>
      </c>
      <c r="I24" s="59">
        <f t="shared" ref="I24:K24" si="32">+I15-I23</f>
        <v>-119996.03313841175</v>
      </c>
      <c r="J24" s="59">
        <f t="shared" si="32"/>
        <v>0</v>
      </c>
      <c r="K24" s="59">
        <f t="shared" si="32"/>
        <v>0</v>
      </c>
      <c r="L24" s="59">
        <f t="shared" ref="L24" si="33">+L15-L23</f>
        <v>-69194.942217979318</v>
      </c>
      <c r="N24" s="71"/>
      <c r="W24" s="52" t="s">
        <v>55</v>
      </c>
      <c r="AM24" s="52" t="s">
        <v>56</v>
      </c>
      <c r="AN24" s="52" t="s">
        <v>55</v>
      </c>
    </row>
    <row r="25" spans="1:41">
      <c r="A25" s="158">
        <v>19</v>
      </c>
      <c r="B25" s="52" t="s">
        <v>232</v>
      </c>
      <c r="C25" s="59">
        <f>IF(C24&lt;0,0,C24*0.15)</f>
        <v>4352.5810197199462</v>
      </c>
      <c r="D25" s="59">
        <f>IF(D24&lt;0,0,D24*0.15)</f>
        <v>0</v>
      </c>
      <c r="E25" s="59">
        <f t="shared" ref="E25:H25" si="34">IF(E24&lt;0,0,E24*0.25)</f>
        <v>5670.5710845542053</v>
      </c>
      <c r="F25" s="59">
        <f>IF(F24&lt;0,0,F24*0.15)</f>
        <v>1322.7289242666561</v>
      </c>
      <c r="G25" s="59">
        <f t="shared" si="34"/>
        <v>0</v>
      </c>
      <c r="H25" s="59">
        <f t="shared" si="34"/>
        <v>3499.9078559893505</v>
      </c>
      <c r="I25" s="59">
        <f t="shared" ref="I25:K25" si="35">IF(I24&lt;0,0,I24*0.25)</f>
        <v>0</v>
      </c>
      <c r="J25" s="59">
        <f t="shared" si="35"/>
        <v>0</v>
      </c>
      <c r="K25" s="59">
        <f t="shared" si="35"/>
        <v>0</v>
      </c>
      <c r="L25" s="59">
        <f>IF(L24&lt;0,0,L24*0.15)</f>
        <v>0</v>
      </c>
      <c r="M25" s="67"/>
      <c r="N25" s="67"/>
      <c r="O25" s="67"/>
      <c r="W25" s="52" t="s">
        <v>57</v>
      </c>
      <c r="AM25" s="52" t="s">
        <v>58</v>
      </c>
      <c r="AN25" s="52" t="s">
        <v>57</v>
      </c>
    </row>
    <row r="26" spans="1:41">
      <c r="A26" s="158">
        <v>20</v>
      </c>
      <c r="B26" s="52" t="s">
        <v>59</v>
      </c>
      <c r="C26" s="59">
        <f t="shared" ref="C26:H26" si="36">C24-C25</f>
        <v>24664.625778413028</v>
      </c>
      <c r="D26" s="59">
        <f t="shared" si="36"/>
        <v>-18553.36102129647</v>
      </c>
      <c r="E26" s="59">
        <f t="shared" si="36"/>
        <v>17011.713253662616</v>
      </c>
      <c r="F26" s="59">
        <f t="shared" si="36"/>
        <v>7495.4639041777191</v>
      </c>
      <c r="G26" s="59">
        <f t="shared" si="36"/>
        <v>-5162.8634470226461</v>
      </c>
      <c r="H26" s="59">
        <f t="shared" si="36"/>
        <v>10499.723567968053</v>
      </c>
      <c r="I26" s="59">
        <f t="shared" ref="I26:K26" si="37">I24-I25</f>
        <v>-119996.03313841175</v>
      </c>
      <c r="J26" s="59">
        <f t="shared" si="37"/>
        <v>0</v>
      </c>
      <c r="K26" s="59">
        <f t="shared" si="37"/>
        <v>0</v>
      </c>
      <c r="L26" s="54">
        <f>L24-L25</f>
        <v>-69194.942217979318</v>
      </c>
      <c r="M26" s="177"/>
      <c r="N26" s="67"/>
      <c r="O26" s="67"/>
      <c r="W26" s="52" t="s">
        <v>59</v>
      </c>
      <c r="AM26" s="52" t="s">
        <v>60</v>
      </c>
      <c r="AN26" s="52" t="s">
        <v>59</v>
      </c>
    </row>
    <row r="27" spans="1:41">
      <c r="A27" s="158">
        <v>21</v>
      </c>
      <c r="B27" s="52" t="s">
        <v>63</v>
      </c>
      <c r="C27" s="61">
        <f t="shared" ref="C27:L27" si="38">C26/C7</f>
        <v>3.5134794556143913E-2</v>
      </c>
      <c r="D27" s="61">
        <f t="shared" ref="D27:H27" si="39">D26/D7</f>
        <v>-1.6903572359052908E-2</v>
      </c>
      <c r="E27" s="61">
        <f t="shared" si="39"/>
        <v>3.2777867540775753E-2</v>
      </c>
      <c r="F27" s="61">
        <f t="shared" si="39"/>
        <v>2.6072992570536104E-2</v>
      </c>
      <c r="G27" s="61">
        <f t="shared" si="39"/>
        <v>-8.1207742654817016E-3</v>
      </c>
      <c r="H27" s="61">
        <f t="shared" si="39"/>
        <v>2.6958312539714625E-2</v>
      </c>
      <c r="I27" s="61">
        <f t="shared" ref="I27:K27" si="40">I26/I7</f>
        <v>-9.5996826510729397E-2</v>
      </c>
      <c r="J27" s="61" t="e">
        <f t="shared" si="40"/>
        <v>#DIV/0!</v>
      </c>
      <c r="K27" s="61" t="e">
        <f t="shared" si="40"/>
        <v>#DIV/0!</v>
      </c>
      <c r="L27" s="61">
        <f t="shared" si="38"/>
        <v>-1.4175457093159087E-2</v>
      </c>
      <c r="M27" s="175"/>
      <c r="N27" s="67"/>
      <c r="O27" s="67"/>
      <c r="W27" s="52" t="s">
        <v>63</v>
      </c>
      <c r="AM27" s="52" t="s">
        <v>62</v>
      </c>
      <c r="AN27" s="52" t="s">
        <v>63</v>
      </c>
    </row>
    <row r="28" spans="1:41">
      <c r="M28" s="67"/>
      <c r="N28" s="67"/>
      <c r="O28" s="67"/>
      <c r="W28" s="52"/>
    </row>
    <row r="29" spans="1:41">
      <c r="A29" s="48" t="s">
        <v>64</v>
      </c>
      <c r="L29" s="49" t="s">
        <v>148</v>
      </c>
      <c r="M29" s="67"/>
      <c r="N29" s="67"/>
      <c r="O29" s="67"/>
      <c r="W29" s="52"/>
      <c r="AM29" s="48" t="s">
        <v>64</v>
      </c>
    </row>
    <row r="30" spans="1:41">
      <c r="A30" s="52" t="s">
        <v>65</v>
      </c>
      <c r="B30" s="55" t="s">
        <v>66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7"/>
      <c r="N30" s="67"/>
      <c r="O30" s="67"/>
      <c r="Q30" s="67"/>
      <c r="W30" s="55" t="s">
        <v>66</v>
      </c>
      <c r="AM30" s="52" t="s">
        <v>67</v>
      </c>
      <c r="AN30" s="55" t="s">
        <v>66</v>
      </c>
    </row>
    <row r="31" spans="1:41">
      <c r="A31" s="158">
        <v>1</v>
      </c>
      <c r="B31" s="57" t="s">
        <v>68</v>
      </c>
      <c r="C31" s="63">
        <f>销量!C8</f>
        <v>1170</v>
      </c>
      <c r="D31" s="63">
        <f>销量!D8</f>
        <v>1372</v>
      </c>
      <c r="E31" s="63">
        <f>销量!E8</f>
        <v>1730</v>
      </c>
      <c r="F31" s="63">
        <f>销量!F8</f>
        <v>1437.4</v>
      </c>
      <c r="G31" s="63">
        <f>销量!G8</f>
        <v>1589.4</v>
      </c>
      <c r="H31" s="63">
        <f>销量!H8</f>
        <v>1947.4</v>
      </c>
      <c r="I31" s="63">
        <f>销量!I8</f>
        <v>500</v>
      </c>
      <c r="J31" s="63">
        <f>销量!J8</f>
        <v>0</v>
      </c>
      <c r="K31" s="63">
        <f>销量!K8</f>
        <v>0</v>
      </c>
      <c r="L31" s="59"/>
      <c r="M31" s="67"/>
      <c r="N31" s="67"/>
      <c r="O31" s="67"/>
      <c r="Q31" s="67"/>
      <c r="W31" s="52" t="s">
        <v>68</v>
      </c>
      <c r="AM31" s="52" t="s">
        <v>22</v>
      </c>
      <c r="AN31" s="52" t="s">
        <v>68</v>
      </c>
    </row>
    <row r="32" spans="1:41">
      <c r="A32" s="158">
        <v>2</v>
      </c>
      <c r="B32" s="52" t="s">
        <v>149</v>
      </c>
      <c r="C32" s="54">
        <f>C9/C6</f>
        <v>1170</v>
      </c>
      <c r="D32" s="54">
        <f t="shared" ref="D32:E32" si="41">D9/D6</f>
        <v>1372</v>
      </c>
      <c r="E32" s="54">
        <f t="shared" si="41"/>
        <v>1730</v>
      </c>
      <c r="F32" s="54">
        <f t="shared" ref="F32:K32" si="42">F9/F6</f>
        <v>1437.4</v>
      </c>
      <c r="G32" s="54">
        <f t="shared" si="42"/>
        <v>1589.4</v>
      </c>
      <c r="H32" s="54">
        <f t="shared" si="42"/>
        <v>1947.4</v>
      </c>
      <c r="I32" s="54">
        <f t="shared" si="42"/>
        <v>500</v>
      </c>
      <c r="J32" s="54" t="e">
        <f t="shared" si="42"/>
        <v>#DIV/0!</v>
      </c>
      <c r="K32" s="54" t="e">
        <f t="shared" si="42"/>
        <v>#DIV/0!</v>
      </c>
      <c r="L32" s="59"/>
      <c r="M32" s="67"/>
      <c r="N32" s="67"/>
      <c r="O32" s="67"/>
      <c r="P32" s="67"/>
      <c r="Q32" s="67"/>
      <c r="R32" s="67"/>
      <c r="S32" s="67"/>
      <c r="AM32" s="52"/>
      <c r="AN32" s="52"/>
    </row>
    <row r="33" spans="1:40">
      <c r="A33" s="158">
        <v>3</v>
      </c>
      <c r="B33" s="57" t="s">
        <v>69</v>
      </c>
      <c r="C33" s="54">
        <f>材料成本!D16</f>
        <v>977.00382200311174</v>
      </c>
      <c r="D33" s="54">
        <f>材料成本!E16</f>
        <v>1227.933534609954</v>
      </c>
      <c r="E33" s="54">
        <f>材料成本!F16</f>
        <v>1447.0382188726105</v>
      </c>
      <c r="F33" s="54">
        <f>材料成本!G16</f>
        <v>1218.7260691911115</v>
      </c>
      <c r="G33" s="54">
        <f>材料成本!H16</f>
        <v>1426.5941919508898</v>
      </c>
      <c r="H33" s="54">
        <f>材料成本!I16</f>
        <v>1645.6988762135463</v>
      </c>
      <c r="I33" s="54">
        <f>材料成本!J16</f>
        <v>478.40424658869802</v>
      </c>
      <c r="J33" s="54">
        <f>材料成本!K16</f>
        <v>0</v>
      </c>
      <c r="K33" s="54">
        <f>材料成本!L16</f>
        <v>0</v>
      </c>
      <c r="L33" s="59"/>
      <c r="N33" s="67"/>
      <c r="O33" s="67"/>
      <c r="P33" s="67"/>
      <c r="Q33" s="67"/>
      <c r="R33" s="67"/>
      <c r="S33" s="67"/>
      <c r="W33" s="52" t="s">
        <v>69</v>
      </c>
      <c r="AM33" s="52" t="s">
        <v>24</v>
      </c>
      <c r="AN33" s="52" t="s">
        <v>69</v>
      </c>
    </row>
    <row r="34" spans="1:40" ht="17.25" customHeight="1">
      <c r="A34" s="158">
        <v>4</v>
      </c>
      <c r="B34" s="52" t="s">
        <v>71</v>
      </c>
      <c r="C34" s="64">
        <f>C32-C33</f>
        <v>192.99617799688826</v>
      </c>
      <c r="D34" s="64">
        <f t="shared" ref="D34:K34" si="43">D32-D33</f>
        <v>144.06646539004601</v>
      </c>
      <c r="E34" s="64">
        <f t="shared" si="43"/>
        <v>282.96178112738949</v>
      </c>
      <c r="F34" s="64">
        <f t="shared" si="43"/>
        <v>218.6739308088886</v>
      </c>
      <c r="G34" s="64">
        <f t="shared" si="43"/>
        <v>162.80580804911028</v>
      </c>
      <c r="H34" s="64">
        <f t="shared" si="43"/>
        <v>301.70112378645376</v>
      </c>
      <c r="I34" s="64">
        <f t="shared" si="43"/>
        <v>21.595753411301985</v>
      </c>
      <c r="J34" s="64" t="e">
        <f t="shared" si="43"/>
        <v>#DIV/0!</v>
      </c>
      <c r="K34" s="64" t="e">
        <f t="shared" si="43"/>
        <v>#DIV/0!</v>
      </c>
      <c r="L34" s="59"/>
      <c r="N34" s="67"/>
      <c r="O34" s="67"/>
      <c r="P34" s="67"/>
      <c r="Q34" s="67"/>
      <c r="R34" s="67"/>
      <c r="S34" s="67"/>
      <c r="W34" s="52" t="s">
        <v>71</v>
      </c>
      <c r="AM34" s="52" t="s">
        <v>70</v>
      </c>
      <c r="AN34" s="52" t="s">
        <v>71</v>
      </c>
    </row>
    <row r="35" spans="1:40">
      <c r="A35" s="52" t="s">
        <v>67</v>
      </c>
      <c r="B35" s="55" t="s">
        <v>10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55" t="s">
        <v>10</v>
      </c>
      <c r="AM35" s="52" t="s">
        <v>73</v>
      </c>
      <c r="AN35" s="55" t="s">
        <v>10</v>
      </c>
    </row>
    <row r="36" spans="1:40">
      <c r="A36" s="158">
        <v>1</v>
      </c>
      <c r="B36" s="52" t="s">
        <v>74</v>
      </c>
      <c r="C36" s="58">
        <f>'2023年'!C36</f>
        <v>55.341000000000001</v>
      </c>
      <c r="D36" s="58">
        <f>'2023年'!D36</f>
        <v>64.895600000000002</v>
      </c>
      <c r="E36" s="58">
        <f>'2023年'!E36</f>
        <v>81.829000000000008</v>
      </c>
      <c r="F36" s="58">
        <f>'2023年'!F36</f>
        <v>67.989020000000011</v>
      </c>
      <c r="G36" s="58">
        <f>'2023年'!G36</f>
        <v>75.178620000000009</v>
      </c>
      <c r="H36" s="58">
        <f>'2023年'!H36</f>
        <v>92.112020000000001</v>
      </c>
      <c r="I36" s="58">
        <f>'2023年'!I36</f>
        <v>23.650000000000002</v>
      </c>
      <c r="J36" s="58">
        <f>'2023年'!J36</f>
        <v>0</v>
      </c>
      <c r="K36" s="58">
        <f>'2023年'!K36</f>
        <v>0</v>
      </c>
      <c r="L36" s="63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52" t="s">
        <v>74</v>
      </c>
      <c r="AM36" s="52" t="s">
        <v>70</v>
      </c>
      <c r="AN36" s="52" t="s">
        <v>74</v>
      </c>
    </row>
    <row r="37" spans="1:40">
      <c r="A37" s="158">
        <v>2</v>
      </c>
      <c r="B37" s="52" t="s">
        <v>75</v>
      </c>
      <c r="C37" s="58">
        <f>'2023年'!C37</f>
        <v>17.198999999999998</v>
      </c>
      <c r="D37" s="58">
        <f>'2023年'!D37</f>
        <v>20.168399999999998</v>
      </c>
      <c r="E37" s="58">
        <f>'2023年'!E37</f>
        <v>25.431000000000001</v>
      </c>
      <c r="F37" s="58">
        <f>'2023年'!F37</f>
        <v>21.12978</v>
      </c>
      <c r="G37" s="58">
        <f>'2023年'!G37</f>
        <v>23.364180000000001</v>
      </c>
      <c r="H37" s="58">
        <f>'2023年'!H37</f>
        <v>28.62678</v>
      </c>
      <c r="I37" s="58">
        <f>'2023年'!I37</f>
        <v>7.35</v>
      </c>
      <c r="J37" s="58">
        <f>'2023年'!J37</f>
        <v>0</v>
      </c>
      <c r="K37" s="58">
        <f>'2023年'!K37</f>
        <v>0</v>
      </c>
      <c r="L37" s="63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52" t="s">
        <v>75</v>
      </c>
      <c r="AM37" s="52" t="s">
        <v>27</v>
      </c>
      <c r="AN37" s="52" t="s">
        <v>75</v>
      </c>
    </row>
    <row r="38" spans="1:40">
      <c r="A38" s="158">
        <v>3</v>
      </c>
      <c r="B38" s="52" t="s">
        <v>76</v>
      </c>
      <c r="C38" s="58">
        <f>'2023年'!C38</f>
        <v>11.700000000000001</v>
      </c>
      <c r="D38" s="58">
        <f>'2023年'!D38</f>
        <v>13.72</v>
      </c>
      <c r="E38" s="58">
        <f>'2023年'!E38</f>
        <v>17.3</v>
      </c>
      <c r="F38" s="58">
        <f>'2023年'!F38</f>
        <v>14.374000000000001</v>
      </c>
      <c r="G38" s="58">
        <f>'2023年'!G38</f>
        <v>0</v>
      </c>
      <c r="H38" s="58">
        <f>'2023年'!H38</f>
        <v>19.474</v>
      </c>
      <c r="I38" s="58">
        <f>'2023年'!I38</f>
        <v>5</v>
      </c>
      <c r="J38" s="58">
        <f>'2023年'!J38</f>
        <v>0</v>
      </c>
      <c r="K38" s="58">
        <f>'2023年'!K38</f>
        <v>0</v>
      </c>
      <c r="L38" s="63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52" t="s">
        <v>76</v>
      </c>
      <c r="AM38" s="52" t="s">
        <v>33</v>
      </c>
      <c r="AN38" s="52" t="s">
        <v>76</v>
      </c>
    </row>
    <row r="39" spans="1:40">
      <c r="A39" s="52" t="s">
        <v>73</v>
      </c>
      <c r="B39" s="55" t="s">
        <v>78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W39" s="55" t="s">
        <v>78</v>
      </c>
      <c r="AM39" s="52" t="s">
        <v>77</v>
      </c>
      <c r="AN39" s="55" t="s">
        <v>78</v>
      </c>
    </row>
    <row r="40" spans="1:40">
      <c r="A40" s="158">
        <v>1</v>
      </c>
      <c r="B40" s="52" t="s">
        <v>80</v>
      </c>
      <c r="C40" s="59">
        <f>C34-C36-C37-C38</f>
        <v>108.75617799688825</v>
      </c>
      <c r="D40" s="59">
        <f t="shared" ref="D40:K40" si="44">D34-D36-D37-D38</f>
        <v>45.282465390046006</v>
      </c>
      <c r="E40" s="59">
        <f t="shared" si="44"/>
        <v>158.40178112738946</v>
      </c>
      <c r="F40" s="59">
        <f t="shared" si="44"/>
        <v>115.18113080888858</v>
      </c>
      <c r="G40" s="59">
        <f t="shared" si="44"/>
        <v>64.263008049110269</v>
      </c>
      <c r="H40" s="59">
        <f t="shared" si="44"/>
        <v>161.48832378645378</v>
      </c>
      <c r="I40" s="59">
        <f t="shared" si="44"/>
        <v>-14.404246588698017</v>
      </c>
      <c r="J40" s="59" t="e">
        <f t="shared" si="44"/>
        <v>#DIV/0!</v>
      </c>
      <c r="K40" s="59" t="e">
        <f t="shared" si="44"/>
        <v>#DIV/0!</v>
      </c>
      <c r="L40" s="59"/>
      <c r="W40" s="52" t="s">
        <v>80</v>
      </c>
      <c r="AM40" s="52" t="s">
        <v>22</v>
      </c>
      <c r="AN40" s="52" t="s">
        <v>80</v>
      </c>
    </row>
    <row r="41" spans="1:40">
      <c r="A41" s="158">
        <v>2</v>
      </c>
      <c r="B41" s="52" t="s">
        <v>81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W41" s="52" t="s">
        <v>81</v>
      </c>
      <c r="AM41" s="52" t="s">
        <v>24</v>
      </c>
      <c r="AN41" s="52" t="s">
        <v>81</v>
      </c>
    </row>
    <row r="42" spans="1:40">
      <c r="A42" s="52" t="s">
        <v>77</v>
      </c>
      <c r="B42" s="55" t="s">
        <v>83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W42" s="55" t="s">
        <v>83</v>
      </c>
      <c r="AM42" s="52" t="s">
        <v>82</v>
      </c>
      <c r="AN42" s="55" t="s">
        <v>83</v>
      </c>
    </row>
    <row r="43" spans="1:40">
      <c r="A43" s="158">
        <v>1</v>
      </c>
      <c r="B43" s="60" t="s">
        <v>84</v>
      </c>
      <c r="C43" s="58">
        <f>'2023年'!C43</f>
        <v>0</v>
      </c>
      <c r="D43" s="58">
        <f>'2023年'!D43</f>
        <v>0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>
        <f>'2023年'!H43</f>
        <v>0</v>
      </c>
      <c r="I43" s="58">
        <f>'2023年'!I43</f>
        <v>0</v>
      </c>
      <c r="J43" s="58">
        <f>'2023年'!J43</f>
        <v>0</v>
      </c>
      <c r="K43" s="58">
        <f>'2023年'!K43</f>
        <v>0</v>
      </c>
      <c r="L43" s="59"/>
      <c r="W43" s="52" t="s">
        <v>84</v>
      </c>
      <c r="AM43" s="52" t="s">
        <v>22</v>
      </c>
      <c r="AN43" s="52" t="s">
        <v>84</v>
      </c>
    </row>
    <row r="44" spans="1:40">
      <c r="A44" s="158">
        <v>2</v>
      </c>
      <c r="B44" s="60" t="s">
        <v>85</v>
      </c>
      <c r="C44" s="58">
        <f>'2023年'!C44</f>
        <v>0</v>
      </c>
      <c r="D44" s="58">
        <f>'2023年'!D44</f>
        <v>0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>
        <f>'2023年'!H44</f>
        <v>0</v>
      </c>
      <c r="I44" s="58">
        <f>'2023年'!I44</f>
        <v>0</v>
      </c>
      <c r="J44" s="58">
        <f>'2023年'!J44</f>
        <v>0</v>
      </c>
      <c r="K44" s="58">
        <f>'2023年'!K44</f>
        <v>0</v>
      </c>
      <c r="L44" s="59"/>
      <c r="W44" s="52" t="s">
        <v>85</v>
      </c>
      <c r="AM44" s="52" t="s">
        <v>24</v>
      </c>
      <c r="AN44" s="52" t="s">
        <v>85</v>
      </c>
    </row>
    <row r="45" spans="1:40">
      <c r="A45" s="158">
        <v>3</v>
      </c>
      <c r="B45" s="60" t="s">
        <v>86</v>
      </c>
      <c r="C45" s="58">
        <f>'2023年'!C45</f>
        <v>0</v>
      </c>
      <c r="D45" s="58">
        <f>'2023年'!D45</f>
        <v>0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>
        <f>'2023年'!H45</f>
        <v>0</v>
      </c>
      <c r="I45" s="58">
        <f>'2023年'!I45</f>
        <v>0</v>
      </c>
      <c r="J45" s="58">
        <f>'2023年'!J45</f>
        <v>0</v>
      </c>
      <c r="K45" s="58">
        <f>'2023年'!K45</f>
        <v>0</v>
      </c>
      <c r="L45" s="59"/>
      <c r="W45" s="52" t="s">
        <v>86</v>
      </c>
      <c r="AM45" s="52" t="s">
        <v>70</v>
      </c>
      <c r="AN45" s="52" t="s">
        <v>86</v>
      </c>
    </row>
    <row r="46" spans="1:40" s="47" customFormat="1">
      <c r="A46" s="158">
        <v>4</v>
      </c>
      <c r="B46" s="60" t="s">
        <v>87</v>
      </c>
      <c r="C46" s="65">
        <f>C21/C6</f>
        <v>5.3133333333333335</v>
      </c>
      <c r="D46" s="65">
        <f t="shared" ref="D46:K46" si="45">D21/D6</f>
        <v>5.3133333333333335</v>
      </c>
      <c r="E46" s="65">
        <f t="shared" si="45"/>
        <v>5.3133333333333335</v>
      </c>
      <c r="F46" s="65">
        <f t="shared" si="45"/>
        <v>5.3133333333333335</v>
      </c>
      <c r="G46" s="65">
        <f t="shared" si="45"/>
        <v>5.3133333333333335</v>
      </c>
      <c r="H46" s="65">
        <f t="shared" si="45"/>
        <v>5.3133333333333335</v>
      </c>
      <c r="I46" s="65">
        <f t="shared" si="45"/>
        <v>5.3133333333333335</v>
      </c>
      <c r="J46" s="65" t="e">
        <f t="shared" si="45"/>
        <v>#DIV/0!</v>
      </c>
      <c r="K46" s="65" t="e">
        <f t="shared" si="45"/>
        <v>#DIV/0!</v>
      </c>
      <c r="L46" s="65"/>
      <c r="W46" s="60" t="s">
        <v>89</v>
      </c>
      <c r="AM46" s="60" t="s">
        <v>30</v>
      </c>
      <c r="AN46" s="60" t="s">
        <v>89</v>
      </c>
    </row>
    <row r="47" spans="1:40" s="47" customFormat="1">
      <c r="A47" s="158">
        <v>5</v>
      </c>
      <c r="B47" s="60" t="s">
        <v>89</v>
      </c>
      <c r="C47" s="65">
        <f>'2023年'!C47</f>
        <v>46.800000000000004</v>
      </c>
      <c r="D47" s="65">
        <f>'2023年'!D47</f>
        <v>54.88</v>
      </c>
      <c r="E47" s="65">
        <f>'2023年'!E47</f>
        <v>69.2</v>
      </c>
      <c r="F47" s="65">
        <f>'2023年'!F47</f>
        <v>57.496000000000002</v>
      </c>
      <c r="G47" s="65">
        <f>'2023年'!G47</f>
        <v>63.576000000000008</v>
      </c>
      <c r="H47" s="65">
        <f>'2023年'!H47</f>
        <v>77.896000000000001</v>
      </c>
      <c r="I47" s="65">
        <f>'2023年'!I47</f>
        <v>20</v>
      </c>
      <c r="J47" s="65">
        <f>'2023年'!J47</f>
        <v>0</v>
      </c>
      <c r="K47" s="65">
        <f>'2023年'!K47</f>
        <v>0</v>
      </c>
      <c r="L47" s="65"/>
      <c r="W47" s="60" t="s">
        <v>89</v>
      </c>
      <c r="AM47" s="60" t="s">
        <v>30</v>
      </c>
      <c r="AN47" s="60" t="s">
        <v>89</v>
      </c>
    </row>
    <row r="48" spans="1:40">
      <c r="A48" s="52" t="s">
        <v>82</v>
      </c>
      <c r="B48" s="55" t="s">
        <v>100</v>
      </c>
      <c r="C48" s="59">
        <f>C40-C43-C44-C45-C47-C46</f>
        <v>56.642844663554918</v>
      </c>
      <c r="D48" s="59">
        <f t="shared" ref="D48:K48" si="46">D40-D43-D44-D45-D47-D46</f>
        <v>-14.910867943287329</v>
      </c>
      <c r="E48" s="59">
        <f t="shared" si="46"/>
        <v>83.88844779405612</v>
      </c>
      <c r="F48" s="59">
        <f t="shared" si="46"/>
        <v>52.371797475555248</v>
      </c>
      <c r="G48" s="59">
        <f t="shared" si="46"/>
        <v>-4.6263252842230722</v>
      </c>
      <c r="H48" s="59">
        <f t="shared" si="46"/>
        <v>78.278990453120443</v>
      </c>
      <c r="I48" s="59">
        <f t="shared" si="46"/>
        <v>-39.717579922031348</v>
      </c>
      <c r="J48" s="59" t="e">
        <f t="shared" si="46"/>
        <v>#DIV/0!</v>
      </c>
      <c r="K48" s="59" t="e">
        <f t="shared" si="46"/>
        <v>#DIV/0!</v>
      </c>
      <c r="L48" s="59"/>
      <c r="W48" s="55" t="s">
        <v>100</v>
      </c>
      <c r="AM48" s="52" t="s">
        <v>99</v>
      </c>
      <c r="AN48" s="55" t="s">
        <v>100</v>
      </c>
    </row>
    <row r="51" spans="2:17">
      <c r="C51" s="66"/>
      <c r="D51" s="66"/>
      <c r="E51" s="66"/>
      <c r="F51" s="66"/>
      <c r="G51" s="66"/>
      <c r="H51" s="66"/>
      <c r="I51" s="66"/>
      <c r="J51" s="66"/>
      <c r="K51" s="66"/>
    </row>
    <row r="54" spans="2:17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7"/>
      <c r="N54" s="67"/>
      <c r="O54" s="67"/>
      <c r="P54" s="67"/>
      <c r="Q54" s="67"/>
    </row>
    <row r="55" spans="2:17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7"/>
      <c r="N55" s="67"/>
      <c r="O55" s="67"/>
      <c r="P55" s="67"/>
      <c r="Q55" s="67"/>
    </row>
    <row r="56" spans="2:17"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7"/>
      <c r="N56" s="67"/>
      <c r="O56" s="67"/>
      <c r="P56" s="67"/>
      <c r="Q56" s="67"/>
    </row>
    <row r="57" spans="2:17"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7"/>
      <c r="N57" s="67"/>
      <c r="O57" s="67"/>
      <c r="P57" s="67"/>
      <c r="Q57" s="67"/>
    </row>
    <row r="58" spans="2:17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7"/>
      <c r="N58" s="67"/>
      <c r="O58" s="67"/>
      <c r="P58" s="67"/>
      <c r="Q58" s="67"/>
    </row>
    <row r="59" spans="2:17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7"/>
      <c r="N59" s="67"/>
      <c r="O59" s="67"/>
      <c r="P59" s="67"/>
      <c r="Q59" s="67"/>
    </row>
    <row r="60" spans="2:17"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7"/>
      <c r="N60" s="67"/>
      <c r="O60" s="67"/>
      <c r="P60" s="67"/>
      <c r="Q60" s="67"/>
    </row>
    <row r="61" spans="2:17"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7"/>
      <c r="N61" s="67"/>
      <c r="O61" s="67"/>
      <c r="P61" s="67"/>
      <c r="Q61" s="67"/>
    </row>
    <row r="62" spans="2:17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7"/>
      <c r="N62" s="67"/>
      <c r="O62" s="67"/>
      <c r="P62" s="67"/>
      <c r="Q62" s="67"/>
    </row>
    <row r="63" spans="2:17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7"/>
      <c r="N63" s="67"/>
      <c r="O63" s="67"/>
      <c r="P63" s="67"/>
      <c r="Q63" s="67"/>
    </row>
    <row r="64" spans="2:17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7"/>
      <c r="N64" s="67"/>
      <c r="O64" s="67"/>
      <c r="P64" s="67"/>
      <c r="Q64" s="67"/>
    </row>
    <row r="65" spans="2:17"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7"/>
      <c r="N65" s="67"/>
      <c r="O65" s="67"/>
      <c r="P65" s="67"/>
      <c r="Q65" s="67"/>
    </row>
    <row r="66" spans="2:17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7"/>
      <c r="N66" s="67"/>
      <c r="O66" s="67"/>
      <c r="P66" s="67"/>
      <c r="Q66" s="67"/>
    </row>
    <row r="67" spans="2:17">
      <c r="B67" s="67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7"/>
    </row>
    <row r="68" spans="2:17"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7"/>
    </row>
    <row r="69" spans="2:17">
      <c r="B69" s="67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7"/>
    </row>
    <row r="70" spans="2:17">
      <c r="B70" s="67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7"/>
    </row>
    <row r="71" spans="2:17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7"/>
    </row>
    <row r="72" spans="2:17">
      <c r="B72" s="67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7"/>
    </row>
    <row r="73" spans="2:17"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7"/>
    </row>
    <row r="74" spans="2:17"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7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zoomScale="90" zoomScaleNormal="90" workbookViewId="0">
      <pane xSplit="2" ySplit="7" topLeftCell="C8" activePane="bottomRight" state="frozen"/>
      <selection pane="topRight"/>
      <selection pane="bottomLeft"/>
      <selection pane="bottomRight" activeCell="L22" sqref="L22"/>
    </sheetView>
  </sheetViews>
  <sheetFormatPr defaultColWidth="9" defaultRowHeight="16.5"/>
  <cols>
    <col min="1" max="1" width="5.125" style="48" customWidth="1"/>
    <col min="2" max="2" width="17.5" style="48" customWidth="1"/>
    <col min="3" max="11" width="13.25" style="49" customWidth="1"/>
    <col min="12" max="12" width="18.75" style="49" customWidth="1"/>
    <col min="13" max="13" width="12.375" style="48" customWidth="1"/>
    <col min="14" max="14" width="10.125" style="48" customWidth="1"/>
    <col min="15" max="21" width="9" style="48" customWidth="1"/>
    <col min="22" max="38" width="9" style="48"/>
    <col min="39" max="39" width="4.375" style="48" customWidth="1"/>
    <col min="40" max="40" width="13.875" style="48" customWidth="1"/>
    <col min="41" max="16384" width="9" style="48"/>
  </cols>
  <sheetData>
    <row r="1" spans="1:41">
      <c r="A1" s="234" t="s">
        <v>140</v>
      </c>
      <c r="B1" s="234"/>
      <c r="C1" s="238" t="s">
        <v>287</v>
      </c>
      <c r="D1" s="239"/>
      <c r="E1" s="239"/>
      <c r="F1" s="239"/>
      <c r="G1" s="239"/>
      <c r="H1" s="239"/>
      <c r="I1" s="239"/>
      <c r="J1" s="239"/>
      <c r="K1" s="239"/>
      <c r="L1" s="240"/>
    </row>
    <row r="2" spans="1:41">
      <c r="A2" s="234" t="s">
        <v>141</v>
      </c>
      <c r="B2" s="234"/>
      <c r="C2" s="241" t="str">
        <f>'2023年'!C2:L2</f>
        <v>成都王牌</v>
      </c>
      <c r="D2" s="241"/>
      <c r="E2" s="241"/>
      <c r="F2" s="241"/>
      <c r="G2" s="241"/>
      <c r="H2" s="241"/>
      <c r="I2" s="241"/>
      <c r="J2" s="241"/>
      <c r="K2" s="241"/>
      <c r="L2" s="241"/>
    </row>
    <row r="3" spans="1:41">
      <c r="A3" s="234" t="s">
        <v>142</v>
      </c>
      <c r="B3" s="234"/>
      <c r="C3" s="159" t="str">
        <f>销量!C5</f>
        <v>正司机</v>
      </c>
      <c r="D3" s="159" t="str">
        <f>销量!D5</f>
        <v>正司机</v>
      </c>
      <c r="E3" s="159" t="str">
        <f>销量!E5</f>
        <v>正司机</v>
      </c>
      <c r="F3" s="159" t="str">
        <f>销量!F5</f>
        <v>正司机</v>
      </c>
      <c r="G3" s="159" t="str">
        <f>销量!G5</f>
        <v>正司机</v>
      </c>
      <c r="H3" s="159" t="str">
        <f>销量!H5</f>
        <v>正司机</v>
      </c>
      <c r="I3" s="159" t="str">
        <f>销量!I5</f>
        <v>副司机</v>
      </c>
      <c r="J3" s="159">
        <f>销量!J5</f>
        <v>0</v>
      </c>
      <c r="K3" s="159">
        <f>销量!K5</f>
        <v>0</v>
      </c>
      <c r="L3" s="235" t="s">
        <v>18</v>
      </c>
    </row>
    <row r="4" spans="1:41">
      <c r="A4" s="234" t="s">
        <v>143</v>
      </c>
      <c r="B4" s="234"/>
      <c r="C4" s="159" t="str">
        <f>销量!C6</f>
        <v>EZ160051000001</v>
      </c>
      <c r="D4" s="159" t="str">
        <f>销量!D6</f>
        <v>EZ160051000002</v>
      </c>
      <c r="E4" s="159" t="str">
        <f>销量!E6</f>
        <v>EZ160051000003</v>
      </c>
      <c r="F4" s="159" t="str">
        <f>销量!F6</f>
        <v>EZ160051000004</v>
      </c>
      <c r="G4" s="159" t="str">
        <f>销量!G6</f>
        <v>EZ160051000005</v>
      </c>
      <c r="H4" s="159" t="str">
        <f>销量!H6</f>
        <v>EZ160051000004</v>
      </c>
      <c r="I4" s="159" t="str">
        <f>销量!I6</f>
        <v>EZ16B251000008</v>
      </c>
      <c r="J4" s="159">
        <f>销量!J6</f>
        <v>0</v>
      </c>
      <c r="K4" s="159">
        <f>销量!K6</f>
        <v>0</v>
      </c>
      <c r="L4" s="236"/>
    </row>
    <row r="5" spans="1:41">
      <c r="A5" s="234" t="s">
        <v>144</v>
      </c>
      <c r="B5" s="234"/>
      <c r="C5" s="51"/>
      <c r="D5" s="51"/>
      <c r="E5" s="51"/>
      <c r="F5" s="51"/>
      <c r="G5" s="51"/>
      <c r="H5" s="51"/>
      <c r="I5" s="193"/>
      <c r="J5" s="193"/>
      <c r="K5" s="193"/>
      <c r="L5" s="237"/>
      <c r="AO5" s="48" t="s">
        <v>19</v>
      </c>
    </row>
    <row r="6" spans="1:41" ht="17.25">
      <c r="A6" s="52" t="s">
        <v>17</v>
      </c>
      <c r="B6" s="53" t="s">
        <v>145</v>
      </c>
      <c r="C6" s="22">
        <f>销量!C12</f>
        <v>800</v>
      </c>
      <c r="D6" s="22">
        <f>销量!D12</f>
        <v>800</v>
      </c>
      <c r="E6" s="22">
        <f>销量!E12</f>
        <v>300</v>
      </c>
      <c r="F6" s="22">
        <f>销量!F12</f>
        <v>200</v>
      </c>
      <c r="G6" s="22">
        <f>销量!G12</f>
        <v>700</v>
      </c>
      <c r="H6" s="22">
        <f>销量!H12</f>
        <v>200</v>
      </c>
      <c r="I6" s="22">
        <f>销量!I12</f>
        <v>3000</v>
      </c>
      <c r="J6" s="22">
        <f>销量!J12</f>
        <v>0</v>
      </c>
      <c r="K6" s="22">
        <f>销量!K12</f>
        <v>0</v>
      </c>
      <c r="L6" s="54">
        <f>SUM(C6:K6)</f>
        <v>6000</v>
      </c>
      <c r="W6" s="53" t="s">
        <v>3</v>
      </c>
      <c r="AM6" s="52" t="s">
        <v>17</v>
      </c>
      <c r="AN6" s="53" t="s">
        <v>3</v>
      </c>
      <c r="AO6" s="48" t="s">
        <v>20</v>
      </c>
    </row>
    <row r="7" spans="1:41">
      <c r="A7" s="192">
        <v>1</v>
      </c>
      <c r="B7" s="53" t="s">
        <v>21</v>
      </c>
      <c r="C7" s="54">
        <f>C6*销量!C8</f>
        <v>936000</v>
      </c>
      <c r="D7" s="54">
        <f>D6*销量!D8</f>
        <v>1097600</v>
      </c>
      <c r="E7" s="54">
        <f>E6*销量!E8</f>
        <v>519000</v>
      </c>
      <c r="F7" s="54">
        <f>F6*销量!F8</f>
        <v>287480</v>
      </c>
      <c r="G7" s="54">
        <f>G6*销量!G8</f>
        <v>1112580</v>
      </c>
      <c r="H7" s="54">
        <f>H6*销量!H8</f>
        <v>389480</v>
      </c>
      <c r="I7" s="54">
        <f>I6*销量!I8</f>
        <v>1500000</v>
      </c>
      <c r="J7" s="54">
        <f>J6*销量!J8</f>
        <v>0</v>
      </c>
      <c r="K7" s="54">
        <f>K6*销量!K8</f>
        <v>0</v>
      </c>
      <c r="L7" s="54">
        <f t="shared" ref="L7:L15" si="0">SUM(C7:K7)</f>
        <v>5842140</v>
      </c>
      <c r="M7" s="49"/>
      <c r="W7" s="53" t="s">
        <v>21</v>
      </c>
      <c r="AM7" s="52" t="s">
        <v>22</v>
      </c>
      <c r="AN7" s="53" t="s">
        <v>21</v>
      </c>
      <c r="AO7" s="48" t="s">
        <v>20</v>
      </c>
    </row>
    <row r="8" spans="1:41">
      <c r="A8" s="192">
        <v>2</v>
      </c>
      <c r="B8" s="192" t="s">
        <v>23</v>
      </c>
      <c r="C8" s="54">
        <f>C7*(1-销量!$O$8)</f>
        <v>0</v>
      </c>
      <c r="D8" s="54">
        <f>D7*(1-销量!$O$8)</f>
        <v>0</v>
      </c>
      <c r="E8" s="54">
        <f>E7*(1-销量!$O$8)</f>
        <v>0</v>
      </c>
      <c r="F8" s="54">
        <f>F7*(1-销量!$O$8)</f>
        <v>0</v>
      </c>
      <c r="G8" s="54">
        <f>G7*(1-销量!$O$8)</f>
        <v>0</v>
      </c>
      <c r="H8" s="54">
        <f>H7*(1-销量!$O$8)</f>
        <v>0</v>
      </c>
      <c r="I8" s="54">
        <f>I7*(1-销量!$O$8)</f>
        <v>0</v>
      </c>
      <c r="J8" s="54">
        <f>J7*(1-销量!$O$8)</f>
        <v>0</v>
      </c>
      <c r="K8" s="54">
        <f>K7*(1-销量!$O$8)</f>
        <v>0</v>
      </c>
      <c r="L8" s="54">
        <f t="shared" si="0"/>
        <v>0</v>
      </c>
      <c r="M8" s="69"/>
      <c r="W8" s="192" t="s">
        <v>25</v>
      </c>
      <c r="AM8" s="52" t="s">
        <v>24</v>
      </c>
      <c r="AN8" s="192" t="s">
        <v>25</v>
      </c>
      <c r="AO8" s="48" t="s">
        <v>20</v>
      </c>
    </row>
    <row r="9" spans="1:41">
      <c r="A9" s="192">
        <v>3</v>
      </c>
      <c r="B9" s="53" t="s">
        <v>26</v>
      </c>
      <c r="C9" s="54">
        <f>+C7-C8</f>
        <v>936000</v>
      </c>
      <c r="D9" s="54">
        <f t="shared" ref="D9:K9" si="1">+D7-D8</f>
        <v>1097600</v>
      </c>
      <c r="E9" s="54">
        <f t="shared" si="1"/>
        <v>519000</v>
      </c>
      <c r="F9" s="54">
        <f t="shared" si="1"/>
        <v>287480</v>
      </c>
      <c r="G9" s="54">
        <f t="shared" si="1"/>
        <v>1112580</v>
      </c>
      <c r="H9" s="54">
        <f t="shared" si="1"/>
        <v>389480</v>
      </c>
      <c r="I9" s="54">
        <f t="shared" si="1"/>
        <v>1500000</v>
      </c>
      <c r="J9" s="54">
        <f t="shared" si="1"/>
        <v>0</v>
      </c>
      <c r="K9" s="54">
        <f t="shared" si="1"/>
        <v>0</v>
      </c>
      <c r="L9" s="54">
        <f t="shared" si="0"/>
        <v>5842140</v>
      </c>
      <c r="W9" s="53" t="s">
        <v>26</v>
      </c>
      <c r="AM9" s="52" t="s">
        <v>27</v>
      </c>
      <c r="AN9" s="53" t="s">
        <v>26</v>
      </c>
      <c r="AO9" s="48" t="s">
        <v>28</v>
      </c>
    </row>
    <row r="10" spans="1:41">
      <c r="A10" s="192">
        <v>4</v>
      </c>
      <c r="B10" s="52" t="s">
        <v>29</v>
      </c>
      <c r="C10" s="54">
        <f>C6*C33</f>
        <v>781603.05760248937</v>
      </c>
      <c r="D10" s="54">
        <f t="shared" ref="D10:K10" si="2">D6*D33</f>
        <v>982346.82768796314</v>
      </c>
      <c r="E10" s="54">
        <f t="shared" si="2"/>
        <v>434111.46566178318</v>
      </c>
      <c r="F10" s="54">
        <f t="shared" si="2"/>
        <v>243745.21383822229</v>
      </c>
      <c r="G10" s="54">
        <f t="shared" si="2"/>
        <v>998615.93436562282</v>
      </c>
      <c r="H10" s="54">
        <f t="shared" si="2"/>
        <v>329139.77524270926</v>
      </c>
      <c r="I10" s="54">
        <f t="shared" si="2"/>
        <v>1435212.7397660941</v>
      </c>
      <c r="J10" s="54">
        <f t="shared" si="2"/>
        <v>0</v>
      </c>
      <c r="K10" s="54">
        <f t="shared" si="2"/>
        <v>0</v>
      </c>
      <c r="L10" s="54">
        <f t="shared" si="0"/>
        <v>5204775.0141648836</v>
      </c>
      <c r="W10" s="52" t="s">
        <v>29</v>
      </c>
      <c r="AM10" s="52" t="s">
        <v>30</v>
      </c>
      <c r="AN10" s="52" t="s">
        <v>29</v>
      </c>
      <c r="AO10" s="48" t="s">
        <v>31</v>
      </c>
    </row>
    <row r="11" spans="1:41">
      <c r="A11" s="192">
        <v>5</v>
      </c>
      <c r="B11" s="52" t="s">
        <v>32</v>
      </c>
      <c r="C11" s="54">
        <f>+C6*C36</f>
        <v>44272.800000000003</v>
      </c>
      <c r="D11" s="54">
        <f t="shared" ref="D11:K11" si="3">+D6*D36</f>
        <v>51916.480000000003</v>
      </c>
      <c r="E11" s="54">
        <f t="shared" si="3"/>
        <v>24548.7</v>
      </c>
      <c r="F11" s="54">
        <f t="shared" si="3"/>
        <v>13597.804000000002</v>
      </c>
      <c r="G11" s="54">
        <f t="shared" si="3"/>
        <v>52625.034000000007</v>
      </c>
      <c r="H11" s="54">
        <f t="shared" si="3"/>
        <v>18422.403999999999</v>
      </c>
      <c r="I11" s="54">
        <f t="shared" si="3"/>
        <v>70950</v>
      </c>
      <c r="J11" s="54">
        <f t="shared" si="3"/>
        <v>0</v>
      </c>
      <c r="K11" s="54">
        <f t="shared" si="3"/>
        <v>0</v>
      </c>
      <c r="L11" s="54">
        <f t="shared" si="0"/>
        <v>276333.22200000001</v>
      </c>
      <c r="W11" s="52" t="s">
        <v>32</v>
      </c>
      <c r="AM11" s="52" t="s">
        <v>33</v>
      </c>
      <c r="AN11" s="52" t="s">
        <v>32</v>
      </c>
    </row>
    <row r="12" spans="1:41">
      <c r="A12" s="192">
        <v>6</v>
      </c>
      <c r="B12" s="52" t="s">
        <v>34</v>
      </c>
      <c r="C12" s="54">
        <f>+C6*C37</f>
        <v>13759.199999999999</v>
      </c>
      <c r="D12" s="54">
        <f t="shared" ref="D12:K12" si="4">+D6*D37</f>
        <v>16134.72</v>
      </c>
      <c r="E12" s="54">
        <f t="shared" si="4"/>
        <v>7629.3</v>
      </c>
      <c r="F12" s="54">
        <f t="shared" si="4"/>
        <v>4225.9560000000001</v>
      </c>
      <c r="G12" s="54">
        <f t="shared" si="4"/>
        <v>16354.926000000001</v>
      </c>
      <c r="H12" s="54">
        <f t="shared" si="4"/>
        <v>5725.3559999999998</v>
      </c>
      <c r="I12" s="54">
        <f t="shared" si="4"/>
        <v>22050</v>
      </c>
      <c r="J12" s="54">
        <f t="shared" si="4"/>
        <v>0</v>
      </c>
      <c r="K12" s="54">
        <f t="shared" si="4"/>
        <v>0</v>
      </c>
      <c r="L12" s="54">
        <f t="shared" si="0"/>
        <v>85879.457999999999</v>
      </c>
      <c r="W12" s="52" t="s">
        <v>34</v>
      </c>
      <c r="AM12" s="52" t="s">
        <v>35</v>
      </c>
      <c r="AN12" s="52" t="s">
        <v>34</v>
      </c>
    </row>
    <row r="13" spans="1:41">
      <c r="A13" s="192">
        <v>7</v>
      </c>
      <c r="B13" s="52" t="s">
        <v>36</v>
      </c>
      <c r="C13" s="54">
        <f>+C6*C38</f>
        <v>9360</v>
      </c>
      <c r="D13" s="54">
        <f t="shared" ref="D13:K13" si="5">+D6*D38</f>
        <v>10976</v>
      </c>
      <c r="E13" s="54">
        <f t="shared" si="5"/>
        <v>5190</v>
      </c>
      <c r="F13" s="54">
        <f t="shared" si="5"/>
        <v>2874.8</v>
      </c>
      <c r="G13" s="54">
        <f t="shared" si="5"/>
        <v>0</v>
      </c>
      <c r="H13" s="54">
        <f t="shared" si="5"/>
        <v>3894.8</v>
      </c>
      <c r="I13" s="54">
        <f t="shared" si="5"/>
        <v>15000</v>
      </c>
      <c r="J13" s="54">
        <f t="shared" si="5"/>
        <v>0</v>
      </c>
      <c r="K13" s="54">
        <f t="shared" si="5"/>
        <v>0</v>
      </c>
      <c r="L13" s="54">
        <f t="shared" si="0"/>
        <v>47295.6</v>
      </c>
      <c r="W13" s="52" t="s">
        <v>36</v>
      </c>
      <c r="AM13" s="52" t="s">
        <v>37</v>
      </c>
      <c r="AN13" s="52" t="s">
        <v>36</v>
      </c>
      <c r="AO13" s="48" t="s">
        <v>20</v>
      </c>
    </row>
    <row r="14" spans="1:41">
      <c r="A14" s="192">
        <v>8</v>
      </c>
      <c r="B14" s="55" t="s">
        <v>38</v>
      </c>
      <c r="C14" s="54">
        <f>SUM(C11:C13)</f>
        <v>67392</v>
      </c>
      <c r="D14" s="54">
        <f t="shared" ref="D14:K14" si="6">SUM(D11:D13)</f>
        <v>79027.199999999997</v>
      </c>
      <c r="E14" s="54">
        <f t="shared" si="6"/>
        <v>37368</v>
      </c>
      <c r="F14" s="54">
        <f t="shared" si="6"/>
        <v>20698.560000000001</v>
      </c>
      <c r="G14" s="54">
        <f t="shared" si="6"/>
        <v>68979.960000000006</v>
      </c>
      <c r="H14" s="54">
        <f t="shared" si="6"/>
        <v>28042.559999999998</v>
      </c>
      <c r="I14" s="54">
        <f t="shared" si="6"/>
        <v>108000</v>
      </c>
      <c r="J14" s="54">
        <f t="shared" si="6"/>
        <v>0</v>
      </c>
      <c r="K14" s="54">
        <f t="shared" si="6"/>
        <v>0</v>
      </c>
      <c r="L14" s="54">
        <f t="shared" si="0"/>
        <v>409508.28</v>
      </c>
      <c r="W14" s="55" t="s">
        <v>38</v>
      </c>
      <c r="AM14" s="52" t="s">
        <v>39</v>
      </c>
      <c r="AN14" s="55" t="s">
        <v>38</v>
      </c>
    </row>
    <row r="15" spans="1:41">
      <c r="A15" s="192">
        <v>9</v>
      </c>
      <c r="B15" s="55" t="s">
        <v>40</v>
      </c>
      <c r="C15" s="54">
        <f>+C9-C10-C14</f>
        <v>87004.942397510633</v>
      </c>
      <c r="D15" s="54">
        <f t="shared" ref="D15:K15" si="7">+D9-D10-D14</f>
        <v>36225.972312036858</v>
      </c>
      <c r="E15" s="54">
        <f t="shared" si="7"/>
        <v>47520.534338216821</v>
      </c>
      <c r="F15" s="54">
        <f t="shared" si="7"/>
        <v>23036.226161777708</v>
      </c>
      <c r="G15" s="54">
        <f t="shared" si="7"/>
        <v>44984.105634377178</v>
      </c>
      <c r="H15" s="54">
        <f t="shared" si="7"/>
        <v>32297.664757290739</v>
      </c>
      <c r="I15" s="54">
        <f t="shared" si="7"/>
        <v>-43212.739766094135</v>
      </c>
      <c r="J15" s="54">
        <f t="shared" si="7"/>
        <v>0</v>
      </c>
      <c r="K15" s="54">
        <f t="shared" si="7"/>
        <v>0</v>
      </c>
      <c r="L15" s="54">
        <f t="shared" si="0"/>
        <v>227856.7058351158</v>
      </c>
      <c r="W15" s="55" t="s">
        <v>40</v>
      </c>
      <c r="AM15" s="52" t="s">
        <v>41</v>
      </c>
      <c r="AN15" s="55" t="s">
        <v>40</v>
      </c>
    </row>
    <row r="16" spans="1:41">
      <c r="A16" s="192">
        <v>10</v>
      </c>
      <c r="B16" s="52" t="s">
        <v>42</v>
      </c>
      <c r="C16" s="56">
        <f>+C15/C9</f>
        <v>9.2953998287938711E-2</v>
      </c>
      <c r="D16" s="56">
        <f t="shared" ref="D16:L16" si="8">+D15/D9</f>
        <v>3.3004712383415506E-2</v>
      </c>
      <c r="E16" s="56">
        <f t="shared" si="8"/>
        <v>9.1561723195022773E-2</v>
      </c>
      <c r="F16" s="56">
        <f t="shared" si="8"/>
        <v>8.0131578411638052E-2</v>
      </c>
      <c r="G16" s="56">
        <f t="shared" si="8"/>
        <v>4.0432243644840979E-2</v>
      </c>
      <c r="H16" s="56">
        <f t="shared" si="8"/>
        <v>8.2925091807771231E-2</v>
      </c>
      <c r="I16" s="56">
        <f t="shared" si="8"/>
        <v>-2.8808493177396088E-2</v>
      </c>
      <c r="J16" s="56" t="e">
        <f t="shared" si="8"/>
        <v>#DIV/0!</v>
      </c>
      <c r="K16" s="56" t="e">
        <f t="shared" si="8"/>
        <v>#DIV/0!</v>
      </c>
      <c r="L16" s="56">
        <f t="shared" si="8"/>
        <v>3.9002267291628721E-2</v>
      </c>
      <c r="W16" s="52" t="s">
        <v>42</v>
      </c>
      <c r="AM16" s="52" t="s">
        <v>43</v>
      </c>
      <c r="AN16" s="52" t="s">
        <v>42</v>
      </c>
    </row>
    <row r="17" spans="1:41">
      <c r="A17" s="192">
        <v>11</v>
      </c>
      <c r="B17" s="52" t="s">
        <v>44</v>
      </c>
      <c r="C17" s="54">
        <f>C6*C43+C18</f>
        <v>5520.5555555555557</v>
      </c>
      <c r="D17" s="54">
        <f t="shared" ref="D17:K17" si="9">D6*D43+D18</f>
        <v>5520.5555555555557</v>
      </c>
      <c r="E17" s="54">
        <f t="shared" si="9"/>
        <v>2070.2083333333335</v>
      </c>
      <c r="F17" s="54">
        <f t="shared" si="9"/>
        <v>1380.1388888888889</v>
      </c>
      <c r="G17" s="54">
        <f t="shared" si="9"/>
        <v>4830.4861111111113</v>
      </c>
      <c r="H17" s="54">
        <f t="shared" si="9"/>
        <v>1380.1388888888889</v>
      </c>
      <c r="I17" s="54">
        <f t="shared" si="9"/>
        <v>20702.083333333332</v>
      </c>
      <c r="J17" s="54">
        <f t="shared" si="9"/>
        <v>0</v>
      </c>
      <c r="K17" s="54">
        <f t="shared" si="9"/>
        <v>0</v>
      </c>
      <c r="L17" s="54">
        <f>SUM(C17:K17)</f>
        <v>41404.166666666672</v>
      </c>
      <c r="M17" s="69"/>
      <c r="W17" s="52" t="s">
        <v>44</v>
      </c>
      <c r="AM17" s="52" t="s">
        <v>45</v>
      </c>
      <c r="AN17" s="52" t="s">
        <v>44</v>
      </c>
    </row>
    <row r="18" spans="1:41" s="46" customFormat="1">
      <c r="A18" s="192">
        <v>12</v>
      </c>
      <c r="B18" s="57" t="s">
        <v>146</v>
      </c>
      <c r="C18" s="58">
        <f>$L$18/$L$6*C6</f>
        <v>5520.5555555555557</v>
      </c>
      <c r="D18" s="58">
        <f t="shared" ref="D18:K18" si="10">$L$18/$L$6*D6</f>
        <v>5520.5555555555557</v>
      </c>
      <c r="E18" s="58">
        <f t="shared" si="10"/>
        <v>2070.2083333333335</v>
      </c>
      <c r="F18" s="58">
        <f t="shared" si="10"/>
        <v>1380.1388888888889</v>
      </c>
      <c r="G18" s="58">
        <f t="shared" si="10"/>
        <v>4830.4861111111113</v>
      </c>
      <c r="H18" s="58">
        <f t="shared" si="10"/>
        <v>1380.1388888888889</v>
      </c>
      <c r="I18" s="58">
        <f t="shared" si="10"/>
        <v>20702.083333333332</v>
      </c>
      <c r="J18" s="58">
        <f t="shared" si="10"/>
        <v>0</v>
      </c>
      <c r="K18" s="58">
        <f t="shared" si="10"/>
        <v>0</v>
      </c>
      <c r="L18" s="58">
        <f>项目投资!G26</f>
        <v>41404.166666666664</v>
      </c>
      <c r="M18" s="70" t="s">
        <v>147</v>
      </c>
      <c r="N18" s="70"/>
      <c r="O18" s="70"/>
    </row>
    <row r="19" spans="1:41">
      <c r="A19" s="192">
        <v>13</v>
      </c>
      <c r="B19" s="52" t="s">
        <v>46</v>
      </c>
      <c r="C19" s="54">
        <f>C6*C44</f>
        <v>0</v>
      </c>
      <c r="D19" s="54">
        <f t="shared" ref="D19:K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11"/>
        <v>0</v>
      </c>
      <c r="J19" s="54">
        <f t="shared" si="11"/>
        <v>0</v>
      </c>
      <c r="K19" s="54">
        <f t="shared" si="11"/>
        <v>0</v>
      </c>
      <c r="L19" s="54">
        <f>SUM(C19:K19)</f>
        <v>0</v>
      </c>
      <c r="M19" s="46"/>
      <c r="W19" s="52" t="s">
        <v>46</v>
      </c>
      <c r="AM19" s="52" t="s">
        <v>47</v>
      </c>
      <c r="AN19" s="52" t="s">
        <v>46</v>
      </c>
      <c r="AO19" s="48" t="s">
        <v>20</v>
      </c>
    </row>
    <row r="20" spans="1:41">
      <c r="A20" s="192">
        <v>14</v>
      </c>
      <c r="B20" s="52" t="s">
        <v>48</v>
      </c>
      <c r="C20" s="54">
        <f>C6*C45</f>
        <v>0</v>
      </c>
      <c r="D20" s="54">
        <f t="shared" ref="D20:K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12"/>
        <v>0</v>
      </c>
      <c r="J20" s="54">
        <f t="shared" si="12"/>
        <v>0</v>
      </c>
      <c r="K20" s="54">
        <f t="shared" si="12"/>
        <v>0</v>
      </c>
      <c r="L20" s="54">
        <f>SUM(C20:K20)</f>
        <v>0</v>
      </c>
      <c r="W20" s="52" t="s">
        <v>48</v>
      </c>
      <c r="AM20" s="52" t="s">
        <v>49</v>
      </c>
      <c r="AN20" s="52" t="s">
        <v>48</v>
      </c>
    </row>
    <row r="21" spans="1:41">
      <c r="A21" s="192">
        <v>15</v>
      </c>
      <c r="B21" s="52" t="s">
        <v>50</v>
      </c>
      <c r="C21" s="59">
        <f>$L$21/$L$6*C6</f>
        <v>3542.2222222222226</v>
      </c>
      <c r="D21" s="59">
        <f t="shared" ref="D21:K21" si="13">$L$21/$L$6*D6</f>
        <v>3542.2222222222226</v>
      </c>
      <c r="E21" s="59">
        <f t="shared" si="13"/>
        <v>1328.3333333333335</v>
      </c>
      <c r="F21" s="59">
        <f t="shared" si="13"/>
        <v>885.55555555555566</v>
      </c>
      <c r="G21" s="59">
        <f t="shared" si="13"/>
        <v>3099.4444444444448</v>
      </c>
      <c r="H21" s="59">
        <f t="shared" si="13"/>
        <v>885.55555555555566</v>
      </c>
      <c r="I21" s="59">
        <f t="shared" si="13"/>
        <v>13283.333333333334</v>
      </c>
      <c r="J21" s="59">
        <f t="shared" si="13"/>
        <v>0</v>
      </c>
      <c r="K21" s="59">
        <f t="shared" si="13"/>
        <v>0</v>
      </c>
      <c r="L21" s="54">
        <f>项目投资!G27</f>
        <v>26566.666666666668</v>
      </c>
      <c r="W21" s="52" t="s">
        <v>50</v>
      </c>
      <c r="AM21" s="52"/>
      <c r="AN21" s="52"/>
    </row>
    <row r="22" spans="1:41">
      <c r="A22" s="192">
        <v>16</v>
      </c>
      <c r="B22" s="52" t="s">
        <v>51</v>
      </c>
      <c r="C22" s="54">
        <f>C6*C47</f>
        <v>37440</v>
      </c>
      <c r="D22" s="54">
        <f t="shared" ref="D22:K22" si="14">D6*D47</f>
        <v>43904</v>
      </c>
      <c r="E22" s="54">
        <f t="shared" si="14"/>
        <v>20760</v>
      </c>
      <c r="F22" s="54">
        <f t="shared" si="14"/>
        <v>11499.2</v>
      </c>
      <c r="G22" s="54">
        <f t="shared" si="14"/>
        <v>44503.200000000004</v>
      </c>
      <c r="H22" s="54">
        <f t="shared" si="14"/>
        <v>15579.2</v>
      </c>
      <c r="I22" s="54">
        <f t="shared" si="14"/>
        <v>60000</v>
      </c>
      <c r="J22" s="54">
        <f t="shared" si="14"/>
        <v>0</v>
      </c>
      <c r="K22" s="54">
        <f t="shared" si="14"/>
        <v>0</v>
      </c>
      <c r="L22" s="54">
        <f>SUM(C22:K22)</f>
        <v>233685.6</v>
      </c>
      <c r="W22" s="52" t="s">
        <v>51</v>
      </c>
      <c r="AM22" s="52" t="s">
        <v>52</v>
      </c>
      <c r="AN22" s="52" t="s">
        <v>51</v>
      </c>
    </row>
    <row r="23" spans="1:41">
      <c r="A23" s="192">
        <v>17</v>
      </c>
      <c r="B23" s="55" t="s">
        <v>53</v>
      </c>
      <c r="C23" s="59">
        <f>+C22+C21+C20+C19+C17</f>
        <v>46502.777777777774</v>
      </c>
      <c r="D23" s="59">
        <f t="shared" ref="D23:L23" si="15">+D22+D21+D20+D19+D17</f>
        <v>52966.777777777774</v>
      </c>
      <c r="E23" s="59">
        <f t="shared" si="15"/>
        <v>24158.541666666664</v>
      </c>
      <c r="F23" s="59">
        <f t="shared" si="15"/>
        <v>13764.894444444444</v>
      </c>
      <c r="G23" s="59">
        <f t="shared" si="15"/>
        <v>52433.130555555559</v>
      </c>
      <c r="H23" s="59">
        <f t="shared" si="15"/>
        <v>17844.894444444446</v>
      </c>
      <c r="I23" s="59">
        <f t="shared" si="15"/>
        <v>93985.416666666657</v>
      </c>
      <c r="J23" s="59">
        <f t="shared" si="15"/>
        <v>0</v>
      </c>
      <c r="K23" s="59">
        <f t="shared" si="15"/>
        <v>0</v>
      </c>
      <c r="L23" s="59">
        <f t="shared" si="15"/>
        <v>301656.43333333335</v>
      </c>
      <c r="W23" s="55" t="s">
        <v>53</v>
      </c>
      <c r="AM23" s="52" t="s">
        <v>54</v>
      </c>
      <c r="AN23" s="55" t="s">
        <v>53</v>
      </c>
    </row>
    <row r="24" spans="1:41">
      <c r="A24" s="192">
        <v>18</v>
      </c>
      <c r="B24" s="60" t="s">
        <v>55</v>
      </c>
      <c r="C24" s="59">
        <f>+C15-C23</f>
        <v>40502.164619732859</v>
      </c>
      <c r="D24" s="59">
        <f t="shared" ref="D24:L24" si="16">+D15-D23</f>
        <v>-16740.805465740916</v>
      </c>
      <c r="E24" s="59">
        <f t="shared" si="16"/>
        <v>23361.992671550157</v>
      </c>
      <c r="F24" s="59">
        <f t="shared" si="16"/>
        <v>9271.3317173332634</v>
      </c>
      <c r="G24" s="59">
        <f t="shared" si="16"/>
        <v>-7449.0249211783812</v>
      </c>
      <c r="H24" s="59">
        <f t="shared" si="16"/>
        <v>14452.770312846293</v>
      </c>
      <c r="I24" s="59">
        <f t="shared" si="16"/>
        <v>-137198.15643276079</v>
      </c>
      <c r="J24" s="59">
        <f t="shared" si="16"/>
        <v>0</v>
      </c>
      <c r="K24" s="59">
        <f t="shared" si="16"/>
        <v>0</v>
      </c>
      <c r="L24" s="59">
        <f t="shared" si="16"/>
        <v>-73799.727498217544</v>
      </c>
      <c r="N24" s="71"/>
      <c r="W24" s="52" t="s">
        <v>55</v>
      </c>
      <c r="AM24" s="52" t="s">
        <v>56</v>
      </c>
      <c r="AN24" s="52" t="s">
        <v>55</v>
      </c>
    </row>
    <row r="25" spans="1:41">
      <c r="A25" s="192">
        <v>19</v>
      </c>
      <c r="B25" s="52" t="s">
        <v>232</v>
      </c>
      <c r="C25" s="59">
        <f>IF(C24&lt;0,0,C24*0.15)</f>
        <v>6075.3246929599291</v>
      </c>
      <c r="D25" s="59">
        <f>IF(D24&lt;0,0,D24*0.15)</f>
        <v>0</v>
      </c>
      <c r="E25" s="59">
        <f t="shared" ref="E25:K25" si="17">IF(E24&lt;0,0,E24*0.25)</f>
        <v>5840.4981678875392</v>
      </c>
      <c r="F25" s="59">
        <f>IF(F24&lt;0,0,F24*0.15)</f>
        <v>1390.6997575999894</v>
      </c>
      <c r="G25" s="59">
        <f t="shared" si="17"/>
        <v>0</v>
      </c>
      <c r="H25" s="59">
        <f t="shared" si="17"/>
        <v>3613.1925782115732</v>
      </c>
      <c r="I25" s="59">
        <f t="shared" si="17"/>
        <v>0</v>
      </c>
      <c r="J25" s="59">
        <f t="shared" si="17"/>
        <v>0</v>
      </c>
      <c r="K25" s="59">
        <f t="shared" si="17"/>
        <v>0</v>
      </c>
      <c r="L25" s="59">
        <f>IF(L24&lt;0,0,L24*0.15)</f>
        <v>0</v>
      </c>
      <c r="M25" s="67"/>
      <c r="N25" s="67"/>
      <c r="O25" s="67"/>
      <c r="W25" s="52" t="s">
        <v>57</v>
      </c>
      <c r="AM25" s="52" t="s">
        <v>58</v>
      </c>
      <c r="AN25" s="52" t="s">
        <v>57</v>
      </c>
    </row>
    <row r="26" spans="1:41">
      <c r="A26" s="192">
        <v>20</v>
      </c>
      <c r="B26" s="52" t="s">
        <v>59</v>
      </c>
      <c r="C26" s="59">
        <f t="shared" ref="C26:K26" si="18">C24-C25</f>
        <v>34426.839926772933</v>
      </c>
      <c r="D26" s="59">
        <f t="shared" si="18"/>
        <v>-16740.805465740916</v>
      </c>
      <c r="E26" s="59">
        <f t="shared" si="18"/>
        <v>17521.494503662616</v>
      </c>
      <c r="F26" s="59">
        <f t="shared" si="18"/>
        <v>7880.631959733274</v>
      </c>
      <c r="G26" s="59">
        <f t="shared" si="18"/>
        <v>-7449.0249211783812</v>
      </c>
      <c r="H26" s="59">
        <f t="shared" si="18"/>
        <v>10839.57773463472</v>
      </c>
      <c r="I26" s="59">
        <f t="shared" si="18"/>
        <v>-137198.15643276079</v>
      </c>
      <c r="J26" s="59">
        <f t="shared" si="18"/>
        <v>0</v>
      </c>
      <c r="K26" s="59">
        <f t="shared" si="18"/>
        <v>0</v>
      </c>
      <c r="L26" s="54">
        <f>L24-L25</f>
        <v>-73799.727498217544</v>
      </c>
      <c r="M26" s="177"/>
      <c r="N26" s="67"/>
      <c r="O26" s="67"/>
      <c r="W26" s="52" t="s">
        <v>59</v>
      </c>
      <c r="AM26" s="52" t="s">
        <v>60</v>
      </c>
      <c r="AN26" s="52" t="s">
        <v>59</v>
      </c>
    </row>
    <row r="27" spans="1:41">
      <c r="A27" s="192">
        <v>21</v>
      </c>
      <c r="B27" s="52" t="s">
        <v>63</v>
      </c>
      <c r="C27" s="61">
        <f t="shared" ref="C27:L27" si="19">C26/C7</f>
        <v>3.6780811887577917E-2</v>
      </c>
      <c r="D27" s="61">
        <f t="shared" si="19"/>
        <v>-1.5252191568641505E-2</v>
      </c>
      <c r="E27" s="61">
        <f t="shared" si="19"/>
        <v>3.3760105016690974E-2</v>
      </c>
      <c r="F27" s="61">
        <f t="shared" si="19"/>
        <v>2.741280075042881E-2</v>
      </c>
      <c r="G27" s="61">
        <f t="shared" si="19"/>
        <v>-6.6952712804278173E-3</v>
      </c>
      <c r="H27" s="61">
        <f t="shared" si="19"/>
        <v>2.7830896925733595E-2</v>
      </c>
      <c r="I27" s="61">
        <f t="shared" si="19"/>
        <v>-9.1465437621840534E-2</v>
      </c>
      <c r="J27" s="61" t="e">
        <f t="shared" si="19"/>
        <v>#DIV/0!</v>
      </c>
      <c r="K27" s="61" t="e">
        <f t="shared" si="19"/>
        <v>#DIV/0!</v>
      </c>
      <c r="L27" s="61">
        <f t="shared" si="19"/>
        <v>-1.2632310676946725E-2</v>
      </c>
      <c r="M27" s="175"/>
      <c r="N27" s="67"/>
      <c r="O27" s="67"/>
      <c r="W27" s="52" t="s">
        <v>63</v>
      </c>
      <c r="AM27" s="52" t="s">
        <v>62</v>
      </c>
      <c r="AN27" s="52" t="s">
        <v>63</v>
      </c>
    </row>
    <row r="28" spans="1:41">
      <c r="M28" s="67"/>
      <c r="N28" s="67"/>
      <c r="O28" s="67"/>
      <c r="W28" s="52"/>
    </row>
    <row r="29" spans="1:41">
      <c r="A29" s="48" t="s">
        <v>64</v>
      </c>
      <c r="L29" s="49" t="s">
        <v>148</v>
      </c>
      <c r="M29" s="67"/>
      <c r="N29" s="67"/>
      <c r="O29" s="67"/>
      <c r="W29" s="52"/>
      <c r="AM29" s="48" t="s">
        <v>64</v>
      </c>
    </row>
    <row r="30" spans="1:41">
      <c r="A30" s="52" t="s">
        <v>65</v>
      </c>
      <c r="B30" s="55" t="s">
        <v>66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7"/>
      <c r="N30" s="67"/>
      <c r="O30" s="67"/>
      <c r="Q30" s="67"/>
      <c r="W30" s="55" t="s">
        <v>66</v>
      </c>
      <c r="AM30" s="52" t="s">
        <v>67</v>
      </c>
      <c r="AN30" s="55" t="s">
        <v>66</v>
      </c>
    </row>
    <row r="31" spans="1:41">
      <c r="A31" s="192">
        <v>1</v>
      </c>
      <c r="B31" s="57" t="s">
        <v>68</v>
      </c>
      <c r="C31" s="63">
        <f>销量!C8</f>
        <v>1170</v>
      </c>
      <c r="D31" s="63">
        <f>销量!D8</f>
        <v>1372</v>
      </c>
      <c r="E31" s="63">
        <f>销量!E8</f>
        <v>1730</v>
      </c>
      <c r="F31" s="63">
        <f>销量!F8</f>
        <v>1437.4</v>
      </c>
      <c r="G31" s="63">
        <f>销量!G8</f>
        <v>1589.4</v>
      </c>
      <c r="H31" s="63">
        <f>销量!H8</f>
        <v>1947.4</v>
      </c>
      <c r="I31" s="63">
        <f>销量!I8</f>
        <v>500</v>
      </c>
      <c r="J31" s="63">
        <f>销量!J8</f>
        <v>0</v>
      </c>
      <c r="K31" s="63">
        <f>销量!K8</f>
        <v>0</v>
      </c>
      <c r="L31" s="59"/>
      <c r="M31" s="67"/>
      <c r="N31" s="67"/>
      <c r="O31" s="67"/>
      <c r="Q31" s="67"/>
      <c r="W31" s="52" t="s">
        <v>68</v>
      </c>
      <c r="AM31" s="52" t="s">
        <v>22</v>
      </c>
      <c r="AN31" s="52" t="s">
        <v>68</v>
      </c>
    </row>
    <row r="32" spans="1:41">
      <c r="A32" s="192">
        <v>2</v>
      </c>
      <c r="B32" s="52" t="s">
        <v>149</v>
      </c>
      <c r="C32" s="54">
        <f>C9/C6</f>
        <v>1170</v>
      </c>
      <c r="D32" s="54">
        <f t="shared" ref="D32:K32" si="20">D9/D6</f>
        <v>1372</v>
      </c>
      <c r="E32" s="54">
        <f t="shared" si="20"/>
        <v>1730</v>
      </c>
      <c r="F32" s="54">
        <f t="shared" si="20"/>
        <v>1437.4</v>
      </c>
      <c r="G32" s="54">
        <f t="shared" si="20"/>
        <v>1589.4</v>
      </c>
      <c r="H32" s="54">
        <f t="shared" si="20"/>
        <v>1947.4</v>
      </c>
      <c r="I32" s="54">
        <f t="shared" si="20"/>
        <v>500</v>
      </c>
      <c r="J32" s="54" t="e">
        <f t="shared" si="20"/>
        <v>#DIV/0!</v>
      </c>
      <c r="K32" s="54" t="e">
        <f t="shared" si="20"/>
        <v>#DIV/0!</v>
      </c>
      <c r="L32" s="59"/>
      <c r="M32" s="67"/>
      <c r="N32" s="67"/>
      <c r="O32" s="67"/>
      <c r="P32" s="67"/>
      <c r="Q32" s="67"/>
      <c r="R32" s="67"/>
      <c r="S32" s="67"/>
      <c r="AM32" s="52"/>
      <c r="AN32" s="52"/>
    </row>
    <row r="33" spans="1:40">
      <c r="A33" s="192">
        <v>3</v>
      </c>
      <c r="B33" s="57" t="s">
        <v>69</v>
      </c>
      <c r="C33" s="54">
        <f>材料成本!D17</f>
        <v>977.00382200311174</v>
      </c>
      <c r="D33" s="54">
        <f>材料成本!E17</f>
        <v>1227.933534609954</v>
      </c>
      <c r="E33" s="54">
        <f>材料成本!F17</f>
        <v>1447.0382188726105</v>
      </c>
      <c r="F33" s="54">
        <f>材料成本!G17</f>
        <v>1218.7260691911115</v>
      </c>
      <c r="G33" s="54">
        <f>材料成本!H17</f>
        <v>1426.5941919508898</v>
      </c>
      <c r="H33" s="54">
        <f>材料成本!I17</f>
        <v>1645.6988762135463</v>
      </c>
      <c r="I33" s="54">
        <f>材料成本!J17</f>
        <v>478.40424658869802</v>
      </c>
      <c r="J33" s="54">
        <f>材料成本!K17</f>
        <v>0</v>
      </c>
      <c r="K33" s="54">
        <f>材料成本!L17</f>
        <v>0</v>
      </c>
      <c r="L33" s="59"/>
      <c r="N33" s="67"/>
      <c r="O33" s="67"/>
      <c r="P33" s="67"/>
      <c r="Q33" s="67"/>
      <c r="R33" s="67"/>
      <c r="S33" s="67"/>
      <c r="W33" s="52" t="s">
        <v>69</v>
      </c>
      <c r="AM33" s="52" t="s">
        <v>24</v>
      </c>
      <c r="AN33" s="52" t="s">
        <v>69</v>
      </c>
    </row>
    <row r="34" spans="1:40" ht="17.25" customHeight="1">
      <c r="A34" s="192">
        <v>4</v>
      </c>
      <c r="B34" s="52" t="s">
        <v>71</v>
      </c>
      <c r="C34" s="64">
        <f>C32-C33</f>
        <v>192.99617799688826</v>
      </c>
      <c r="D34" s="64">
        <f t="shared" ref="D34:K34" si="21">D32-D33</f>
        <v>144.06646539004601</v>
      </c>
      <c r="E34" s="64">
        <f t="shared" si="21"/>
        <v>282.96178112738949</v>
      </c>
      <c r="F34" s="64">
        <f t="shared" si="21"/>
        <v>218.6739308088886</v>
      </c>
      <c r="G34" s="64">
        <f t="shared" si="21"/>
        <v>162.80580804911028</v>
      </c>
      <c r="H34" s="64">
        <f t="shared" si="21"/>
        <v>301.70112378645376</v>
      </c>
      <c r="I34" s="64">
        <f t="shared" si="21"/>
        <v>21.595753411301985</v>
      </c>
      <c r="J34" s="64" t="e">
        <f t="shared" si="21"/>
        <v>#DIV/0!</v>
      </c>
      <c r="K34" s="64" t="e">
        <f t="shared" si="21"/>
        <v>#DIV/0!</v>
      </c>
      <c r="L34" s="59"/>
      <c r="N34" s="67"/>
      <c r="O34" s="67"/>
      <c r="P34" s="67"/>
      <c r="Q34" s="67"/>
      <c r="R34" s="67"/>
      <c r="S34" s="67"/>
      <c r="W34" s="52" t="s">
        <v>71</v>
      </c>
      <c r="AM34" s="52" t="s">
        <v>70</v>
      </c>
      <c r="AN34" s="52" t="s">
        <v>71</v>
      </c>
    </row>
    <row r="35" spans="1:40">
      <c r="A35" s="52" t="s">
        <v>67</v>
      </c>
      <c r="B35" s="55" t="s">
        <v>10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55" t="s">
        <v>10</v>
      </c>
      <c r="AM35" s="52" t="s">
        <v>73</v>
      </c>
      <c r="AN35" s="55" t="s">
        <v>10</v>
      </c>
    </row>
    <row r="36" spans="1:40">
      <c r="A36" s="192">
        <v>1</v>
      </c>
      <c r="B36" s="52" t="s">
        <v>74</v>
      </c>
      <c r="C36" s="58">
        <f>'2023年'!C36</f>
        <v>55.341000000000001</v>
      </c>
      <c r="D36" s="58">
        <f>'2023年'!D36</f>
        <v>64.895600000000002</v>
      </c>
      <c r="E36" s="58">
        <f>'2023年'!E36</f>
        <v>81.829000000000008</v>
      </c>
      <c r="F36" s="58">
        <f>'2023年'!F36</f>
        <v>67.989020000000011</v>
      </c>
      <c r="G36" s="58">
        <f>'2023年'!G36</f>
        <v>75.178620000000009</v>
      </c>
      <c r="H36" s="58">
        <f>'2023年'!H36</f>
        <v>92.112020000000001</v>
      </c>
      <c r="I36" s="58">
        <f>'2023年'!I36</f>
        <v>23.650000000000002</v>
      </c>
      <c r="J36" s="58">
        <f>'2023年'!J36</f>
        <v>0</v>
      </c>
      <c r="K36" s="58">
        <f>'2023年'!K36</f>
        <v>0</v>
      </c>
      <c r="L36" s="63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52" t="s">
        <v>74</v>
      </c>
      <c r="AM36" s="52" t="s">
        <v>70</v>
      </c>
      <c r="AN36" s="52" t="s">
        <v>74</v>
      </c>
    </row>
    <row r="37" spans="1:40">
      <c r="A37" s="192">
        <v>2</v>
      </c>
      <c r="B37" s="52" t="s">
        <v>75</v>
      </c>
      <c r="C37" s="58">
        <f>'2023年'!C37</f>
        <v>17.198999999999998</v>
      </c>
      <c r="D37" s="58">
        <f>'2023年'!D37</f>
        <v>20.168399999999998</v>
      </c>
      <c r="E37" s="58">
        <f>'2023年'!E37</f>
        <v>25.431000000000001</v>
      </c>
      <c r="F37" s="58">
        <f>'2023年'!F37</f>
        <v>21.12978</v>
      </c>
      <c r="G37" s="58">
        <f>'2023年'!G37</f>
        <v>23.364180000000001</v>
      </c>
      <c r="H37" s="58">
        <f>'2023年'!H37</f>
        <v>28.62678</v>
      </c>
      <c r="I37" s="58">
        <f>'2023年'!I37</f>
        <v>7.35</v>
      </c>
      <c r="J37" s="58">
        <f>'2023年'!J37</f>
        <v>0</v>
      </c>
      <c r="K37" s="58">
        <f>'2023年'!K37</f>
        <v>0</v>
      </c>
      <c r="L37" s="63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52" t="s">
        <v>75</v>
      </c>
      <c r="AM37" s="52" t="s">
        <v>27</v>
      </c>
      <c r="AN37" s="52" t="s">
        <v>75</v>
      </c>
    </row>
    <row r="38" spans="1:40">
      <c r="A38" s="192">
        <v>3</v>
      </c>
      <c r="B38" s="52" t="s">
        <v>76</v>
      </c>
      <c r="C38" s="58">
        <f>'2023年'!C38</f>
        <v>11.700000000000001</v>
      </c>
      <c r="D38" s="58">
        <f>'2023年'!D38</f>
        <v>13.72</v>
      </c>
      <c r="E38" s="58">
        <f>'2023年'!E38</f>
        <v>17.3</v>
      </c>
      <c r="F38" s="58">
        <f>'2023年'!F38</f>
        <v>14.374000000000001</v>
      </c>
      <c r="G38" s="58">
        <f>'2023年'!G38</f>
        <v>0</v>
      </c>
      <c r="H38" s="58">
        <f>'2023年'!H38</f>
        <v>19.474</v>
      </c>
      <c r="I38" s="58">
        <f>'2023年'!I38</f>
        <v>5</v>
      </c>
      <c r="J38" s="58">
        <f>'2023年'!J38</f>
        <v>0</v>
      </c>
      <c r="K38" s="58">
        <f>'2023年'!K38</f>
        <v>0</v>
      </c>
      <c r="L38" s="63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52" t="s">
        <v>76</v>
      </c>
      <c r="AM38" s="52" t="s">
        <v>33</v>
      </c>
      <c r="AN38" s="52" t="s">
        <v>76</v>
      </c>
    </row>
    <row r="39" spans="1:40">
      <c r="A39" s="52" t="s">
        <v>73</v>
      </c>
      <c r="B39" s="55" t="s">
        <v>78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W39" s="55" t="s">
        <v>78</v>
      </c>
      <c r="AM39" s="52" t="s">
        <v>77</v>
      </c>
      <c r="AN39" s="55" t="s">
        <v>78</v>
      </c>
    </row>
    <row r="40" spans="1:40">
      <c r="A40" s="192">
        <v>1</v>
      </c>
      <c r="B40" s="52" t="s">
        <v>80</v>
      </c>
      <c r="C40" s="59">
        <f>C34-C36-C37-C38</f>
        <v>108.75617799688825</v>
      </c>
      <c r="D40" s="59">
        <f t="shared" ref="D40:K40" si="22">D34-D36-D37-D38</f>
        <v>45.282465390046006</v>
      </c>
      <c r="E40" s="59">
        <f t="shared" si="22"/>
        <v>158.40178112738946</v>
      </c>
      <c r="F40" s="59">
        <f t="shared" si="22"/>
        <v>115.18113080888858</v>
      </c>
      <c r="G40" s="59">
        <f t="shared" si="22"/>
        <v>64.263008049110269</v>
      </c>
      <c r="H40" s="59">
        <f t="shared" si="22"/>
        <v>161.48832378645378</v>
      </c>
      <c r="I40" s="59">
        <f t="shared" si="22"/>
        <v>-14.404246588698017</v>
      </c>
      <c r="J40" s="59" t="e">
        <f t="shared" si="22"/>
        <v>#DIV/0!</v>
      </c>
      <c r="K40" s="59" t="e">
        <f t="shared" si="22"/>
        <v>#DIV/0!</v>
      </c>
      <c r="L40" s="59"/>
      <c r="W40" s="52" t="s">
        <v>80</v>
      </c>
      <c r="AM40" s="52" t="s">
        <v>22</v>
      </c>
      <c r="AN40" s="52" t="s">
        <v>80</v>
      </c>
    </row>
    <row r="41" spans="1:40">
      <c r="A41" s="192">
        <v>2</v>
      </c>
      <c r="B41" s="52" t="s">
        <v>81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W41" s="52" t="s">
        <v>81</v>
      </c>
      <c r="AM41" s="52" t="s">
        <v>24</v>
      </c>
      <c r="AN41" s="52" t="s">
        <v>81</v>
      </c>
    </row>
    <row r="42" spans="1:40">
      <c r="A42" s="52" t="s">
        <v>77</v>
      </c>
      <c r="B42" s="55" t="s">
        <v>83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W42" s="55" t="s">
        <v>83</v>
      </c>
      <c r="AM42" s="52" t="s">
        <v>82</v>
      </c>
      <c r="AN42" s="55" t="s">
        <v>83</v>
      </c>
    </row>
    <row r="43" spans="1:40">
      <c r="A43" s="192">
        <v>1</v>
      </c>
      <c r="B43" s="60" t="s">
        <v>84</v>
      </c>
      <c r="C43" s="58">
        <f>'2023年'!C43</f>
        <v>0</v>
      </c>
      <c r="D43" s="58">
        <f>'2023年'!D43</f>
        <v>0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>
        <f>'2023年'!H43</f>
        <v>0</v>
      </c>
      <c r="I43" s="58">
        <f>'2023年'!I43</f>
        <v>0</v>
      </c>
      <c r="J43" s="58">
        <f>'2023年'!J43</f>
        <v>0</v>
      </c>
      <c r="K43" s="58">
        <f>'2023年'!K43</f>
        <v>0</v>
      </c>
      <c r="L43" s="59"/>
      <c r="W43" s="52" t="s">
        <v>84</v>
      </c>
      <c r="AM43" s="52" t="s">
        <v>22</v>
      </c>
      <c r="AN43" s="52" t="s">
        <v>84</v>
      </c>
    </row>
    <row r="44" spans="1:40">
      <c r="A44" s="192">
        <v>2</v>
      </c>
      <c r="B44" s="60" t="s">
        <v>85</v>
      </c>
      <c r="C44" s="58">
        <f>'2023年'!C44</f>
        <v>0</v>
      </c>
      <c r="D44" s="58">
        <f>'2023年'!D44</f>
        <v>0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>
        <f>'2023年'!H44</f>
        <v>0</v>
      </c>
      <c r="I44" s="58">
        <f>'2023年'!I44</f>
        <v>0</v>
      </c>
      <c r="J44" s="58">
        <f>'2023年'!J44</f>
        <v>0</v>
      </c>
      <c r="K44" s="58">
        <f>'2023年'!K44</f>
        <v>0</v>
      </c>
      <c r="L44" s="59"/>
      <c r="W44" s="52" t="s">
        <v>85</v>
      </c>
      <c r="AM44" s="52" t="s">
        <v>24</v>
      </c>
      <c r="AN44" s="52" t="s">
        <v>85</v>
      </c>
    </row>
    <row r="45" spans="1:40">
      <c r="A45" s="192">
        <v>3</v>
      </c>
      <c r="B45" s="60" t="s">
        <v>86</v>
      </c>
      <c r="C45" s="58">
        <f>'2023年'!C45</f>
        <v>0</v>
      </c>
      <c r="D45" s="58">
        <f>'2023年'!D45</f>
        <v>0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>
        <f>'2023年'!H45</f>
        <v>0</v>
      </c>
      <c r="I45" s="58">
        <f>'2023年'!I45</f>
        <v>0</v>
      </c>
      <c r="J45" s="58">
        <f>'2023年'!J45</f>
        <v>0</v>
      </c>
      <c r="K45" s="58">
        <f>'2023年'!K45</f>
        <v>0</v>
      </c>
      <c r="L45" s="59"/>
      <c r="W45" s="52" t="s">
        <v>86</v>
      </c>
      <c r="AM45" s="52" t="s">
        <v>70</v>
      </c>
      <c r="AN45" s="52" t="s">
        <v>86</v>
      </c>
    </row>
    <row r="46" spans="1:40" s="47" customFormat="1">
      <c r="A46" s="192">
        <v>4</v>
      </c>
      <c r="B46" s="60" t="s">
        <v>87</v>
      </c>
      <c r="C46" s="65">
        <f>C21/C6</f>
        <v>4.427777777777778</v>
      </c>
      <c r="D46" s="65">
        <f t="shared" ref="D46:K46" si="23">D21/D6</f>
        <v>4.427777777777778</v>
      </c>
      <c r="E46" s="65">
        <f t="shared" si="23"/>
        <v>4.427777777777778</v>
      </c>
      <c r="F46" s="65">
        <f t="shared" si="23"/>
        <v>4.427777777777778</v>
      </c>
      <c r="G46" s="65">
        <f t="shared" si="23"/>
        <v>4.427777777777778</v>
      </c>
      <c r="H46" s="65">
        <f t="shared" si="23"/>
        <v>4.427777777777778</v>
      </c>
      <c r="I46" s="65">
        <f t="shared" si="23"/>
        <v>4.427777777777778</v>
      </c>
      <c r="J46" s="65" t="e">
        <f t="shared" si="23"/>
        <v>#DIV/0!</v>
      </c>
      <c r="K46" s="65" t="e">
        <f t="shared" si="23"/>
        <v>#DIV/0!</v>
      </c>
      <c r="L46" s="65"/>
      <c r="W46" s="60" t="s">
        <v>89</v>
      </c>
      <c r="AM46" s="60" t="s">
        <v>30</v>
      </c>
      <c r="AN46" s="60" t="s">
        <v>89</v>
      </c>
    </row>
    <row r="47" spans="1:40" s="47" customFormat="1">
      <c r="A47" s="192">
        <v>5</v>
      </c>
      <c r="B47" s="60" t="s">
        <v>89</v>
      </c>
      <c r="C47" s="65">
        <f>'2023年'!C47</f>
        <v>46.800000000000004</v>
      </c>
      <c r="D47" s="65">
        <f>'2023年'!D47</f>
        <v>54.88</v>
      </c>
      <c r="E47" s="65">
        <f>'2023年'!E47</f>
        <v>69.2</v>
      </c>
      <c r="F47" s="65">
        <f>'2023年'!F47</f>
        <v>57.496000000000002</v>
      </c>
      <c r="G47" s="65">
        <f>'2023年'!G47</f>
        <v>63.576000000000008</v>
      </c>
      <c r="H47" s="65">
        <f>'2023年'!H47</f>
        <v>77.896000000000001</v>
      </c>
      <c r="I47" s="65">
        <f>'2023年'!I47</f>
        <v>20</v>
      </c>
      <c r="J47" s="65">
        <f>'2023年'!J47</f>
        <v>0</v>
      </c>
      <c r="K47" s="65">
        <f>'2023年'!K47</f>
        <v>0</v>
      </c>
      <c r="L47" s="65"/>
      <c r="W47" s="60" t="s">
        <v>89</v>
      </c>
      <c r="AM47" s="60" t="s">
        <v>30</v>
      </c>
      <c r="AN47" s="60" t="s">
        <v>89</v>
      </c>
    </row>
    <row r="48" spans="1:40">
      <c r="A48" s="52" t="s">
        <v>82</v>
      </c>
      <c r="B48" s="55" t="s">
        <v>100</v>
      </c>
      <c r="C48" s="59">
        <f>C40-C43-C44-C45-C47-C46</f>
        <v>57.528400219110473</v>
      </c>
      <c r="D48" s="59">
        <f t="shared" ref="D48:K48" si="24">D40-D43-D44-D45-D47-D46</f>
        <v>-14.025312387731773</v>
      </c>
      <c r="E48" s="59">
        <f t="shared" si="24"/>
        <v>84.774003349611675</v>
      </c>
      <c r="F48" s="59">
        <f t="shared" si="24"/>
        <v>53.257353031110803</v>
      </c>
      <c r="G48" s="59">
        <f t="shared" si="24"/>
        <v>-3.7407697286675168</v>
      </c>
      <c r="H48" s="59">
        <f t="shared" si="24"/>
        <v>79.164546008675998</v>
      </c>
      <c r="I48" s="59">
        <f t="shared" si="24"/>
        <v>-38.832024366475792</v>
      </c>
      <c r="J48" s="59" t="e">
        <f t="shared" si="24"/>
        <v>#DIV/0!</v>
      </c>
      <c r="K48" s="59" t="e">
        <f t="shared" si="24"/>
        <v>#DIV/0!</v>
      </c>
      <c r="L48" s="59"/>
      <c r="W48" s="55" t="s">
        <v>100</v>
      </c>
      <c r="AM48" s="52" t="s">
        <v>99</v>
      </c>
      <c r="AN48" s="55" t="s">
        <v>100</v>
      </c>
    </row>
    <row r="51" spans="2:17">
      <c r="C51" s="66"/>
      <c r="D51" s="66"/>
      <c r="E51" s="66"/>
      <c r="F51" s="66"/>
      <c r="G51" s="66"/>
      <c r="H51" s="66"/>
      <c r="I51" s="66"/>
      <c r="J51" s="66"/>
      <c r="K51" s="66"/>
    </row>
    <row r="54" spans="2:17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7"/>
      <c r="N54" s="67"/>
      <c r="O54" s="67"/>
      <c r="P54" s="67"/>
      <c r="Q54" s="67"/>
    </row>
    <row r="55" spans="2:17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7"/>
      <c r="N55" s="67"/>
      <c r="O55" s="67"/>
      <c r="P55" s="67"/>
      <c r="Q55" s="67"/>
    </row>
    <row r="56" spans="2:17"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7"/>
      <c r="N56" s="67"/>
      <c r="O56" s="67"/>
      <c r="P56" s="67"/>
      <c r="Q56" s="67"/>
    </row>
    <row r="57" spans="2:17"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7"/>
      <c r="N57" s="67"/>
      <c r="O57" s="67"/>
      <c r="P57" s="67"/>
      <c r="Q57" s="67"/>
    </row>
    <row r="58" spans="2:17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7"/>
      <c r="N58" s="67"/>
      <c r="O58" s="67"/>
      <c r="P58" s="67"/>
      <c r="Q58" s="67"/>
    </row>
    <row r="59" spans="2:17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7"/>
      <c r="N59" s="67"/>
      <c r="O59" s="67"/>
      <c r="P59" s="67"/>
      <c r="Q59" s="67"/>
    </row>
    <row r="60" spans="2:17"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7"/>
      <c r="N60" s="67"/>
      <c r="O60" s="67"/>
      <c r="P60" s="67"/>
      <c r="Q60" s="67"/>
    </row>
    <row r="61" spans="2:17"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7"/>
      <c r="N61" s="67"/>
      <c r="O61" s="67"/>
      <c r="P61" s="67"/>
      <c r="Q61" s="67"/>
    </row>
    <row r="62" spans="2:17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7"/>
      <c r="N62" s="67"/>
      <c r="O62" s="67"/>
      <c r="P62" s="67"/>
      <c r="Q62" s="67"/>
    </row>
    <row r="63" spans="2:17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7"/>
      <c r="N63" s="67"/>
      <c r="O63" s="67"/>
      <c r="P63" s="67"/>
      <c r="Q63" s="67"/>
    </row>
    <row r="64" spans="2:17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7"/>
      <c r="N64" s="67"/>
      <c r="O64" s="67"/>
      <c r="P64" s="67"/>
      <c r="Q64" s="67"/>
    </row>
    <row r="65" spans="2:17"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7"/>
      <c r="N65" s="67"/>
      <c r="O65" s="67"/>
      <c r="P65" s="67"/>
      <c r="Q65" s="67"/>
    </row>
    <row r="66" spans="2:17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7"/>
      <c r="N66" s="67"/>
      <c r="O66" s="67"/>
      <c r="P66" s="67"/>
      <c r="Q66" s="67"/>
    </row>
    <row r="67" spans="2:17">
      <c r="B67" s="67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7"/>
    </row>
    <row r="68" spans="2:17"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7"/>
    </row>
    <row r="69" spans="2:17">
      <c r="B69" s="67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7"/>
    </row>
    <row r="70" spans="2:17">
      <c r="B70" s="67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7"/>
    </row>
    <row r="71" spans="2:17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7"/>
    </row>
    <row r="72" spans="2:17">
      <c r="B72" s="67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7"/>
    </row>
    <row r="73" spans="2:17"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7"/>
    </row>
    <row r="74" spans="2:17"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7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zoomScale="90" zoomScaleNormal="90" workbookViewId="0">
      <pane xSplit="2" ySplit="7" topLeftCell="C11" activePane="bottomRight" state="frozen"/>
      <selection pane="topRight"/>
      <selection pane="bottomLeft"/>
      <selection pane="bottomRight" activeCell="L22" sqref="L22"/>
    </sheetView>
  </sheetViews>
  <sheetFormatPr defaultColWidth="9" defaultRowHeight="16.5"/>
  <cols>
    <col min="1" max="1" width="5.125" style="48" customWidth="1"/>
    <col min="2" max="2" width="17.5" style="48" customWidth="1"/>
    <col min="3" max="11" width="13.25" style="49" customWidth="1"/>
    <col min="12" max="12" width="18.75" style="49" customWidth="1"/>
    <col min="13" max="13" width="12.375" style="48" customWidth="1"/>
    <col min="14" max="14" width="10.125" style="48" customWidth="1"/>
    <col min="15" max="21" width="9" style="48" customWidth="1"/>
    <col min="22" max="38" width="9" style="48"/>
    <col min="39" max="39" width="4.375" style="48" customWidth="1"/>
    <col min="40" max="40" width="13.875" style="48" customWidth="1"/>
    <col min="41" max="16384" width="9" style="48"/>
  </cols>
  <sheetData>
    <row r="1" spans="1:41">
      <c r="A1" s="234" t="s">
        <v>140</v>
      </c>
      <c r="B1" s="234"/>
      <c r="C1" s="238" t="s">
        <v>286</v>
      </c>
      <c r="D1" s="239"/>
      <c r="E1" s="239"/>
      <c r="F1" s="239"/>
      <c r="G1" s="239"/>
      <c r="H1" s="239"/>
      <c r="I1" s="239"/>
      <c r="J1" s="239"/>
      <c r="K1" s="239"/>
      <c r="L1" s="240"/>
    </row>
    <row r="2" spans="1:41">
      <c r="A2" s="234" t="s">
        <v>141</v>
      </c>
      <c r="B2" s="234"/>
      <c r="C2" s="241" t="str">
        <f>'2023年'!C2:L2</f>
        <v>成都王牌</v>
      </c>
      <c r="D2" s="241"/>
      <c r="E2" s="241"/>
      <c r="F2" s="241"/>
      <c r="G2" s="241"/>
      <c r="H2" s="241"/>
      <c r="I2" s="241"/>
      <c r="J2" s="241"/>
      <c r="K2" s="241"/>
      <c r="L2" s="241"/>
    </row>
    <row r="3" spans="1:41">
      <c r="A3" s="234" t="s">
        <v>142</v>
      </c>
      <c r="B3" s="234"/>
      <c r="C3" s="159" t="str">
        <f>销量!C5</f>
        <v>正司机</v>
      </c>
      <c r="D3" s="159" t="str">
        <f>销量!D5</f>
        <v>正司机</v>
      </c>
      <c r="E3" s="159" t="str">
        <f>销量!E5</f>
        <v>正司机</v>
      </c>
      <c r="F3" s="159" t="str">
        <f>销量!F5</f>
        <v>正司机</v>
      </c>
      <c r="G3" s="159" t="str">
        <f>销量!G5</f>
        <v>正司机</v>
      </c>
      <c r="H3" s="159" t="str">
        <f>销量!H5</f>
        <v>正司机</v>
      </c>
      <c r="I3" s="159" t="str">
        <f>销量!I5</f>
        <v>副司机</v>
      </c>
      <c r="J3" s="159">
        <f>销量!J5</f>
        <v>0</v>
      </c>
      <c r="K3" s="159">
        <f>销量!K5</f>
        <v>0</v>
      </c>
      <c r="L3" s="235" t="s">
        <v>18</v>
      </c>
    </row>
    <row r="4" spans="1:41">
      <c r="A4" s="234" t="s">
        <v>143</v>
      </c>
      <c r="B4" s="234"/>
      <c r="C4" s="159" t="str">
        <f>销量!C6</f>
        <v>EZ160051000001</v>
      </c>
      <c r="D4" s="159" t="str">
        <f>销量!D6</f>
        <v>EZ160051000002</v>
      </c>
      <c r="E4" s="159" t="str">
        <f>销量!E6</f>
        <v>EZ160051000003</v>
      </c>
      <c r="F4" s="159" t="str">
        <f>销量!F6</f>
        <v>EZ160051000004</v>
      </c>
      <c r="G4" s="159" t="str">
        <f>销量!G6</f>
        <v>EZ160051000005</v>
      </c>
      <c r="H4" s="159" t="str">
        <f>销量!H6</f>
        <v>EZ160051000004</v>
      </c>
      <c r="I4" s="159" t="str">
        <f>销量!I6</f>
        <v>EZ16B251000008</v>
      </c>
      <c r="J4" s="159">
        <f>销量!J6</f>
        <v>0</v>
      </c>
      <c r="K4" s="159">
        <f>销量!K6</f>
        <v>0</v>
      </c>
      <c r="L4" s="236"/>
    </row>
    <row r="5" spans="1:41">
      <c r="A5" s="234" t="s">
        <v>144</v>
      </c>
      <c r="B5" s="234"/>
      <c r="C5" s="51"/>
      <c r="D5" s="51"/>
      <c r="E5" s="51"/>
      <c r="F5" s="51"/>
      <c r="G5" s="51"/>
      <c r="H5" s="51"/>
      <c r="I5" s="193"/>
      <c r="J5" s="193"/>
      <c r="K5" s="193"/>
      <c r="L5" s="237"/>
      <c r="AO5" s="48" t="s">
        <v>19</v>
      </c>
    </row>
    <row r="6" spans="1:41" ht="17.25">
      <c r="A6" s="52" t="s">
        <v>17</v>
      </c>
      <c r="B6" s="53" t="s">
        <v>145</v>
      </c>
      <c r="C6" s="22">
        <f>销量!C13</f>
        <v>600</v>
      </c>
      <c r="D6" s="22">
        <f>销量!D13</f>
        <v>400</v>
      </c>
      <c r="E6" s="22">
        <f>销量!E13</f>
        <v>500</v>
      </c>
      <c r="F6" s="22">
        <f>销量!F13</f>
        <v>100</v>
      </c>
      <c r="G6" s="22">
        <f>销量!G13</f>
        <v>100</v>
      </c>
      <c r="H6" s="22">
        <f>销量!H13</f>
        <v>300</v>
      </c>
      <c r="I6" s="22">
        <f>销量!I13</f>
        <v>2000</v>
      </c>
      <c r="J6" s="22">
        <f>销量!J13</f>
        <v>0</v>
      </c>
      <c r="K6" s="22">
        <f>销量!K13</f>
        <v>0</v>
      </c>
      <c r="L6" s="54">
        <f>SUM(C6:K6)</f>
        <v>4000</v>
      </c>
      <c r="W6" s="53" t="s">
        <v>3</v>
      </c>
      <c r="AM6" s="52" t="s">
        <v>17</v>
      </c>
      <c r="AN6" s="53" t="s">
        <v>3</v>
      </c>
      <c r="AO6" s="48" t="s">
        <v>20</v>
      </c>
    </row>
    <row r="7" spans="1:41">
      <c r="A7" s="192">
        <v>1</v>
      </c>
      <c r="B7" s="53" t="s">
        <v>21</v>
      </c>
      <c r="C7" s="54">
        <f>C6*销量!C8</f>
        <v>702000</v>
      </c>
      <c r="D7" s="54">
        <f>D6*销量!D8</f>
        <v>548800</v>
      </c>
      <c r="E7" s="54">
        <f>E6*销量!E8</f>
        <v>865000</v>
      </c>
      <c r="F7" s="54">
        <f>F6*销量!F8</f>
        <v>143740</v>
      </c>
      <c r="G7" s="54">
        <f>G6*销量!G8</f>
        <v>158940</v>
      </c>
      <c r="H7" s="54">
        <f>H6*销量!H8</f>
        <v>584220</v>
      </c>
      <c r="I7" s="54">
        <f>I6*销量!I8</f>
        <v>1000000</v>
      </c>
      <c r="J7" s="54">
        <f>J6*销量!J8</f>
        <v>0</v>
      </c>
      <c r="K7" s="54">
        <f>K6*销量!K8</f>
        <v>0</v>
      </c>
      <c r="L7" s="54">
        <f t="shared" ref="L7:L15" si="0">SUM(C7:K7)</f>
        <v>4002700</v>
      </c>
      <c r="M7" s="49"/>
      <c r="W7" s="53" t="s">
        <v>21</v>
      </c>
      <c r="AM7" s="52" t="s">
        <v>22</v>
      </c>
      <c r="AN7" s="53" t="s">
        <v>21</v>
      </c>
      <c r="AO7" s="48" t="s">
        <v>20</v>
      </c>
    </row>
    <row r="8" spans="1:41">
      <c r="A8" s="192">
        <v>2</v>
      </c>
      <c r="B8" s="192" t="s">
        <v>23</v>
      </c>
      <c r="C8" s="54">
        <f>C7*(1-销量!$O$8)</f>
        <v>0</v>
      </c>
      <c r="D8" s="54">
        <f>D7*(1-销量!$O$8)</f>
        <v>0</v>
      </c>
      <c r="E8" s="54">
        <f>E7*(1-销量!$O$8)</f>
        <v>0</v>
      </c>
      <c r="F8" s="54">
        <f>F7*(1-销量!$O$8)</f>
        <v>0</v>
      </c>
      <c r="G8" s="54">
        <f>G7*(1-销量!$O$8)</f>
        <v>0</v>
      </c>
      <c r="H8" s="54">
        <f>H7*(1-销量!$O$8)</f>
        <v>0</v>
      </c>
      <c r="I8" s="54">
        <f>I7*(1-销量!$O$8)</f>
        <v>0</v>
      </c>
      <c r="J8" s="54">
        <f>J7*(1-销量!$O$8)</f>
        <v>0</v>
      </c>
      <c r="K8" s="54">
        <f>K7*(1-销量!$O$8)</f>
        <v>0</v>
      </c>
      <c r="L8" s="54">
        <f t="shared" si="0"/>
        <v>0</v>
      </c>
      <c r="M8" s="69"/>
      <c r="W8" s="192" t="s">
        <v>25</v>
      </c>
      <c r="AM8" s="52" t="s">
        <v>24</v>
      </c>
      <c r="AN8" s="192" t="s">
        <v>25</v>
      </c>
      <c r="AO8" s="48" t="s">
        <v>20</v>
      </c>
    </row>
    <row r="9" spans="1:41">
      <c r="A9" s="192">
        <v>3</v>
      </c>
      <c r="B9" s="53" t="s">
        <v>26</v>
      </c>
      <c r="C9" s="54">
        <f>+C7-C8</f>
        <v>702000</v>
      </c>
      <c r="D9" s="54">
        <f t="shared" ref="D9:K9" si="1">+D7-D8</f>
        <v>548800</v>
      </c>
      <c r="E9" s="54">
        <f t="shared" si="1"/>
        <v>865000</v>
      </c>
      <c r="F9" s="54">
        <f t="shared" si="1"/>
        <v>143740</v>
      </c>
      <c r="G9" s="54">
        <f t="shared" si="1"/>
        <v>158940</v>
      </c>
      <c r="H9" s="54">
        <f t="shared" si="1"/>
        <v>584220</v>
      </c>
      <c r="I9" s="54">
        <f t="shared" si="1"/>
        <v>1000000</v>
      </c>
      <c r="J9" s="54">
        <f t="shared" si="1"/>
        <v>0</v>
      </c>
      <c r="K9" s="54">
        <f t="shared" si="1"/>
        <v>0</v>
      </c>
      <c r="L9" s="54">
        <f t="shared" si="0"/>
        <v>4002700</v>
      </c>
      <c r="W9" s="53" t="s">
        <v>26</v>
      </c>
      <c r="AM9" s="52" t="s">
        <v>27</v>
      </c>
      <c r="AN9" s="53" t="s">
        <v>26</v>
      </c>
      <c r="AO9" s="48" t="s">
        <v>28</v>
      </c>
    </row>
    <row r="10" spans="1:41">
      <c r="A10" s="192">
        <v>4</v>
      </c>
      <c r="B10" s="52" t="s">
        <v>29</v>
      </c>
      <c r="C10" s="54">
        <f>C6*C33</f>
        <v>586202.29320186703</v>
      </c>
      <c r="D10" s="54">
        <f t="shared" ref="D10:K10" si="2">D6*D33</f>
        <v>491173.41384398157</v>
      </c>
      <c r="E10" s="54">
        <f t="shared" si="2"/>
        <v>723519.10943630524</v>
      </c>
      <c r="F10" s="54">
        <f t="shared" si="2"/>
        <v>121872.60691911115</v>
      </c>
      <c r="G10" s="54">
        <f t="shared" si="2"/>
        <v>142659.41919508899</v>
      </c>
      <c r="H10" s="54">
        <f t="shared" si="2"/>
        <v>493709.66286406392</v>
      </c>
      <c r="I10" s="54">
        <f t="shared" si="2"/>
        <v>956808.49317739601</v>
      </c>
      <c r="J10" s="54">
        <f t="shared" si="2"/>
        <v>0</v>
      </c>
      <c r="K10" s="54">
        <f t="shared" si="2"/>
        <v>0</v>
      </c>
      <c r="L10" s="54">
        <f t="shared" si="0"/>
        <v>3515944.9986378141</v>
      </c>
      <c r="W10" s="52" t="s">
        <v>29</v>
      </c>
      <c r="AM10" s="52" t="s">
        <v>30</v>
      </c>
      <c r="AN10" s="52" t="s">
        <v>29</v>
      </c>
      <c r="AO10" s="48" t="s">
        <v>31</v>
      </c>
    </row>
    <row r="11" spans="1:41">
      <c r="A11" s="192">
        <v>5</v>
      </c>
      <c r="B11" s="52" t="s">
        <v>32</v>
      </c>
      <c r="C11" s="54">
        <f>+C6*C36</f>
        <v>33204.6</v>
      </c>
      <c r="D11" s="54">
        <f t="shared" ref="D11:K11" si="3">+D6*D36</f>
        <v>25958.240000000002</v>
      </c>
      <c r="E11" s="54">
        <f t="shared" si="3"/>
        <v>40914.500000000007</v>
      </c>
      <c r="F11" s="54">
        <f t="shared" si="3"/>
        <v>6798.902000000001</v>
      </c>
      <c r="G11" s="54">
        <f t="shared" si="3"/>
        <v>7517.862000000001</v>
      </c>
      <c r="H11" s="54">
        <f t="shared" si="3"/>
        <v>27633.606</v>
      </c>
      <c r="I11" s="54">
        <f t="shared" si="3"/>
        <v>47300.000000000007</v>
      </c>
      <c r="J11" s="54">
        <f t="shared" si="3"/>
        <v>0</v>
      </c>
      <c r="K11" s="54">
        <f t="shared" si="3"/>
        <v>0</v>
      </c>
      <c r="L11" s="54">
        <f t="shared" si="0"/>
        <v>189327.71</v>
      </c>
      <c r="W11" s="52" t="s">
        <v>32</v>
      </c>
      <c r="AM11" s="52" t="s">
        <v>33</v>
      </c>
      <c r="AN11" s="52" t="s">
        <v>32</v>
      </c>
    </row>
    <row r="12" spans="1:41">
      <c r="A12" s="192">
        <v>6</v>
      </c>
      <c r="B12" s="52" t="s">
        <v>34</v>
      </c>
      <c r="C12" s="54">
        <f>+C6*C37</f>
        <v>10319.4</v>
      </c>
      <c r="D12" s="54">
        <f t="shared" ref="D12:K12" si="4">+D6*D37</f>
        <v>8067.36</v>
      </c>
      <c r="E12" s="54">
        <f t="shared" si="4"/>
        <v>12715.5</v>
      </c>
      <c r="F12" s="54">
        <f t="shared" si="4"/>
        <v>2112.9780000000001</v>
      </c>
      <c r="G12" s="54">
        <f t="shared" si="4"/>
        <v>2336.4180000000001</v>
      </c>
      <c r="H12" s="54">
        <f t="shared" si="4"/>
        <v>8588.0339999999997</v>
      </c>
      <c r="I12" s="54">
        <f t="shared" si="4"/>
        <v>14700</v>
      </c>
      <c r="J12" s="54">
        <f t="shared" si="4"/>
        <v>0</v>
      </c>
      <c r="K12" s="54">
        <f t="shared" si="4"/>
        <v>0</v>
      </c>
      <c r="L12" s="54">
        <f t="shared" si="0"/>
        <v>58839.689999999995</v>
      </c>
      <c r="W12" s="52" t="s">
        <v>34</v>
      </c>
      <c r="AM12" s="52" t="s">
        <v>35</v>
      </c>
      <c r="AN12" s="52" t="s">
        <v>34</v>
      </c>
    </row>
    <row r="13" spans="1:41">
      <c r="A13" s="192">
        <v>7</v>
      </c>
      <c r="B13" s="52" t="s">
        <v>36</v>
      </c>
      <c r="C13" s="54">
        <f>+C6*C38</f>
        <v>7020.0000000000009</v>
      </c>
      <c r="D13" s="54">
        <f t="shared" ref="D13:K13" si="5">+D6*D38</f>
        <v>5488</v>
      </c>
      <c r="E13" s="54">
        <f t="shared" si="5"/>
        <v>8650</v>
      </c>
      <c r="F13" s="54">
        <f t="shared" si="5"/>
        <v>1437.4</v>
      </c>
      <c r="G13" s="54">
        <f t="shared" si="5"/>
        <v>0</v>
      </c>
      <c r="H13" s="54">
        <f t="shared" si="5"/>
        <v>5842.2</v>
      </c>
      <c r="I13" s="54">
        <f t="shared" si="5"/>
        <v>10000</v>
      </c>
      <c r="J13" s="54">
        <f t="shared" si="5"/>
        <v>0</v>
      </c>
      <c r="K13" s="54">
        <f t="shared" si="5"/>
        <v>0</v>
      </c>
      <c r="L13" s="54">
        <f t="shared" si="0"/>
        <v>38437.600000000006</v>
      </c>
      <c r="W13" s="52" t="s">
        <v>36</v>
      </c>
      <c r="AM13" s="52" t="s">
        <v>37</v>
      </c>
      <c r="AN13" s="52" t="s">
        <v>36</v>
      </c>
      <c r="AO13" s="48" t="s">
        <v>20</v>
      </c>
    </row>
    <row r="14" spans="1:41">
      <c r="A14" s="192">
        <v>8</v>
      </c>
      <c r="B14" s="55" t="s">
        <v>38</v>
      </c>
      <c r="C14" s="54">
        <f>SUM(C11:C13)</f>
        <v>50544</v>
      </c>
      <c r="D14" s="54">
        <f t="shared" ref="D14:K14" si="6">SUM(D11:D13)</f>
        <v>39513.599999999999</v>
      </c>
      <c r="E14" s="54">
        <f t="shared" si="6"/>
        <v>62280.000000000007</v>
      </c>
      <c r="F14" s="54">
        <f t="shared" si="6"/>
        <v>10349.280000000001</v>
      </c>
      <c r="G14" s="54">
        <f t="shared" si="6"/>
        <v>9854.2800000000007</v>
      </c>
      <c r="H14" s="54">
        <f t="shared" si="6"/>
        <v>42063.839999999997</v>
      </c>
      <c r="I14" s="54">
        <f t="shared" si="6"/>
        <v>72000</v>
      </c>
      <c r="J14" s="54">
        <f t="shared" si="6"/>
        <v>0</v>
      </c>
      <c r="K14" s="54">
        <f t="shared" si="6"/>
        <v>0</v>
      </c>
      <c r="L14" s="54">
        <f t="shared" si="0"/>
        <v>286605</v>
      </c>
      <c r="W14" s="55" t="s">
        <v>38</v>
      </c>
      <c r="AM14" s="52" t="s">
        <v>39</v>
      </c>
      <c r="AN14" s="55" t="s">
        <v>38</v>
      </c>
    </row>
    <row r="15" spans="1:41">
      <c r="A15" s="192">
        <v>9</v>
      </c>
      <c r="B15" s="55" t="s">
        <v>40</v>
      </c>
      <c r="C15" s="54">
        <f>+C9-C10-C14</f>
        <v>65253.706798132975</v>
      </c>
      <c r="D15" s="54">
        <f t="shared" ref="D15:K15" si="7">+D9-D10-D14</f>
        <v>18112.986156018429</v>
      </c>
      <c r="E15" s="54">
        <f t="shared" si="7"/>
        <v>79200.89056369476</v>
      </c>
      <c r="F15" s="54">
        <f t="shared" si="7"/>
        <v>11518.113080888854</v>
      </c>
      <c r="G15" s="54">
        <f t="shared" si="7"/>
        <v>6426.3008049110049</v>
      </c>
      <c r="H15" s="54">
        <f t="shared" si="7"/>
        <v>48446.497135936079</v>
      </c>
      <c r="I15" s="54">
        <f t="shared" si="7"/>
        <v>-28808.493177396012</v>
      </c>
      <c r="J15" s="54">
        <f t="shared" si="7"/>
        <v>0</v>
      </c>
      <c r="K15" s="54">
        <f t="shared" si="7"/>
        <v>0</v>
      </c>
      <c r="L15" s="54">
        <f t="shared" si="0"/>
        <v>200150.00136218607</v>
      </c>
      <c r="W15" s="55" t="s">
        <v>40</v>
      </c>
      <c r="AM15" s="52" t="s">
        <v>41</v>
      </c>
      <c r="AN15" s="55" t="s">
        <v>40</v>
      </c>
    </row>
    <row r="16" spans="1:41">
      <c r="A16" s="192">
        <v>10</v>
      </c>
      <c r="B16" s="52" t="s">
        <v>42</v>
      </c>
      <c r="C16" s="56">
        <f>+C15/C9</f>
        <v>9.2953998287938711E-2</v>
      </c>
      <c r="D16" s="56">
        <f t="shared" ref="D16:L16" si="8">+D15/D9</f>
        <v>3.3004712383415506E-2</v>
      </c>
      <c r="E16" s="56">
        <f t="shared" si="8"/>
        <v>9.1561723195022843E-2</v>
      </c>
      <c r="F16" s="56">
        <f t="shared" si="8"/>
        <v>8.0131578411638052E-2</v>
      </c>
      <c r="G16" s="56">
        <f t="shared" si="8"/>
        <v>4.0432243644840854E-2</v>
      </c>
      <c r="H16" s="56">
        <f t="shared" si="8"/>
        <v>8.2925091807771176E-2</v>
      </c>
      <c r="I16" s="56">
        <f t="shared" si="8"/>
        <v>-2.8808493177396012E-2</v>
      </c>
      <c r="J16" s="56" t="e">
        <f t="shared" si="8"/>
        <v>#DIV/0!</v>
      </c>
      <c r="K16" s="56" t="e">
        <f t="shared" si="8"/>
        <v>#DIV/0!</v>
      </c>
      <c r="L16" s="56">
        <f t="shared" si="8"/>
        <v>5.0003747810774248E-2</v>
      </c>
      <c r="W16" s="52" t="s">
        <v>42</v>
      </c>
      <c r="AM16" s="52" t="s">
        <v>43</v>
      </c>
      <c r="AN16" s="52" t="s">
        <v>42</v>
      </c>
    </row>
    <row r="17" spans="1:41">
      <c r="A17" s="192">
        <v>11</v>
      </c>
      <c r="B17" s="52" t="s">
        <v>44</v>
      </c>
      <c r="C17" s="54">
        <f>C6*C43+C18</f>
        <v>6210.6249999999991</v>
      </c>
      <c r="D17" s="54">
        <f t="shared" ref="D17:K17" si="9">D6*D43+D18</f>
        <v>4140.4166666666661</v>
      </c>
      <c r="E17" s="54">
        <f t="shared" si="9"/>
        <v>5175.520833333333</v>
      </c>
      <c r="F17" s="54">
        <f t="shared" si="9"/>
        <v>1035.1041666666665</v>
      </c>
      <c r="G17" s="54">
        <f t="shared" si="9"/>
        <v>1035.1041666666665</v>
      </c>
      <c r="H17" s="54">
        <f t="shared" si="9"/>
        <v>3105.3124999999995</v>
      </c>
      <c r="I17" s="54">
        <f t="shared" si="9"/>
        <v>20702.083333333332</v>
      </c>
      <c r="J17" s="54">
        <f t="shared" si="9"/>
        <v>0</v>
      </c>
      <c r="K17" s="54">
        <f t="shared" si="9"/>
        <v>0</v>
      </c>
      <c r="L17" s="54">
        <f>SUM(C17:K17)</f>
        <v>41404.166666666664</v>
      </c>
      <c r="M17" s="69"/>
      <c r="W17" s="52" t="s">
        <v>44</v>
      </c>
      <c r="AM17" s="52" t="s">
        <v>45</v>
      </c>
      <c r="AN17" s="52" t="s">
        <v>44</v>
      </c>
    </row>
    <row r="18" spans="1:41" s="46" customFormat="1">
      <c r="A18" s="192">
        <v>12</v>
      </c>
      <c r="B18" s="57" t="s">
        <v>146</v>
      </c>
      <c r="C18" s="58">
        <f>$L$18/$L$6*C6</f>
        <v>6210.6249999999991</v>
      </c>
      <c r="D18" s="58">
        <f t="shared" ref="D18:K18" si="10">$L$18/$L$6*D6</f>
        <v>4140.4166666666661</v>
      </c>
      <c r="E18" s="58">
        <f t="shared" si="10"/>
        <v>5175.520833333333</v>
      </c>
      <c r="F18" s="58">
        <f t="shared" si="10"/>
        <v>1035.1041666666665</v>
      </c>
      <c r="G18" s="58">
        <f t="shared" si="10"/>
        <v>1035.1041666666665</v>
      </c>
      <c r="H18" s="58">
        <f t="shared" si="10"/>
        <v>3105.3124999999995</v>
      </c>
      <c r="I18" s="58">
        <f t="shared" si="10"/>
        <v>20702.083333333332</v>
      </c>
      <c r="J18" s="58">
        <f t="shared" si="10"/>
        <v>0</v>
      </c>
      <c r="K18" s="58">
        <f t="shared" si="10"/>
        <v>0</v>
      </c>
      <c r="L18" s="58">
        <f>项目投资!H26</f>
        <v>41404.166666666664</v>
      </c>
      <c r="M18" s="70" t="s">
        <v>147</v>
      </c>
      <c r="N18" s="70"/>
      <c r="O18" s="70"/>
    </row>
    <row r="19" spans="1:41">
      <c r="A19" s="192">
        <v>13</v>
      </c>
      <c r="B19" s="52" t="s">
        <v>46</v>
      </c>
      <c r="C19" s="54">
        <f>C6*C44</f>
        <v>0</v>
      </c>
      <c r="D19" s="54">
        <f t="shared" ref="D19:K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11"/>
        <v>0</v>
      </c>
      <c r="J19" s="54">
        <f t="shared" si="11"/>
        <v>0</v>
      </c>
      <c r="K19" s="54">
        <f t="shared" si="11"/>
        <v>0</v>
      </c>
      <c r="L19" s="54">
        <f>SUM(C19:K19)</f>
        <v>0</v>
      </c>
      <c r="M19" s="46"/>
      <c r="W19" s="52" t="s">
        <v>46</v>
      </c>
      <c r="AM19" s="52" t="s">
        <v>47</v>
      </c>
      <c r="AN19" s="52" t="s">
        <v>46</v>
      </c>
      <c r="AO19" s="48" t="s">
        <v>20</v>
      </c>
    </row>
    <row r="20" spans="1:41">
      <c r="A20" s="192">
        <v>14</v>
      </c>
      <c r="B20" s="52" t="s">
        <v>48</v>
      </c>
      <c r="C20" s="54">
        <f>C6*C45</f>
        <v>0</v>
      </c>
      <c r="D20" s="54">
        <f t="shared" ref="D20:K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12"/>
        <v>0</v>
      </c>
      <c r="J20" s="54">
        <f t="shared" si="12"/>
        <v>0</v>
      </c>
      <c r="K20" s="54">
        <f t="shared" si="12"/>
        <v>0</v>
      </c>
      <c r="L20" s="54">
        <f>SUM(C20:K20)</f>
        <v>0</v>
      </c>
      <c r="W20" s="52" t="s">
        <v>48</v>
      </c>
      <c r="AM20" s="52" t="s">
        <v>49</v>
      </c>
      <c r="AN20" s="52" t="s">
        <v>48</v>
      </c>
    </row>
    <row r="21" spans="1:41">
      <c r="A21" s="192">
        <v>15</v>
      </c>
      <c r="B21" s="52" t="s">
        <v>50</v>
      </c>
      <c r="C21" s="59">
        <f>$L$21/$L$6*C6</f>
        <v>3985</v>
      </c>
      <c r="D21" s="59">
        <f t="shared" ref="D21:K21" si="13">$L$21/$L$6*D6</f>
        <v>2656.6666666666665</v>
      </c>
      <c r="E21" s="59">
        <f t="shared" si="13"/>
        <v>3320.8333333333335</v>
      </c>
      <c r="F21" s="59">
        <f t="shared" si="13"/>
        <v>664.16666666666663</v>
      </c>
      <c r="G21" s="59">
        <f t="shared" si="13"/>
        <v>664.16666666666663</v>
      </c>
      <c r="H21" s="59">
        <f t="shared" si="13"/>
        <v>1992.5</v>
      </c>
      <c r="I21" s="59">
        <f t="shared" si="13"/>
        <v>13283.333333333334</v>
      </c>
      <c r="J21" s="59">
        <f t="shared" si="13"/>
        <v>0</v>
      </c>
      <c r="K21" s="59">
        <f t="shared" si="13"/>
        <v>0</v>
      </c>
      <c r="L21" s="54">
        <f>项目投资!H27</f>
        <v>26566.666666666668</v>
      </c>
      <c r="W21" s="52" t="s">
        <v>50</v>
      </c>
      <c r="AM21" s="52"/>
      <c r="AN21" s="52"/>
    </row>
    <row r="22" spans="1:41">
      <c r="A22" s="192">
        <v>16</v>
      </c>
      <c r="B22" s="52" t="s">
        <v>51</v>
      </c>
      <c r="C22" s="54">
        <f>C6*C47</f>
        <v>28080.000000000004</v>
      </c>
      <c r="D22" s="54">
        <f t="shared" ref="D22:K22" si="14">D6*D47</f>
        <v>21952</v>
      </c>
      <c r="E22" s="54">
        <f t="shared" si="14"/>
        <v>34600</v>
      </c>
      <c r="F22" s="54">
        <f t="shared" si="14"/>
        <v>5749.6</v>
      </c>
      <c r="G22" s="54">
        <f t="shared" si="14"/>
        <v>6357.6</v>
      </c>
      <c r="H22" s="54">
        <f t="shared" si="14"/>
        <v>23368.799999999999</v>
      </c>
      <c r="I22" s="54">
        <f t="shared" si="14"/>
        <v>40000</v>
      </c>
      <c r="J22" s="54">
        <f t="shared" si="14"/>
        <v>0</v>
      </c>
      <c r="K22" s="54">
        <f t="shared" si="14"/>
        <v>0</v>
      </c>
      <c r="L22" s="54">
        <f>SUM(C22:K22)</f>
        <v>160108</v>
      </c>
      <c r="W22" s="52" t="s">
        <v>51</v>
      </c>
      <c r="AM22" s="52" t="s">
        <v>52</v>
      </c>
      <c r="AN22" s="52" t="s">
        <v>51</v>
      </c>
    </row>
    <row r="23" spans="1:41">
      <c r="A23" s="192">
        <v>17</v>
      </c>
      <c r="B23" s="55" t="s">
        <v>53</v>
      </c>
      <c r="C23" s="59">
        <f>+C22+C21+C20+C19+C17</f>
        <v>38275.625</v>
      </c>
      <c r="D23" s="59">
        <f t="shared" ref="D23:L23" si="15">+D22+D21+D20+D19+D17</f>
        <v>28749.083333333336</v>
      </c>
      <c r="E23" s="59">
        <f t="shared" si="15"/>
        <v>43096.354166666672</v>
      </c>
      <c r="F23" s="59">
        <f t="shared" si="15"/>
        <v>7448.8708333333343</v>
      </c>
      <c r="G23" s="59">
        <f t="shared" si="15"/>
        <v>8056.8708333333343</v>
      </c>
      <c r="H23" s="59">
        <f t="shared" si="15"/>
        <v>28466.612499999999</v>
      </c>
      <c r="I23" s="59">
        <f t="shared" si="15"/>
        <v>73985.416666666672</v>
      </c>
      <c r="J23" s="59">
        <f t="shared" si="15"/>
        <v>0</v>
      </c>
      <c r="K23" s="59">
        <f t="shared" si="15"/>
        <v>0</v>
      </c>
      <c r="L23" s="59">
        <f t="shared" si="15"/>
        <v>228078.83333333331</v>
      </c>
      <c r="W23" s="55" t="s">
        <v>53</v>
      </c>
      <c r="AM23" s="52" t="s">
        <v>54</v>
      </c>
      <c r="AN23" s="55" t="s">
        <v>53</v>
      </c>
    </row>
    <row r="24" spans="1:41">
      <c r="A24" s="192">
        <v>18</v>
      </c>
      <c r="B24" s="60" t="s">
        <v>55</v>
      </c>
      <c r="C24" s="59">
        <f>+C15-C23</f>
        <v>26978.081798132975</v>
      </c>
      <c r="D24" s="59">
        <f t="shared" ref="D24:L24" si="16">+D15-D23</f>
        <v>-10636.097177314907</v>
      </c>
      <c r="E24" s="59">
        <f t="shared" si="16"/>
        <v>36104.536397028089</v>
      </c>
      <c r="F24" s="59">
        <f t="shared" si="16"/>
        <v>4069.2422475555195</v>
      </c>
      <c r="G24" s="59">
        <f t="shared" si="16"/>
        <v>-1630.5700284223294</v>
      </c>
      <c r="H24" s="59">
        <f t="shared" si="16"/>
        <v>19979.88463593608</v>
      </c>
      <c r="I24" s="59">
        <f t="shared" si="16"/>
        <v>-102793.90984406268</v>
      </c>
      <c r="J24" s="59">
        <f t="shared" si="16"/>
        <v>0</v>
      </c>
      <c r="K24" s="59">
        <f t="shared" si="16"/>
        <v>0</v>
      </c>
      <c r="L24" s="59">
        <f t="shared" si="16"/>
        <v>-27928.831971147243</v>
      </c>
      <c r="N24" s="71"/>
      <c r="W24" s="52" t="s">
        <v>55</v>
      </c>
      <c r="AM24" s="52" t="s">
        <v>56</v>
      </c>
      <c r="AN24" s="52" t="s">
        <v>55</v>
      </c>
    </row>
    <row r="25" spans="1:41">
      <c r="A25" s="192">
        <v>19</v>
      </c>
      <c r="B25" s="52" t="s">
        <v>232</v>
      </c>
      <c r="C25" s="59">
        <f>IF(C24&lt;0,0,C24*0.15)</f>
        <v>4046.7122697199461</v>
      </c>
      <c r="D25" s="59">
        <f>IF(D24&lt;0,0,D24*0.15)</f>
        <v>0</v>
      </c>
      <c r="E25" s="59">
        <f t="shared" ref="E25:K25" si="17">IF(E24&lt;0,0,E24*0.25)</f>
        <v>9026.1340992570222</v>
      </c>
      <c r="F25" s="59">
        <f>IF(F24&lt;0,0,F24*0.15)</f>
        <v>610.38633713332786</v>
      </c>
      <c r="G25" s="59">
        <f t="shared" si="17"/>
        <v>0</v>
      </c>
      <c r="H25" s="59">
        <f t="shared" si="17"/>
        <v>4994.9711589840199</v>
      </c>
      <c r="I25" s="59">
        <f t="shared" si="17"/>
        <v>0</v>
      </c>
      <c r="J25" s="59">
        <f t="shared" si="17"/>
        <v>0</v>
      </c>
      <c r="K25" s="59">
        <f t="shared" si="17"/>
        <v>0</v>
      </c>
      <c r="L25" s="59">
        <f>IF(L24&lt;0,0,L24*0.15)</f>
        <v>0</v>
      </c>
      <c r="M25" s="67"/>
      <c r="N25" s="67"/>
      <c r="O25" s="67"/>
      <c r="W25" s="52" t="s">
        <v>57</v>
      </c>
      <c r="AM25" s="52" t="s">
        <v>58</v>
      </c>
      <c r="AN25" s="52" t="s">
        <v>57</v>
      </c>
    </row>
    <row r="26" spans="1:41">
      <c r="A26" s="192">
        <v>20</v>
      </c>
      <c r="B26" s="52" t="s">
        <v>59</v>
      </c>
      <c r="C26" s="59">
        <f t="shared" ref="C26:K26" si="18">C24-C25</f>
        <v>22931.36952841303</v>
      </c>
      <c r="D26" s="59">
        <f t="shared" si="18"/>
        <v>-10636.097177314907</v>
      </c>
      <c r="E26" s="59">
        <f t="shared" si="18"/>
        <v>27078.402297771067</v>
      </c>
      <c r="F26" s="59">
        <f t="shared" si="18"/>
        <v>3458.8559104221918</v>
      </c>
      <c r="G26" s="59">
        <f t="shared" si="18"/>
        <v>-1630.5700284223294</v>
      </c>
      <c r="H26" s="59">
        <f t="shared" si="18"/>
        <v>14984.913476952061</v>
      </c>
      <c r="I26" s="59">
        <f t="shared" si="18"/>
        <v>-102793.90984406268</v>
      </c>
      <c r="J26" s="59">
        <f t="shared" si="18"/>
        <v>0</v>
      </c>
      <c r="K26" s="59">
        <f t="shared" si="18"/>
        <v>0</v>
      </c>
      <c r="L26" s="54">
        <f>L24-L25</f>
        <v>-27928.831971147243</v>
      </c>
      <c r="M26" s="177"/>
      <c r="N26" s="67"/>
      <c r="O26" s="67"/>
      <c r="W26" s="52" t="s">
        <v>59</v>
      </c>
      <c r="AM26" s="52" t="s">
        <v>60</v>
      </c>
      <c r="AN26" s="52" t="s">
        <v>59</v>
      </c>
    </row>
    <row r="27" spans="1:41">
      <c r="A27" s="192">
        <v>21</v>
      </c>
      <c r="B27" s="52" t="s">
        <v>63</v>
      </c>
      <c r="C27" s="61">
        <f t="shared" ref="C27:L27" si="19">C26/C7</f>
        <v>3.2665768558992919E-2</v>
      </c>
      <c r="D27" s="61">
        <f t="shared" si="19"/>
        <v>-1.938064354467002E-2</v>
      </c>
      <c r="E27" s="61">
        <f t="shared" si="19"/>
        <v>3.130451132690297E-2</v>
      </c>
      <c r="F27" s="61">
        <f t="shared" si="19"/>
        <v>2.4063280300697036E-2</v>
      </c>
      <c r="G27" s="61">
        <f t="shared" si="19"/>
        <v>-1.0259028743062348E-2</v>
      </c>
      <c r="H27" s="61">
        <f t="shared" si="19"/>
        <v>2.5649435960686147E-2</v>
      </c>
      <c r="I27" s="61">
        <f t="shared" si="19"/>
        <v>-0.10279390984406268</v>
      </c>
      <c r="J27" s="61" t="e">
        <f t="shared" si="19"/>
        <v>#DIV/0!</v>
      </c>
      <c r="K27" s="61" t="e">
        <f t="shared" si="19"/>
        <v>#DIV/0!</v>
      </c>
      <c r="L27" s="61">
        <f t="shared" si="19"/>
        <v>-6.9774981815142884E-3</v>
      </c>
      <c r="M27" s="175"/>
      <c r="N27" s="67"/>
      <c r="O27" s="67"/>
      <c r="W27" s="52" t="s">
        <v>63</v>
      </c>
      <c r="AM27" s="52" t="s">
        <v>62</v>
      </c>
      <c r="AN27" s="52" t="s">
        <v>63</v>
      </c>
    </row>
    <row r="28" spans="1:41">
      <c r="M28" s="67"/>
      <c r="N28" s="67"/>
      <c r="O28" s="67"/>
      <c r="W28" s="52"/>
    </row>
    <row r="29" spans="1:41">
      <c r="A29" s="48" t="s">
        <v>64</v>
      </c>
      <c r="L29" s="49" t="s">
        <v>148</v>
      </c>
      <c r="M29" s="67"/>
      <c r="N29" s="67"/>
      <c r="O29" s="67"/>
      <c r="W29" s="52"/>
      <c r="AM29" s="48" t="s">
        <v>64</v>
      </c>
    </row>
    <row r="30" spans="1:41">
      <c r="A30" s="52" t="s">
        <v>65</v>
      </c>
      <c r="B30" s="55" t="s">
        <v>66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7"/>
      <c r="N30" s="67"/>
      <c r="O30" s="67"/>
      <c r="Q30" s="67"/>
      <c r="W30" s="55" t="s">
        <v>66</v>
      </c>
      <c r="AM30" s="52" t="s">
        <v>67</v>
      </c>
      <c r="AN30" s="55" t="s">
        <v>66</v>
      </c>
    </row>
    <row r="31" spans="1:41">
      <c r="A31" s="192">
        <v>1</v>
      </c>
      <c r="B31" s="57" t="s">
        <v>68</v>
      </c>
      <c r="C31" s="63">
        <f>销量!C8</f>
        <v>1170</v>
      </c>
      <c r="D31" s="63">
        <f>销量!D8</f>
        <v>1372</v>
      </c>
      <c r="E31" s="63">
        <f>销量!E8</f>
        <v>1730</v>
      </c>
      <c r="F31" s="63">
        <f>销量!F8</f>
        <v>1437.4</v>
      </c>
      <c r="G31" s="63">
        <f>销量!G8</f>
        <v>1589.4</v>
      </c>
      <c r="H31" s="63">
        <f>销量!H8</f>
        <v>1947.4</v>
      </c>
      <c r="I31" s="63">
        <f>销量!I8</f>
        <v>500</v>
      </c>
      <c r="J31" s="63">
        <f>销量!J8</f>
        <v>0</v>
      </c>
      <c r="K31" s="63">
        <f>销量!K8</f>
        <v>0</v>
      </c>
      <c r="L31" s="59"/>
      <c r="M31" s="67"/>
      <c r="N31" s="67"/>
      <c r="O31" s="67"/>
      <c r="Q31" s="67"/>
      <c r="W31" s="52" t="s">
        <v>68</v>
      </c>
      <c r="AM31" s="52" t="s">
        <v>22</v>
      </c>
      <c r="AN31" s="52" t="s">
        <v>68</v>
      </c>
    </row>
    <row r="32" spans="1:41">
      <c r="A32" s="192">
        <v>2</v>
      </c>
      <c r="B32" s="52" t="s">
        <v>149</v>
      </c>
      <c r="C32" s="54">
        <f>C9/C6</f>
        <v>1170</v>
      </c>
      <c r="D32" s="54">
        <f t="shared" ref="D32:K32" si="20">D9/D6</f>
        <v>1372</v>
      </c>
      <c r="E32" s="54">
        <f t="shared" si="20"/>
        <v>1730</v>
      </c>
      <c r="F32" s="54">
        <f t="shared" si="20"/>
        <v>1437.4</v>
      </c>
      <c r="G32" s="54">
        <f t="shared" si="20"/>
        <v>1589.4</v>
      </c>
      <c r="H32" s="54">
        <f t="shared" si="20"/>
        <v>1947.4</v>
      </c>
      <c r="I32" s="54">
        <f t="shared" si="20"/>
        <v>500</v>
      </c>
      <c r="J32" s="54" t="e">
        <f t="shared" si="20"/>
        <v>#DIV/0!</v>
      </c>
      <c r="K32" s="54" t="e">
        <f t="shared" si="20"/>
        <v>#DIV/0!</v>
      </c>
      <c r="L32" s="59"/>
      <c r="M32" s="67"/>
      <c r="N32" s="67"/>
      <c r="O32" s="67"/>
      <c r="P32" s="67"/>
      <c r="Q32" s="67"/>
      <c r="R32" s="67"/>
      <c r="S32" s="67"/>
      <c r="AM32" s="52"/>
      <c r="AN32" s="52"/>
    </row>
    <row r="33" spans="1:40">
      <c r="A33" s="192">
        <v>3</v>
      </c>
      <c r="B33" s="57" t="s">
        <v>69</v>
      </c>
      <c r="C33" s="54">
        <f>材料成本!D18</f>
        <v>977.00382200311174</v>
      </c>
      <c r="D33" s="54">
        <f>材料成本!E18</f>
        <v>1227.933534609954</v>
      </c>
      <c r="E33" s="54">
        <f>材料成本!F18</f>
        <v>1447.0382188726105</v>
      </c>
      <c r="F33" s="54">
        <f>材料成本!G18</f>
        <v>1218.7260691911115</v>
      </c>
      <c r="G33" s="54">
        <f>材料成本!H18</f>
        <v>1426.5941919508898</v>
      </c>
      <c r="H33" s="54">
        <f>材料成本!I18</f>
        <v>1645.6988762135463</v>
      </c>
      <c r="I33" s="54">
        <f>材料成本!J18</f>
        <v>478.40424658869802</v>
      </c>
      <c r="J33" s="54">
        <f>材料成本!K18</f>
        <v>0</v>
      </c>
      <c r="K33" s="54">
        <f>材料成本!L18</f>
        <v>0</v>
      </c>
      <c r="L33" s="59"/>
      <c r="N33" s="67"/>
      <c r="O33" s="67"/>
      <c r="P33" s="67"/>
      <c r="Q33" s="67"/>
      <c r="R33" s="67"/>
      <c r="S33" s="67"/>
      <c r="W33" s="52" t="s">
        <v>69</v>
      </c>
      <c r="AM33" s="52" t="s">
        <v>24</v>
      </c>
      <c r="AN33" s="52" t="s">
        <v>69</v>
      </c>
    </row>
    <row r="34" spans="1:40" ht="17.25" customHeight="1">
      <c r="A34" s="192">
        <v>4</v>
      </c>
      <c r="B34" s="52" t="s">
        <v>71</v>
      </c>
      <c r="C34" s="64">
        <f>C32-C33</f>
        <v>192.99617799688826</v>
      </c>
      <c r="D34" s="64">
        <f t="shared" ref="D34:K34" si="21">D32-D33</f>
        <v>144.06646539004601</v>
      </c>
      <c r="E34" s="64">
        <f t="shared" si="21"/>
        <v>282.96178112738949</v>
      </c>
      <c r="F34" s="64">
        <f t="shared" si="21"/>
        <v>218.6739308088886</v>
      </c>
      <c r="G34" s="64">
        <f t="shared" si="21"/>
        <v>162.80580804911028</v>
      </c>
      <c r="H34" s="64">
        <f t="shared" si="21"/>
        <v>301.70112378645376</v>
      </c>
      <c r="I34" s="64">
        <f t="shared" si="21"/>
        <v>21.595753411301985</v>
      </c>
      <c r="J34" s="64" t="e">
        <f t="shared" si="21"/>
        <v>#DIV/0!</v>
      </c>
      <c r="K34" s="64" t="e">
        <f t="shared" si="21"/>
        <v>#DIV/0!</v>
      </c>
      <c r="L34" s="59"/>
      <c r="N34" s="67"/>
      <c r="O34" s="67"/>
      <c r="P34" s="67"/>
      <c r="Q34" s="67"/>
      <c r="R34" s="67"/>
      <c r="S34" s="67"/>
      <c r="W34" s="52" t="s">
        <v>71</v>
      </c>
      <c r="AM34" s="52" t="s">
        <v>70</v>
      </c>
      <c r="AN34" s="52" t="s">
        <v>71</v>
      </c>
    </row>
    <row r="35" spans="1:40">
      <c r="A35" s="52" t="s">
        <v>67</v>
      </c>
      <c r="B35" s="55" t="s">
        <v>10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55" t="s">
        <v>10</v>
      </c>
      <c r="AM35" s="52" t="s">
        <v>73</v>
      </c>
      <c r="AN35" s="55" t="s">
        <v>10</v>
      </c>
    </row>
    <row r="36" spans="1:40">
      <c r="A36" s="192">
        <v>1</v>
      </c>
      <c r="B36" s="52" t="s">
        <v>74</v>
      </c>
      <c r="C36" s="58">
        <f>'2023年'!C36</f>
        <v>55.341000000000001</v>
      </c>
      <c r="D36" s="58">
        <f>'2023年'!D36</f>
        <v>64.895600000000002</v>
      </c>
      <c r="E36" s="58">
        <f>'2023年'!E36</f>
        <v>81.829000000000008</v>
      </c>
      <c r="F36" s="58">
        <f>'2023年'!F36</f>
        <v>67.989020000000011</v>
      </c>
      <c r="G36" s="58">
        <f>'2023年'!G36</f>
        <v>75.178620000000009</v>
      </c>
      <c r="H36" s="58">
        <f>'2023年'!H36</f>
        <v>92.112020000000001</v>
      </c>
      <c r="I36" s="58">
        <f>'2023年'!I36</f>
        <v>23.650000000000002</v>
      </c>
      <c r="J36" s="58">
        <f>'2023年'!J36</f>
        <v>0</v>
      </c>
      <c r="K36" s="58">
        <f>'2023年'!K36</f>
        <v>0</v>
      </c>
      <c r="L36" s="63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52" t="s">
        <v>74</v>
      </c>
      <c r="AM36" s="52" t="s">
        <v>70</v>
      </c>
      <c r="AN36" s="52" t="s">
        <v>74</v>
      </c>
    </row>
    <row r="37" spans="1:40">
      <c r="A37" s="192">
        <v>2</v>
      </c>
      <c r="B37" s="52" t="s">
        <v>75</v>
      </c>
      <c r="C37" s="58">
        <f>'2023年'!C37</f>
        <v>17.198999999999998</v>
      </c>
      <c r="D37" s="58">
        <f>'2023年'!D37</f>
        <v>20.168399999999998</v>
      </c>
      <c r="E37" s="58">
        <f>'2023年'!E37</f>
        <v>25.431000000000001</v>
      </c>
      <c r="F37" s="58">
        <f>'2023年'!F37</f>
        <v>21.12978</v>
      </c>
      <c r="G37" s="58">
        <f>'2023年'!G37</f>
        <v>23.364180000000001</v>
      </c>
      <c r="H37" s="58">
        <f>'2023年'!H37</f>
        <v>28.62678</v>
      </c>
      <c r="I37" s="58">
        <f>'2023年'!I37</f>
        <v>7.35</v>
      </c>
      <c r="J37" s="58">
        <f>'2023年'!J37</f>
        <v>0</v>
      </c>
      <c r="K37" s="58">
        <f>'2023年'!K37</f>
        <v>0</v>
      </c>
      <c r="L37" s="63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52" t="s">
        <v>75</v>
      </c>
      <c r="AM37" s="52" t="s">
        <v>27</v>
      </c>
      <c r="AN37" s="52" t="s">
        <v>75</v>
      </c>
    </row>
    <row r="38" spans="1:40">
      <c r="A38" s="192">
        <v>3</v>
      </c>
      <c r="B38" s="52" t="s">
        <v>76</v>
      </c>
      <c r="C38" s="58">
        <f>'2023年'!C38</f>
        <v>11.700000000000001</v>
      </c>
      <c r="D38" s="58">
        <f>'2023年'!D38</f>
        <v>13.72</v>
      </c>
      <c r="E38" s="58">
        <f>'2023年'!E38</f>
        <v>17.3</v>
      </c>
      <c r="F38" s="58">
        <f>'2023年'!F38</f>
        <v>14.374000000000001</v>
      </c>
      <c r="G38" s="58">
        <f>'2023年'!G38</f>
        <v>0</v>
      </c>
      <c r="H38" s="58">
        <f>'2023年'!H38</f>
        <v>19.474</v>
      </c>
      <c r="I38" s="58">
        <f>'2023年'!I38</f>
        <v>5</v>
      </c>
      <c r="J38" s="58">
        <f>'2023年'!J38</f>
        <v>0</v>
      </c>
      <c r="K38" s="58">
        <f>'2023年'!K38</f>
        <v>0</v>
      </c>
      <c r="L38" s="63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52" t="s">
        <v>76</v>
      </c>
      <c r="AM38" s="52" t="s">
        <v>33</v>
      </c>
      <c r="AN38" s="52" t="s">
        <v>76</v>
      </c>
    </row>
    <row r="39" spans="1:40">
      <c r="A39" s="52" t="s">
        <v>73</v>
      </c>
      <c r="B39" s="55" t="s">
        <v>78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W39" s="55" t="s">
        <v>78</v>
      </c>
      <c r="AM39" s="52" t="s">
        <v>77</v>
      </c>
      <c r="AN39" s="55" t="s">
        <v>78</v>
      </c>
    </row>
    <row r="40" spans="1:40">
      <c r="A40" s="192">
        <v>1</v>
      </c>
      <c r="B40" s="52" t="s">
        <v>80</v>
      </c>
      <c r="C40" s="59">
        <f>C34-C36-C37-C38</f>
        <v>108.75617799688825</v>
      </c>
      <c r="D40" s="59">
        <f t="shared" ref="D40:K40" si="22">D34-D36-D37-D38</f>
        <v>45.282465390046006</v>
      </c>
      <c r="E40" s="59">
        <f t="shared" si="22"/>
        <v>158.40178112738946</v>
      </c>
      <c r="F40" s="59">
        <f t="shared" si="22"/>
        <v>115.18113080888858</v>
      </c>
      <c r="G40" s="59">
        <f t="shared" si="22"/>
        <v>64.263008049110269</v>
      </c>
      <c r="H40" s="59">
        <f t="shared" si="22"/>
        <v>161.48832378645378</v>
      </c>
      <c r="I40" s="59">
        <f t="shared" si="22"/>
        <v>-14.404246588698017</v>
      </c>
      <c r="J40" s="59" t="e">
        <f t="shared" si="22"/>
        <v>#DIV/0!</v>
      </c>
      <c r="K40" s="59" t="e">
        <f t="shared" si="22"/>
        <v>#DIV/0!</v>
      </c>
      <c r="L40" s="59"/>
      <c r="W40" s="52" t="s">
        <v>80</v>
      </c>
      <c r="AM40" s="52" t="s">
        <v>22</v>
      </c>
      <c r="AN40" s="52" t="s">
        <v>80</v>
      </c>
    </row>
    <row r="41" spans="1:40">
      <c r="A41" s="192">
        <v>2</v>
      </c>
      <c r="B41" s="52" t="s">
        <v>81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W41" s="52" t="s">
        <v>81</v>
      </c>
      <c r="AM41" s="52" t="s">
        <v>24</v>
      </c>
      <c r="AN41" s="52" t="s">
        <v>81</v>
      </c>
    </row>
    <row r="42" spans="1:40">
      <c r="A42" s="52" t="s">
        <v>77</v>
      </c>
      <c r="B42" s="55" t="s">
        <v>83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W42" s="55" t="s">
        <v>83</v>
      </c>
      <c r="AM42" s="52" t="s">
        <v>82</v>
      </c>
      <c r="AN42" s="55" t="s">
        <v>83</v>
      </c>
    </row>
    <row r="43" spans="1:40">
      <c r="A43" s="192">
        <v>1</v>
      </c>
      <c r="B43" s="60" t="s">
        <v>84</v>
      </c>
      <c r="C43" s="58">
        <f>'2023年'!C43</f>
        <v>0</v>
      </c>
      <c r="D43" s="58">
        <f>'2023年'!D43</f>
        <v>0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>
        <f>'2023年'!H43</f>
        <v>0</v>
      </c>
      <c r="I43" s="58">
        <f>'2023年'!I43</f>
        <v>0</v>
      </c>
      <c r="J43" s="58">
        <f>'2023年'!J43</f>
        <v>0</v>
      </c>
      <c r="K43" s="58">
        <f>'2023年'!K43</f>
        <v>0</v>
      </c>
      <c r="L43" s="59"/>
      <c r="W43" s="52" t="s">
        <v>84</v>
      </c>
      <c r="AM43" s="52" t="s">
        <v>22</v>
      </c>
      <c r="AN43" s="52" t="s">
        <v>84</v>
      </c>
    </row>
    <row r="44" spans="1:40">
      <c r="A44" s="192">
        <v>2</v>
      </c>
      <c r="B44" s="60" t="s">
        <v>85</v>
      </c>
      <c r="C44" s="58">
        <f>'2023年'!C44</f>
        <v>0</v>
      </c>
      <c r="D44" s="58">
        <f>'2023年'!D44</f>
        <v>0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>
        <f>'2023年'!H44</f>
        <v>0</v>
      </c>
      <c r="I44" s="58">
        <f>'2023年'!I44</f>
        <v>0</v>
      </c>
      <c r="J44" s="58">
        <f>'2023年'!J44</f>
        <v>0</v>
      </c>
      <c r="K44" s="58">
        <f>'2023年'!K44</f>
        <v>0</v>
      </c>
      <c r="L44" s="59"/>
      <c r="W44" s="52" t="s">
        <v>85</v>
      </c>
      <c r="AM44" s="52" t="s">
        <v>24</v>
      </c>
      <c r="AN44" s="52" t="s">
        <v>85</v>
      </c>
    </row>
    <row r="45" spans="1:40">
      <c r="A45" s="192">
        <v>3</v>
      </c>
      <c r="B45" s="60" t="s">
        <v>86</v>
      </c>
      <c r="C45" s="58">
        <f>'2023年'!C45</f>
        <v>0</v>
      </c>
      <c r="D45" s="58">
        <f>'2023年'!D45</f>
        <v>0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>
        <f>'2023年'!H45</f>
        <v>0</v>
      </c>
      <c r="I45" s="58">
        <f>'2023年'!I45</f>
        <v>0</v>
      </c>
      <c r="J45" s="58">
        <f>'2023年'!J45</f>
        <v>0</v>
      </c>
      <c r="K45" s="58">
        <f>'2023年'!K45</f>
        <v>0</v>
      </c>
      <c r="L45" s="59"/>
      <c r="W45" s="52" t="s">
        <v>86</v>
      </c>
      <c r="AM45" s="52" t="s">
        <v>70</v>
      </c>
      <c r="AN45" s="52" t="s">
        <v>86</v>
      </c>
    </row>
    <row r="46" spans="1:40" s="47" customFormat="1">
      <c r="A46" s="192">
        <v>4</v>
      </c>
      <c r="B46" s="60" t="s">
        <v>87</v>
      </c>
      <c r="C46" s="65">
        <f>C21/C6</f>
        <v>6.6416666666666666</v>
      </c>
      <c r="D46" s="65">
        <f t="shared" ref="D46:K46" si="23">D21/D6</f>
        <v>6.6416666666666666</v>
      </c>
      <c r="E46" s="65">
        <f t="shared" si="23"/>
        <v>6.6416666666666666</v>
      </c>
      <c r="F46" s="65">
        <f t="shared" si="23"/>
        <v>6.6416666666666666</v>
      </c>
      <c r="G46" s="65">
        <f t="shared" si="23"/>
        <v>6.6416666666666666</v>
      </c>
      <c r="H46" s="65">
        <f t="shared" si="23"/>
        <v>6.6416666666666666</v>
      </c>
      <c r="I46" s="65">
        <f t="shared" si="23"/>
        <v>6.6416666666666666</v>
      </c>
      <c r="J46" s="65" t="e">
        <f t="shared" si="23"/>
        <v>#DIV/0!</v>
      </c>
      <c r="K46" s="65" t="e">
        <f t="shared" si="23"/>
        <v>#DIV/0!</v>
      </c>
      <c r="L46" s="65"/>
      <c r="W46" s="60" t="s">
        <v>89</v>
      </c>
      <c r="AM46" s="60" t="s">
        <v>30</v>
      </c>
      <c r="AN46" s="60" t="s">
        <v>89</v>
      </c>
    </row>
    <row r="47" spans="1:40" s="47" customFormat="1">
      <c r="A47" s="192">
        <v>5</v>
      </c>
      <c r="B47" s="60" t="s">
        <v>89</v>
      </c>
      <c r="C47" s="65">
        <f>'2023年'!C47</f>
        <v>46.800000000000004</v>
      </c>
      <c r="D47" s="65">
        <f>'2023年'!D47</f>
        <v>54.88</v>
      </c>
      <c r="E47" s="65">
        <f>'2023年'!E47</f>
        <v>69.2</v>
      </c>
      <c r="F47" s="65">
        <f>'2023年'!F47</f>
        <v>57.496000000000002</v>
      </c>
      <c r="G47" s="65">
        <f>'2023年'!G47</f>
        <v>63.576000000000008</v>
      </c>
      <c r="H47" s="65">
        <f>'2023年'!H47</f>
        <v>77.896000000000001</v>
      </c>
      <c r="I47" s="65">
        <f>'2023年'!I47</f>
        <v>20</v>
      </c>
      <c r="J47" s="65">
        <f>'2023年'!J47</f>
        <v>0</v>
      </c>
      <c r="K47" s="65">
        <f>'2023年'!K47</f>
        <v>0</v>
      </c>
      <c r="L47" s="65"/>
      <c r="W47" s="60" t="s">
        <v>89</v>
      </c>
      <c r="AM47" s="60" t="s">
        <v>30</v>
      </c>
      <c r="AN47" s="60" t="s">
        <v>89</v>
      </c>
    </row>
    <row r="48" spans="1:40">
      <c r="A48" s="52" t="s">
        <v>82</v>
      </c>
      <c r="B48" s="55" t="s">
        <v>100</v>
      </c>
      <c r="C48" s="59">
        <f>C40-C43-C44-C45-C47-C46</f>
        <v>55.314511330221585</v>
      </c>
      <c r="D48" s="59">
        <f t="shared" ref="D48:K48" si="24">D40-D43-D44-D45-D47-D46</f>
        <v>-16.239201276620662</v>
      </c>
      <c r="E48" s="59">
        <f t="shared" si="24"/>
        <v>82.560114460722787</v>
      </c>
      <c r="F48" s="59">
        <f t="shared" si="24"/>
        <v>51.043464142221914</v>
      </c>
      <c r="G48" s="59">
        <f t="shared" si="24"/>
        <v>-5.9546586175564054</v>
      </c>
      <c r="H48" s="59">
        <f t="shared" si="24"/>
        <v>76.95065711978711</v>
      </c>
      <c r="I48" s="59">
        <f t="shared" si="24"/>
        <v>-41.045913255364681</v>
      </c>
      <c r="J48" s="59" t="e">
        <f t="shared" si="24"/>
        <v>#DIV/0!</v>
      </c>
      <c r="K48" s="59" t="e">
        <f t="shared" si="24"/>
        <v>#DIV/0!</v>
      </c>
      <c r="L48" s="59"/>
      <c r="W48" s="55" t="s">
        <v>100</v>
      </c>
      <c r="AM48" s="52" t="s">
        <v>99</v>
      </c>
      <c r="AN48" s="55" t="s">
        <v>100</v>
      </c>
    </row>
    <row r="51" spans="2:17">
      <c r="C51" s="66"/>
      <c r="D51" s="66"/>
      <c r="E51" s="66"/>
      <c r="F51" s="66"/>
      <c r="G51" s="66"/>
      <c r="H51" s="66"/>
      <c r="I51" s="66"/>
      <c r="J51" s="66"/>
      <c r="K51" s="66"/>
    </row>
    <row r="54" spans="2:17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7"/>
      <c r="N54" s="67"/>
      <c r="O54" s="67"/>
      <c r="P54" s="67"/>
      <c r="Q54" s="67"/>
    </row>
    <row r="55" spans="2:17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7"/>
      <c r="N55" s="67"/>
      <c r="O55" s="67"/>
      <c r="P55" s="67"/>
      <c r="Q55" s="67"/>
    </row>
    <row r="56" spans="2:17"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7"/>
      <c r="N56" s="67"/>
      <c r="O56" s="67"/>
      <c r="P56" s="67"/>
      <c r="Q56" s="67"/>
    </row>
    <row r="57" spans="2:17"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7"/>
      <c r="N57" s="67"/>
      <c r="O57" s="67"/>
      <c r="P57" s="67"/>
      <c r="Q57" s="67"/>
    </row>
    <row r="58" spans="2:17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7"/>
      <c r="N58" s="67"/>
      <c r="O58" s="67"/>
      <c r="P58" s="67"/>
      <c r="Q58" s="67"/>
    </row>
    <row r="59" spans="2:17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7"/>
      <c r="N59" s="67"/>
      <c r="O59" s="67"/>
      <c r="P59" s="67"/>
      <c r="Q59" s="67"/>
    </row>
    <row r="60" spans="2:17"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7"/>
      <c r="N60" s="67"/>
      <c r="O60" s="67"/>
      <c r="P60" s="67"/>
      <c r="Q60" s="67"/>
    </row>
    <row r="61" spans="2:17"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7"/>
      <c r="N61" s="67"/>
      <c r="O61" s="67"/>
      <c r="P61" s="67"/>
      <c r="Q61" s="67"/>
    </row>
    <row r="62" spans="2:17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7"/>
      <c r="N62" s="67"/>
      <c r="O62" s="67"/>
      <c r="P62" s="67"/>
      <c r="Q62" s="67"/>
    </row>
    <row r="63" spans="2:17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7"/>
      <c r="N63" s="67"/>
      <c r="O63" s="67"/>
      <c r="P63" s="67"/>
      <c r="Q63" s="67"/>
    </row>
    <row r="64" spans="2:17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7"/>
      <c r="N64" s="67"/>
      <c r="O64" s="67"/>
      <c r="P64" s="67"/>
      <c r="Q64" s="67"/>
    </row>
    <row r="65" spans="2:17"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7"/>
      <c r="N65" s="67"/>
      <c r="O65" s="67"/>
      <c r="P65" s="67"/>
      <c r="Q65" s="67"/>
    </row>
    <row r="66" spans="2:17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7"/>
      <c r="N66" s="67"/>
      <c r="O66" s="67"/>
      <c r="P66" s="67"/>
      <c r="Q66" s="67"/>
    </row>
    <row r="67" spans="2:17">
      <c r="B67" s="67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7"/>
    </row>
    <row r="68" spans="2:17"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7"/>
    </row>
    <row r="69" spans="2:17">
      <c r="B69" s="67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7"/>
    </row>
    <row r="70" spans="2:17">
      <c r="B70" s="67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7"/>
    </row>
    <row r="71" spans="2:17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7"/>
    </row>
    <row r="72" spans="2:17">
      <c r="B72" s="67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7"/>
    </row>
    <row r="73" spans="2:17"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7"/>
    </row>
    <row r="74" spans="2:17"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7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zoomScale="90" zoomScaleNormal="90" workbookViewId="0">
      <pane xSplit="2" ySplit="7" topLeftCell="C17" activePane="bottomRight" state="frozen"/>
      <selection pane="topRight"/>
      <selection pane="bottomLeft"/>
      <selection pane="bottomRight" activeCell="L22" sqref="L22"/>
    </sheetView>
  </sheetViews>
  <sheetFormatPr defaultColWidth="9" defaultRowHeight="16.5"/>
  <cols>
    <col min="1" max="1" width="5.125" style="48" customWidth="1"/>
    <col min="2" max="2" width="17.5" style="48" customWidth="1"/>
    <col min="3" max="11" width="13.25" style="49" customWidth="1"/>
    <col min="12" max="12" width="18.75" style="49" customWidth="1"/>
    <col min="13" max="13" width="12.375" style="48" customWidth="1"/>
    <col min="14" max="14" width="10.125" style="48" customWidth="1"/>
    <col min="15" max="21" width="9" style="48" customWidth="1"/>
    <col min="22" max="38" width="9" style="48"/>
    <col min="39" max="39" width="4.375" style="48" customWidth="1"/>
    <col min="40" max="40" width="13.875" style="48" customWidth="1"/>
    <col min="41" max="16384" width="9" style="48"/>
  </cols>
  <sheetData>
    <row r="1" spans="1:41">
      <c r="A1" s="234" t="s">
        <v>140</v>
      </c>
      <c r="B1" s="234"/>
      <c r="C1" s="238" t="s">
        <v>285</v>
      </c>
      <c r="D1" s="239"/>
      <c r="E1" s="239"/>
      <c r="F1" s="239"/>
      <c r="G1" s="239"/>
      <c r="H1" s="239"/>
      <c r="I1" s="239"/>
      <c r="J1" s="239"/>
      <c r="K1" s="239"/>
      <c r="L1" s="240"/>
    </row>
    <row r="2" spans="1:41">
      <c r="A2" s="234" t="s">
        <v>141</v>
      </c>
      <c r="B2" s="234"/>
      <c r="C2" s="241" t="str">
        <f>'2023年'!C2:L2</f>
        <v>成都王牌</v>
      </c>
      <c r="D2" s="241"/>
      <c r="E2" s="241"/>
      <c r="F2" s="241"/>
      <c r="G2" s="241"/>
      <c r="H2" s="241"/>
      <c r="I2" s="241"/>
      <c r="J2" s="241"/>
      <c r="K2" s="241"/>
      <c r="L2" s="241"/>
    </row>
    <row r="3" spans="1:41">
      <c r="A3" s="234" t="s">
        <v>142</v>
      </c>
      <c r="B3" s="234"/>
      <c r="C3" s="159" t="str">
        <f>销量!C5</f>
        <v>正司机</v>
      </c>
      <c r="D3" s="159" t="str">
        <f>销量!D5</f>
        <v>正司机</v>
      </c>
      <c r="E3" s="159" t="str">
        <f>销量!E5</f>
        <v>正司机</v>
      </c>
      <c r="F3" s="159" t="str">
        <f>销量!F5</f>
        <v>正司机</v>
      </c>
      <c r="G3" s="159" t="str">
        <f>销量!G5</f>
        <v>正司机</v>
      </c>
      <c r="H3" s="159" t="str">
        <f>销量!H5</f>
        <v>正司机</v>
      </c>
      <c r="I3" s="159" t="str">
        <f>销量!I5</f>
        <v>副司机</v>
      </c>
      <c r="J3" s="159">
        <f>销量!J5</f>
        <v>0</v>
      </c>
      <c r="K3" s="159">
        <f>销量!K5</f>
        <v>0</v>
      </c>
      <c r="L3" s="235" t="s">
        <v>18</v>
      </c>
    </row>
    <row r="4" spans="1:41">
      <c r="A4" s="234" t="s">
        <v>143</v>
      </c>
      <c r="B4" s="234"/>
      <c r="C4" s="159" t="str">
        <f>销量!C6</f>
        <v>EZ160051000001</v>
      </c>
      <c r="D4" s="159" t="str">
        <f>销量!D6</f>
        <v>EZ160051000002</v>
      </c>
      <c r="E4" s="159" t="str">
        <f>销量!E6</f>
        <v>EZ160051000003</v>
      </c>
      <c r="F4" s="159" t="str">
        <f>销量!F6</f>
        <v>EZ160051000004</v>
      </c>
      <c r="G4" s="159" t="str">
        <f>销量!G6</f>
        <v>EZ160051000005</v>
      </c>
      <c r="H4" s="159" t="str">
        <f>销量!H6</f>
        <v>EZ160051000004</v>
      </c>
      <c r="I4" s="159" t="str">
        <f>销量!I6</f>
        <v>EZ16B251000008</v>
      </c>
      <c r="J4" s="159">
        <f>销量!J6</f>
        <v>0</v>
      </c>
      <c r="K4" s="159">
        <f>销量!K6</f>
        <v>0</v>
      </c>
      <c r="L4" s="236"/>
    </row>
    <row r="5" spans="1:41">
      <c r="A5" s="234" t="s">
        <v>144</v>
      </c>
      <c r="B5" s="234"/>
      <c r="C5" s="51"/>
      <c r="D5" s="51"/>
      <c r="E5" s="51"/>
      <c r="F5" s="51"/>
      <c r="G5" s="51"/>
      <c r="H5" s="51"/>
      <c r="I5" s="193"/>
      <c r="J5" s="193"/>
      <c r="K5" s="193"/>
      <c r="L5" s="237"/>
      <c r="AO5" s="48" t="s">
        <v>19</v>
      </c>
    </row>
    <row r="6" spans="1:41" ht="17.25">
      <c r="A6" s="52" t="s">
        <v>17</v>
      </c>
      <c r="B6" s="53" t="s">
        <v>145</v>
      </c>
      <c r="C6" s="22">
        <f>销量!C14</f>
        <v>600</v>
      </c>
      <c r="D6" s="22">
        <f>销量!D14</f>
        <v>400</v>
      </c>
      <c r="E6" s="22">
        <f>销量!E14</f>
        <v>500</v>
      </c>
      <c r="F6" s="22">
        <f>销量!F14</f>
        <v>100</v>
      </c>
      <c r="G6" s="22">
        <f>销量!G14</f>
        <v>100</v>
      </c>
      <c r="H6" s="22">
        <f>销量!H14</f>
        <v>300</v>
      </c>
      <c r="I6" s="22">
        <f>销量!I14</f>
        <v>2000</v>
      </c>
      <c r="J6" s="22">
        <f>销量!J14</f>
        <v>0</v>
      </c>
      <c r="K6" s="22">
        <f>销量!K14</f>
        <v>0</v>
      </c>
      <c r="L6" s="54">
        <f>SUM(C6:K6)</f>
        <v>4000</v>
      </c>
      <c r="W6" s="53" t="s">
        <v>3</v>
      </c>
      <c r="AM6" s="52" t="s">
        <v>17</v>
      </c>
      <c r="AN6" s="53" t="s">
        <v>3</v>
      </c>
      <c r="AO6" s="48" t="s">
        <v>20</v>
      </c>
    </row>
    <row r="7" spans="1:41">
      <c r="A7" s="192">
        <v>1</v>
      </c>
      <c r="B7" s="53" t="s">
        <v>21</v>
      </c>
      <c r="C7" s="54">
        <f>C6*销量!C8</f>
        <v>702000</v>
      </c>
      <c r="D7" s="54">
        <f>D6*销量!D8</f>
        <v>548800</v>
      </c>
      <c r="E7" s="54">
        <f>E6*销量!E8</f>
        <v>865000</v>
      </c>
      <c r="F7" s="54">
        <f>F6*销量!F8</f>
        <v>143740</v>
      </c>
      <c r="G7" s="54">
        <f>G6*销量!G8</f>
        <v>158940</v>
      </c>
      <c r="H7" s="54">
        <f>H6*销量!H8</f>
        <v>584220</v>
      </c>
      <c r="I7" s="54">
        <f>I6*销量!I8</f>
        <v>1000000</v>
      </c>
      <c r="J7" s="54">
        <f>J6*销量!J8</f>
        <v>0</v>
      </c>
      <c r="K7" s="54">
        <f>K6*销量!K8</f>
        <v>0</v>
      </c>
      <c r="L7" s="54">
        <f t="shared" ref="L7:L15" si="0">SUM(C7:K7)</f>
        <v>4002700</v>
      </c>
      <c r="M7" s="49"/>
      <c r="W7" s="53" t="s">
        <v>21</v>
      </c>
      <c r="AM7" s="52" t="s">
        <v>22</v>
      </c>
      <c r="AN7" s="53" t="s">
        <v>21</v>
      </c>
      <c r="AO7" s="48" t="s">
        <v>20</v>
      </c>
    </row>
    <row r="8" spans="1:41">
      <c r="A8" s="192">
        <v>2</v>
      </c>
      <c r="B8" s="192" t="s">
        <v>23</v>
      </c>
      <c r="C8" s="54">
        <f>C7*(1-销量!$O$8)</f>
        <v>0</v>
      </c>
      <c r="D8" s="54">
        <f>D7*(1-销量!$O$8)</f>
        <v>0</v>
      </c>
      <c r="E8" s="54">
        <f>E7*(1-销量!$O$8)</f>
        <v>0</v>
      </c>
      <c r="F8" s="54">
        <f>F7*(1-销量!$O$8)</f>
        <v>0</v>
      </c>
      <c r="G8" s="54">
        <f>G7*(1-销量!$O$8)</f>
        <v>0</v>
      </c>
      <c r="H8" s="54">
        <f>H7*(1-销量!$O$8)</f>
        <v>0</v>
      </c>
      <c r="I8" s="54">
        <f>I7*(1-销量!$O$8)</f>
        <v>0</v>
      </c>
      <c r="J8" s="54">
        <f>J7*(1-销量!$O$8)</f>
        <v>0</v>
      </c>
      <c r="K8" s="54">
        <f>K7*(1-销量!$O$8)</f>
        <v>0</v>
      </c>
      <c r="L8" s="54">
        <f t="shared" si="0"/>
        <v>0</v>
      </c>
      <c r="M8" s="69"/>
      <c r="W8" s="192" t="s">
        <v>25</v>
      </c>
      <c r="AM8" s="52" t="s">
        <v>24</v>
      </c>
      <c r="AN8" s="192" t="s">
        <v>25</v>
      </c>
      <c r="AO8" s="48" t="s">
        <v>20</v>
      </c>
    </row>
    <row r="9" spans="1:41">
      <c r="A9" s="192">
        <v>3</v>
      </c>
      <c r="B9" s="53" t="s">
        <v>26</v>
      </c>
      <c r="C9" s="54">
        <f>+C7-C8</f>
        <v>702000</v>
      </c>
      <c r="D9" s="54">
        <f t="shared" ref="D9:K9" si="1">+D7-D8</f>
        <v>548800</v>
      </c>
      <c r="E9" s="54">
        <f t="shared" si="1"/>
        <v>865000</v>
      </c>
      <c r="F9" s="54">
        <f t="shared" si="1"/>
        <v>143740</v>
      </c>
      <c r="G9" s="54">
        <f t="shared" si="1"/>
        <v>158940</v>
      </c>
      <c r="H9" s="54">
        <f t="shared" si="1"/>
        <v>584220</v>
      </c>
      <c r="I9" s="54">
        <f t="shared" si="1"/>
        <v>1000000</v>
      </c>
      <c r="J9" s="54">
        <f t="shared" si="1"/>
        <v>0</v>
      </c>
      <c r="K9" s="54">
        <f t="shared" si="1"/>
        <v>0</v>
      </c>
      <c r="L9" s="54">
        <f t="shared" si="0"/>
        <v>4002700</v>
      </c>
      <c r="W9" s="53" t="s">
        <v>26</v>
      </c>
      <c r="AM9" s="52" t="s">
        <v>27</v>
      </c>
      <c r="AN9" s="53" t="s">
        <v>26</v>
      </c>
      <c r="AO9" s="48" t="s">
        <v>28</v>
      </c>
    </row>
    <row r="10" spans="1:41">
      <c r="A10" s="192">
        <v>4</v>
      </c>
      <c r="B10" s="52" t="s">
        <v>29</v>
      </c>
      <c r="C10" s="54">
        <f>C6*C33</f>
        <v>586202.29320186703</v>
      </c>
      <c r="D10" s="54">
        <f t="shared" ref="D10:K10" si="2">D6*D33</f>
        <v>491173.41384398157</v>
      </c>
      <c r="E10" s="54">
        <f t="shared" si="2"/>
        <v>723519.10943630524</v>
      </c>
      <c r="F10" s="54">
        <f t="shared" si="2"/>
        <v>121872.60691911115</v>
      </c>
      <c r="G10" s="54">
        <f t="shared" si="2"/>
        <v>142659.41919508899</v>
      </c>
      <c r="H10" s="54">
        <f t="shared" si="2"/>
        <v>493709.66286406392</v>
      </c>
      <c r="I10" s="54">
        <f t="shared" si="2"/>
        <v>956808.49317739601</v>
      </c>
      <c r="J10" s="54">
        <f t="shared" si="2"/>
        <v>0</v>
      </c>
      <c r="K10" s="54">
        <f t="shared" si="2"/>
        <v>0</v>
      </c>
      <c r="L10" s="54">
        <f t="shared" si="0"/>
        <v>3515944.9986378141</v>
      </c>
      <c r="W10" s="52" t="s">
        <v>29</v>
      </c>
      <c r="AM10" s="52" t="s">
        <v>30</v>
      </c>
      <c r="AN10" s="52" t="s">
        <v>29</v>
      </c>
      <c r="AO10" s="48" t="s">
        <v>31</v>
      </c>
    </row>
    <row r="11" spans="1:41">
      <c r="A11" s="192">
        <v>5</v>
      </c>
      <c r="B11" s="52" t="s">
        <v>32</v>
      </c>
      <c r="C11" s="54">
        <f>+C6*C36</f>
        <v>33204.6</v>
      </c>
      <c r="D11" s="54">
        <f t="shared" ref="D11:K11" si="3">+D6*D36</f>
        <v>25958.240000000002</v>
      </c>
      <c r="E11" s="54">
        <f t="shared" si="3"/>
        <v>40914.500000000007</v>
      </c>
      <c r="F11" s="54">
        <f t="shared" si="3"/>
        <v>6798.902000000001</v>
      </c>
      <c r="G11" s="54">
        <f t="shared" si="3"/>
        <v>7517.862000000001</v>
      </c>
      <c r="H11" s="54">
        <f t="shared" si="3"/>
        <v>27633.606</v>
      </c>
      <c r="I11" s="54">
        <f t="shared" si="3"/>
        <v>47300.000000000007</v>
      </c>
      <c r="J11" s="54">
        <f t="shared" si="3"/>
        <v>0</v>
      </c>
      <c r="K11" s="54">
        <f t="shared" si="3"/>
        <v>0</v>
      </c>
      <c r="L11" s="54">
        <f t="shared" si="0"/>
        <v>189327.71</v>
      </c>
      <c r="W11" s="52" t="s">
        <v>32</v>
      </c>
      <c r="AM11" s="52" t="s">
        <v>33</v>
      </c>
      <c r="AN11" s="52" t="s">
        <v>32</v>
      </c>
    </row>
    <row r="12" spans="1:41">
      <c r="A12" s="192">
        <v>6</v>
      </c>
      <c r="B12" s="52" t="s">
        <v>34</v>
      </c>
      <c r="C12" s="54">
        <f>+C6*C37</f>
        <v>10319.4</v>
      </c>
      <c r="D12" s="54">
        <f t="shared" ref="D12:K12" si="4">+D6*D37</f>
        <v>8067.36</v>
      </c>
      <c r="E12" s="54">
        <f t="shared" si="4"/>
        <v>12715.5</v>
      </c>
      <c r="F12" s="54">
        <f t="shared" si="4"/>
        <v>2112.9780000000001</v>
      </c>
      <c r="G12" s="54">
        <f t="shared" si="4"/>
        <v>2336.4180000000001</v>
      </c>
      <c r="H12" s="54">
        <f t="shared" si="4"/>
        <v>8588.0339999999997</v>
      </c>
      <c r="I12" s="54">
        <f t="shared" si="4"/>
        <v>14700</v>
      </c>
      <c r="J12" s="54">
        <f t="shared" si="4"/>
        <v>0</v>
      </c>
      <c r="K12" s="54">
        <f t="shared" si="4"/>
        <v>0</v>
      </c>
      <c r="L12" s="54">
        <f t="shared" si="0"/>
        <v>58839.689999999995</v>
      </c>
      <c r="W12" s="52" t="s">
        <v>34</v>
      </c>
      <c r="AM12" s="52" t="s">
        <v>35</v>
      </c>
      <c r="AN12" s="52" t="s">
        <v>34</v>
      </c>
    </row>
    <row r="13" spans="1:41">
      <c r="A13" s="192">
        <v>7</v>
      </c>
      <c r="B13" s="52" t="s">
        <v>36</v>
      </c>
      <c r="C13" s="54">
        <f>+C6*C38</f>
        <v>7020.0000000000009</v>
      </c>
      <c r="D13" s="54">
        <f t="shared" ref="D13:K13" si="5">+D6*D38</f>
        <v>5488</v>
      </c>
      <c r="E13" s="54">
        <f t="shared" si="5"/>
        <v>8650</v>
      </c>
      <c r="F13" s="54">
        <f t="shared" si="5"/>
        <v>1437.4</v>
      </c>
      <c r="G13" s="54">
        <f t="shared" si="5"/>
        <v>0</v>
      </c>
      <c r="H13" s="54">
        <f t="shared" si="5"/>
        <v>5842.2</v>
      </c>
      <c r="I13" s="54">
        <f t="shared" si="5"/>
        <v>10000</v>
      </c>
      <c r="J13" s="54">
        <f t="shared" si="5"/>
        <v>0</v>
      </c>
      <c r="K13" s="54">
        <f t="shared" si="5"/>
        <v>0</v>
      </c>
      <c r="L13" s="54">
        <f t="shared" si="0"/>
        <v>38437.600000000006</v>
      </c>
      <c r="W13" s="52" t="s">
        <v>36</v>
      </c>
      <c r="AM13" s="52" t="s">
        <v>37</v>
      </c>
      <c r="AN13" s="52" t="s">
        <v>36</v>
      </c>
      <c r="AO13" s="48" t="s">
        <v>20</v>
      </c>
    </row>
    <row r="14" spans="1:41">
      <c r="A14" s="192">
        <v>8</v>
      </c>
      <c r="B14" s="55" t="s">
        <v>38</v>
      </c>
      <c r="C14" s="54">
        <f>SUM(C11:C13)</f>
        <v>50544</v>
      </c>
      <c r="D14" s="54">
        <f t="shared" ref="D14:K14" si="6">SUM(D11:D13)</f>
        <v>39513.599999999999</v>
      </c>
      <c r="E14" s="54">
        <f t="shared" si="6"/>
        <v>62280.000000000007</v>
      </c>
      <c r="F14" s="54">
        <f t="shared" si="6"/>
        <v>10349.280000000001</v>
      </c>
      <c r="G14" s="54">
        <f t="shared" si="6"/>
        <v>9854.2800000000007</v>
      </c>
      <c r="H14" s="54">
        <f t="shared" si="6"/>
        <v>42063.839999999997</v>
      </c>
      <c r="I14" s="54">
        <f t="shared" si="6"/>
        <v>72000</v>
      </c>
      <c r="J14" s="54">
        <f t="shared" si="6"/>
        <v>0</v>
      </c>
      <c r="K14" s="54">
        <f t="shared" si="6"/>
        <v>0</v>
      </c>
      <c r="L14" s="54">
        <f t="shared" si="0"/>
        <v>286605</v>
      </c>
      <c r="W14" s="55" t="s">
        <v>38</v>
      </c>
      <c r="AM14" s="52" t="s">
        <v>39</v>
      </c>
      <c r="AN14" s="55" t="s">
        <v>38</v>
      </c>
    </row>
    <row r="15" spans="1:41">
      <c r="A15" s="192">
        <v>9</v>
      </c>
      <c r="B15" s="55" t="s">
        <v>40</v>
      </c>
      <c r="C15" s="54">
        <f>+C9-C10-C14</f>
        <v>65253.706798132975</v>
      </c>
      <c r="D15" s="54">
        <f t="shared" ref="D15:K15" si="7">+D9-D10-D14</f>
        <v>18112.986156018429</v>
      </c>
      <c r="E15" s="54">
        <f t="shared" si="7"/>
        <v>79200.89056369476</v>
      </c>
      <c r="F15" s="54">
        <f t="shared" si="7"/>
        <v>11518.113080888854</v>
      </c>
      <c r="G15" s="54">
        <f t="shared" si="7"/>
        <v>6426.3008049110049</v>
      </c>
      <c r="H15" s="54">
        <f t="shared" si="7"/>
        <v>48446.497135936079</v>
      </c>
      <c r="I15" s="54">
        <f t="shared" si="7"/>
        <v>-28808.493177396012</v>
      </c>
      <c r="J15" s="54">
        <f t="shared" si="7"/>
        <v>0</v>
      </c>
      <c r="K15" s="54">
        <f t="shared" si="7"/>
        <v>0</v>
      </c>
      <c r="L15" s="54">
        <f t="shared" si="0"/>
        <v>200150.00136218607</v>
      </c>
      <c r="W15" s="55" t="s">
        <v>40</v>
      </c>
      <c r="AM15" s="52" t="s">
        <v>41</v>
      </c>
      <c r="AN15" s="55" t="s">
        <v>40</v>
      </c>
    </row>
    <row r="16" spans="1:41">
      <c r="A16" s="192">
        <v>10</v>
      </c>
      <c r="B16" s="52" t="s">
        <v>42</v>
      </c>
      <c r="C16" s="56">
        <f>+C15/C9</f>
        <v>9.2953998287938711E-2</v>
      </c>
      <c r="D16" s="56">
        <f t="shared" ref="D16:L16" si="8">+D15/D9</f>
        <v>3.3004712383415506E-2</v>
      </c>
      <c r="E16" s="56">
        <f t="shared" si="8"/>
        <v>9.1561723195022843E-2</v>
      </c>
      <c r="F16" s="56">
        <f t="shared" si="8"/>
        <v>8.0131578411638052E-2</v>
      </c>
      <c r="G16" s="56">
        <f t="shared" si="8"/>
        <v>4.0432243644840854E-2</v>
      </c>
      <c r="H16" s="56">
        <f t="shared" si="8"/>
        <v>8.2925091807771176E-2</v>
      </c>
      <c r="I16" s="56">
        <f t="shared" si="8"/>
        <v>-2.8808493177396012E-2</v>
      </c>
      <c r="J16" s="56" t="e">
        <f t="shared" si="8"/>
        <v>#DIV/0!</v>
      </c>
      <c r="K16" s="56" t="e">
        <f t="shared" si="8"/>
        <v>#DIV/0!</v>
      </c>
      <c r="L16" s="56">
        <f t="shared" si="8"/>
        <v>5.0003747810774248E-2</v>
      </c>
      <c r="W16" s="52" t="s">
        <v>42</v>
      </c>
      <c r="AM16" s="52" t="s">
        <v>43</v>
      </c>
      <c r="AN16" s="52" t="s">
        <v>42</v>
      </c>
    </row>
    <row r="17" spans="1:41">
      <c r="A17" s="192">
        <v>11</v>
      </c>
      <c r="B17" s="52" t="s">
        <v>44</v>
      </c>
      <c r="C17" s="54">
        <f>C6*C43+C18</f>
        <v>6210.6249999999991</v>
      </c>
      <c r="D17" s="54">
        <f t="shared" ref="D17:K17" si="9">D6*D43+D18</f>
        <v>4140.4166666666661</v>
      </c>
      <c r="E17" s="54">
        <f t="shared" si="9"/>
        <v>5175.520833333333</v>
      </c>
      <c r="F17" s="54">
        <f t="shared" si="9"/>
        <v>1035.1041666666665</v>
      </c>
      <c r="G17" s="54">
        <f t="shared" si="9"/>
        <v>1035.1041666666665</v>
      </c>
      <c r="H17" s="54">
        <f t="shared" si="9"/>
        <v>3105.3124999999995</v>
      </c>
      <c r="I17" s="54">
        <f t="shared" si="9"/>
        <v>20702.083333333332</v>
      </c>
      <c r="J17" s="54">
        <f t="shared" si="9"/>
        <v>0</v>
      </c>
      <c r="K17" s="54">
        <f t="shared" si="9"/>
        <v>0</v>
      </c>
      <c r="L17" s="54">
        <f>SUM(C17:K17)</f>
        <v>41404.166666666664</v>
      </c>
      <c r="M17" s="69"/>
      <c r="W17" s="52" t="s">
        <v>44</v>
      </c>
      <c r="AM17" s="52" t="s">
        <v>45</v>
      </c>
      <c r="AN17" s="52" t="s">
        <v>44</v>
      </c>
    </row>
    <row r="18" spans="1:41" s="46" customFormat="1">
      <c r="A18" s="192">
        <v>12</v>
      </c>
      <c r="B18" s="57" t="s">
        <v>146</v>
      </c>
      <c r="C18" s="58">
        <f>$L$18/$L$6*C6</f>
        <v>6210.6249999999991</v>
      </c>
      <c r="D18" s="58">
        <f t="shared" ref="D18:K18" si="10">$L$18/$L$6*D6</f>
        <v>4140.4166666666661</v>
      </c>
      <c r="E18" s="58">
        <f t="shared" si="10"/>
        <v>5175.520833333333</v>
      </c>
      <c r="F18" s="58">
        <f t="shared" si="10"/>
        <v>1035.1041666666665</v>
      </c>
      <c r="G18" s="58">
        <f t="shared" si="10"/>
        <v>1035.1041666666665</v>
      </c>
      <c r="H18" s="58">
        <f t="shared" si="10"/>
        <v>3105.3124999999995</v>
      </c>
      <c r="I18" s="58">
        <f t="shared" si="10"/>
        <v>20702.083333333332</v>
      </c>
      <c r="J18" s="58">
        <f t="shared" si="10"/>
        <v>0</v>
      </c>
      <c r="K18" s="58">
        <f t="shared" si="10"/>
        <v>0</v>
      </c>
      <c r="L18" s="58">
        <f>项目投资!I26</f>
        <v>41404.166666666664</v>
      </c>
      <c r="M18" s="70" t="s">
        <v>147</v>
      </c>
      <c r="N18" s="70"/>
      <c r="O18" s="70"/>
    </row>
    <row r="19" spans="1:41">
      <c r="A19" s="192">
        <v>13</v>
      </c>
      <c r="B19" s="52" t="s">
        <v>46</v>
      </c>
      <c r="C19" s="54">
        <f>C6*C44</f>
        <v>0</v>
      </c>
      <c r="D19" s="54">
        <f t="shared" ref="D19:K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11"/>
        <v>0</v>
      </c>
      <c r="J19" s="54">
        <f t="shared" si="11"/>
        <v>0</v>
      </c>
      <c r="K19" s="54">
        <f t="shared" si="11"/>
        <v>0</v>
      </c>
      <c r="L19" s="54">
        <f>SUM(C19:K19)</f>
        <v>0</v>
      </c>
      <c r="M19" s="46"/>
      <c r="W19" s="52" t="s">
        <v>46</v>
      </c>
      <c r="AM19" s="52" t="s">
        <v>47</v>
      </c>
      <c r="AN19" s="52" t="s">
        <v>46</v>
      </c>
      <c r="AO19" s="48" t="s">
        <v>20</v>
      </c>
    </row>
    <row r="20" spans="1:41">
      <c r="A20" s="192">
        <v>14</v>
      </c>
      <c r="B20" s="52" t="s">
        <v>48</v>
      </c>
      <c r="C20" s="54">
        <f>C6*C45</f>
        <v>0</v>
      </c>
      <c r="D20" s="54">
        <f t="shared" ref="D20:K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12"/>
        <v>0</v>
      </c>
      <c r="J20" s="54">
        <f t="shared" si="12"/>
        <v>0</v>
      </c>
      <c r="K20" s="54">
        <f t="shared" si="12"/>
        <v>0</v>
      </c>
      <c r="L20" s="54">
        <f>SUM(C20:K20)</f>
        <v>0</v>
      </c>
      <c r="W20" s="52" t="s">
        <v>48</v>
      </c>
      <c r="AM20" s="52" t="s">
        <v>49</v>
      </c>
      <c r="AN20" s="52" t="s">
        <v>48</v>
      </c>
    </row>
    <row r="21" spans="1:41">
      <c r="A21" s="192">
        <v>15</v>
      </c>
      <c r="B21" s="52" t="s">
        <v>50</v>
      </c>
      <c r="C21" s="59">
        <f>$L$21/$L$6*C6</f>
        <v>3985</v>
      </c>
      <c r="D21" s="59">
        <f t="shared" ref="D21:K21" si="13">$L$21/$L$6*D6</f>
        <v>2656.6666666666665</v>
      </c>
      <c r="E21" s="59">
        <f t="shared" si="13"/>
        <v>3320.8333333333335</v>
      </c>
      <c r="F21" s="59">
        <f t="shared" si="13"/>
        <v>664.16666666666663</v>
      </c>
      <c r="G21" s="59">
        <f t="shared" si="13"/>
        <v>664.16666666666663</v>
      </c>
      <c r="H21" s="59">
        <f t="shared" si="13"/>
        <v>1992.5</v>
      </c>
      <c r="I21" s="59">
        <f t="shared" si="13"/>
        <v>13283.333333333334</v>
      </c>
      <c r="J21" s="59">
        <f t="shared" si="13"/>
        <v>0</v>
      </c>
      <c r="K21" s="59">
        <f t="shared" si="13"/>
        <v>0</v>
      </c>
      <c r="L21" s="54">
        <f>项目投资!I27</f>
        <v>26566.666666666668</v>
      </c>
      <c r="W21" s="52" t="s">
        <v>50</v>
      </c>
      <c r="AM21" s="52"/>
      <c r="AN21" s="52"/>
    </row>
    <row r="22" spans="1:41">
      <c r="A22" s="192">
        <v>16</v>
      </c>
      <c r="B22" s="52" t="s">
        <v>51</v>
      </c>
      <c r="C22" s="54">
        <f>C6*C47</f>
        <v>28080.000000000004</v>
      </c>
      <c r="D22" s="54">
        <f t="shared" ref="D22:K22" si="14">D6*D47</f>
        <v>21952</v>
      </c>
      <c r="E22" s="54">
        <f t="shared" si="14"/>
        <v>34600</v>
      </c>
      <c r="F22" s="54">
        <f t="shared" si="14"/>
        <v>5749.6</v>
      </c>
      <c r="G22" s="54">
        <f t="shared" si="14"/>
        <v>6357.6</v>
      </c>
      <c r="H22" s="54">
        <f t="shared" si="14"/>
        <v>23368.799999999999</v>
      </c>
      <c r="I22" s="54">
        <f t="shared" si="14"/>
        <v>40000</v>
      </c>
      <c r="J22" s="54">
        <f t="shared" si="14"/>
        <v>0</v>
      </c>
      <c r="K22" s="54">
        <f t="shared" si="14"/>
        <v>0</v>
      </c>
      <c r="L22" s="54">
        <f>SUM(C22:K22)</f>
        <v>160108</v>
      </c>
      <c r="W22" s="52" t="s">
        <v>51</v>
      </c>
      <c r="AM22" s="52" t="s">
        <v>52</v>
      </c>
      <c r="AN22" s="52" t="s">
        <v>51</v>
      </c>
    </row>
    <row r="23" spans="1:41">
      <c r="A23" s="192">
        <v>17</v>
      </c>
      <c r="B23" s="55" t="s">
        <v>53</v>
      </c>
      <c r="C23" s="59">
        <f>+C22+C21+C20+C19+C17</f>
        <v>38275.625</v>
      </c>
      <c r="D23" s="59">
        <f t="shared" ref="D23:L23" si="15">+D22+D21+D20+D19+D17</f>
        <v>28749.083333333336</v>
      </c>
      <c r="E23" s="59">
        <f t="shared" si="15"/>
        <v>43096.354166666672</v>
      </c>
      <c r="F23" s="59">
        <f t="shared" si="15"/>
        <v>7448.8708333333343</v>
      </c>
      <c r="G23" s="59">
        <f t="shared" si="15"/>
        <v>8056.8708333333343</v>
      </c>
      <c r="H23" s="59">
        <f t="shared" si="15"/>
        <v>28466.612499999999</v>
      </c>
      <c r="I23" s="59">
        <f t="shared" si="15"/>
        <v>73985.416666666672</v>
      </c>
      <c r="J23" s="59">
        <f t="shared" si="15"/>
        <v>0</v>
      </c>
      <c r="K23" s="59">
        <f t="shared" si="15"/>
        <v>0</v>
      </c>
      <c r="L23" s="59">
        <f t="shared" si="15"/>
        <v>228078.83333333331</v>
      </c>
      <c r="W23" s="55" t="s">
        <v>53</v>
      </c>
      <c r="AM23" s="52" t="s">
        <v>54</v>
      </c>
      <c r="AN23" s="55" t="s">
        <v>53</v>
      </c>
    </row>
    <row r="24" spans="1:41">
      <c r="A24" s="192">
        <v>18</v>
      </c>
      <c r="B24" s="60" t="s">
        <v>55</v>
      </c>
      <c r="C24" s="59">
        <f>+C15-C23</f>
        <v>26978.081798132975</v>
      </c>
      <c r="D24" s="59">
        <f t="shared" ref="D24:L24" si="16">+D15-D23</f>
        <v>-10636.097177314907</v>
      </c>
      <c r="E24" s="59">
        <f t="shared" si="16"/>
        <v>36104.536397028089</v>
      </c>
      <c r="F24" s="59">
        <f t="shared" si="16"/>
        <v>4069.2422475555195</v>
      </c>
      <c r="G24" s="59">
        <f t="shared" si="16"/>
        <v>-1630.5700284223294</v>
      </c>
      <c r="H24" s="59">
        <f t="shared" si="16"/>
        <v>19979.88463593608</v>
      </c>
      <c r="I24" s="59">
        <f t="shared" si="16"/>
        <v>-102793.90984406268</v>
      </c>
      <c r="J24" s="59">
        <f t="shared" si="16"/>
        <v>0</v>
      </c>
      <c r="K24" s="59">
        <f t="shared" si="16"/>
        <v>0</v>
      </c>
      <c r="L24" s="59">
        <f t="shared" si="16"/>
        <v>-27928.831971147243</v>
      </c>
      <c r="N24" s="71"/>
      <c r="W24" s="52" t="s">
        <v>55</v>
      </c>
      <c r="AM24" s="52" t="s">
        <v>56</v>
      </c>
      <c r="AN24" s="52" t="s">
        <v>55</v>
      </c>
    </row>
    <row r="25" spans="1:41">
      <c r="A25" s="192">
        <v>19</v>
      </c>
      <c r="B25" s="52" t="s">
        <v>232</v>
      </c>
      <c r="C25" s="59">
        <f>IF(C24&lt;0,0,C24*0.15)</f>
        <v>4046.7122697199461</v>
      </c>
      <c r="D25" s="59">
        <f>IF(D24&lt;0,0,D24*0.15)</f>
        <v>0</v>
      </c>
      <c r="E25" s="59">
        <f t="shared" ref="E25:K25" si="17">IF(E24&lt;0,0,E24*0.25)</f>
        <v>9026.1340992570222</v>
      </c>
      <c r="F25" s="59">
        <f>IF(F24&lt;0,0,F24*0.15)</f>
        <v>610.38633713332786</v>
      </c>
      <c r="G25" s="59">
        <f t="shared" si="17"/>
        <v>0</v>
      </c>
      <c r="H25" s="59">
        <f t="shared" si="17"/>
        <v>4994.9711589840199</v>
      </c>
      <c r="I25" s="59">
        <f t="shared" si="17"/>
        <v>0</v>
      </c>
      <c r="J25" s="59">
        <f t="shared" si="17"/>
        <v>0</v>
      </c>
      <c r="K25" s="59">
        <f t="shared" si="17"/>
        <v>0</v>
      </c>
      <c r="L25" s="59">
        <f>IF(L24&lt;0,0,L24*0.15)</f>
        <v>0</v>
      </c>
      <c r="M25" s="67"/>
      <c r="N25" s="67"/>
      <c r="O25" s="67"/>
      <c r="W25" s="52" t="s">
        <v>57</v>
      </c>
      <c r="AM25" s="52" t="s">
        <v>58</v>
      </c>
      <c r="AN25" s="52" t="s">
        <v>57</v>
      </c>
    </row>
    <row r="26" spans="1:41">
      <c r="A26" s="192">
        <v>20</v>
      </c>
      <c r="B26" s="52" t="s">
        <v>59</v>
      </c>
      <c r="C26" s="59">
        <f t="shared" ref="C26:K26" si="18">C24-C25</f>
        <v>22931.36952841303</v>
      </c>
      <c r="D26" s="59">
        <f t="shared" si="18"/>
        <v>-10636.097177314907</v>
      </c>
      <c r="E26" s="59">
        <f t="shared" si="18"/>
        <v>27078.402297771067</v>
      </c>
      <c r="F26" s="59">
        <f t="shared" si="18"/>
        <v>3458.8559104221918</v>
      </c>
      <c r="G26" s="59">
        <f t="shared" si="18"/>
        <v>-1630.5700284223294</v>
      </c>
      <c r="H26" s="59">
        <f t="shared" si="18"/>
        <v>14984.913476952061</v>
      </c>
      <c r="I26" s="59">
        <f t="shared" si="18"/>
        <v>-102793.90984406268</v>
      </c>
      <c r="J26" s="59">
        <f t="shared" si="18"/>
        <v>0</v>
      </c>
      <c r="K26" s="59">
        <f t="shared" si="18"/>
        <v>0</v>
      </c>
      <c r="L26" s="54">
        <f>L24-L25</f>
        <v>-27928.831971147243</v>
      </c>
      <c r="M26" s="177"/>
      <c r="N26" s="67"/>
      <c r="O26" s="67"/>
      <c r="W26" s="52" t="s">
        <v>59</v>
      </c>
      <c r="AM26" s="52" t="s">
        <v>60</v>
      </c>
      <c r="AN26" s="52" t="s">
        <v>59</v>
      </c>
    </row>
    <row r="27" spans="1:41">
      <c r="A27" s="192">
        <v>21</v>
      </c>
      <c r="B27" s="52" t="s">
        <v>63</v>
      </c>
      <c r="C27" s="61">
        <f t="shared" ref="C27:L27" si="19">C26/C7</f>
        <v>3.2665768558992919E-2</v>
      </c>
      <c r="D27" s="61">
        <f t="shared" si="19"/>
        <v>-1.938064354467002E-2</v>
      </c>
      <c r="E27" s="61">
        <f t="shared" si="19"/>
        <v>3.130451132690297E-2</v>
      </c>
      <c r="F27" s="61">
        <f t="shared" si="19"/>
        <v>2.4063280300697036E-2</v>
      </c>
      <c r="G27" s="61">
        <f t="shared" si="19"/>
        <v>-1.0259028743062348E-2</v>
      </c>
      <c r="H27" s="61">
        <f t="shared" si="19"/>
        <v>2.5649435960686147E-2</v>
      </c>
      <c r="I27" s="61">
        <f t="shared" si="19"/>
        <v>-0.10279390984406268</v>
      </c>
      <c r="J27" s="61" t="e">
        <f t="shared" si="19"/>
        <v>#DIV/0!</v>
      </c>
      <c r="K27" s="61" t="e">
        <f t="shared" si="19"/>
        <v>#DIV/0!</v>
      </c>
      <c r="L27" s="61">
        <f t="shared" si="19"/>
        <v>-6.9774981815142884E-3</v>
      </c>
      <c r="M27" s="175"/>
      <c r="N27" s="67"/>
      <c r="O27" s="67"/>
      <c r="W27" s="52" t="s">
        <v>63</v>
      </c>
      <c r="AM27" s="52" t="s">
        <v>62</v>
      </c>
      <c r="AN27" s="52" t="s">
        <v>63</v>
      </c>
    </row>
    <row r="28" spans="1:41">
      <c r="M28" s="67"/>
      <c r="N28" s="67"/>
      <c r="O28" s="67"/>
      <c r="W28" s="52"/>
    </row>
    <row r="29" spans="1:41">
      <c r="A29" s="48" t="s">
        <v>64</v>
      </c>
      <c r="L29" s="49" t="s">
        <v>148</v>
      </c>
      <c r="M29" s="67"/>
      <c r="N29" s="67"/>
      <c r="O29" s="67"/>
      <c r="W29" s="52"/>
      <c r="AM29" s="48" t="s">
        <v>64</v>
      </c>
    </row>
    <row r="30" spans="1:41">
      <c r="A30" s="52" t="s">
        <v>65</v>
      </c>
      <c r="B30" s="55" t="s">
        <v>66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7"/>
      <c r="N30" s="67"/>
      <c r="O30" s="67"/>
      <c r="Q30" s="67"/>
      <c r="W30" s="55" t="s">
        <v>66</v>
      </c>
      <c r="AM30" s="52" t="s">
        <v>67</v>
      </c>
      <c r="AN30" s="55" t="s">
        <v>66</v>
      </c>
    </row>
    <row r="31" spans="1:41">
      <c r="A31" s="192">
        <v>1</v>
      </c>
      <c r="B31" s="57" t="s">
        <v>68</v>
      </c>
      <c r="C31" s="63">
        <f>销量!C8</f>
        <v>1170</v>
      </c>
      <c r="D31" s="63">
        <f>销量!D8</f>
        <v>1372</v>
      </c>
      <c r="E31" s="63">
        <f>销量!E8</f>
        <v>1730</v>
      </c>
      <c r="F31" s="63">
        <f>销量!F8</f>
        <v>1437.4</v>
      </c>
      <c r="G31" s="63">
        <f>销量!G8</f>
        <v>1589.4</v>
      </c>
      <c r="H31" s="63">
        <f>销量!H8</f>
        <v>1947.4</v>
      </c>
      <c r="I31" s="63">
        <f>销量!I8</f>
        <v>500</v>
      </c>
      <c r="J31" s="63">
        <f>销量!J8</f>
        <v>0</v>
      </c>
      <c r="K31" s="63">
        <f>销量!K8</f>
        <v>0</v>
      </c>
      <c r="L31" s="59"/>
      <c r="M31" s="67"/>
      <c r="N31" s="67"/>
      <c r="O31" s="67"/>
      <c r="Q31" s="67"/>
      <c r="W31" s="52" t="s">
        <v>68</v>
      </c>
      <c r="AM31" s="52" t="s">
        <v>22</v>
      </c>
      <c r="AN31" s="52" t="s">
        <v>68</v>
      </c>
    </row>
    <row r="32" spans="1:41">
      <c r="A32" s="192">
        <v>2</v>
      </c>
      <c r="B32" s="52" t="s">
        <v>149</v>
      </c>
      <c r="C32" s="54">
        <f>C9/C6</f>
        <v>1170</v>
      </c>
      <c r="D32" s="54">
        <f t="shared" ref="D32:K32" si="20">D9/D6</f>
        <v>1372</v>
      </c>
      <c r="E32" s="54">
        <f t="shared" si="20"/>
        <v>1730</v>
      </c>
      <c r="F32" s="54">
        <f t="shared" si="20"/>
        <v>1437.4</v>
      </c>
      <c r="G32" s="54">
        <f t="shared" si="20"/>
        <v>1589.4</v>
      </c>
      <c r="H32" s="54">
        <f t="shared" si="20"/>
        <v>1947.4</v>
      </c>
      <c r="I32" s="54">
        <f t="shared" si="20"/>
        <v>500</v>
      </c>
      <c r="J32" s="54" t="e">
        <f t="shared" si="20"/>
        <v>#DIV/0!</v>
      </c>
      <c r="K32" s="54" t="e">
        <f t="shared" si="20"/>
        <v>#DIV/0!</v>
      </c>
      <c r="L32" s="59"/>
      <c r="M32" s="67"/>
      <c r="N32" s="67"/>
      <c r="O32" s="67"/>
      <c r="P32" s="67"/>
      <c r="Q32" s="67"/>
      <c r="R32" s="67"/>
      <c r="S32" s="67"/>
      <c r="AM32" s="52"/>
      <c r="AN32" s="52"/>
    </row>
    <row r="33" spans="1:40">
      <c r="A33" s="192">
        <v>3</v>
      </c>
      <c r="B33" s="57" t="s">
        <v>69</v>
      </c>
      <c r="C33" s="54">
        <f>材料成本!D19</f>
        <v>977.00382200311174</v>
      </c>
      <c r="D33" s="54">
        <f>材料成本!E19</f>
        <v>1227.933534609954</v>
      </c>
      <c r="E33" s="54">
        <f>材料成本!F19</f>
        <v>1447.0382188726105</v>
      </c>
      <c r="F33" s="54">
        <f>材料成本!G19</f>
        <v>1218.7260691911115</v>
      </c>
      <c r="G33" s="54">
        <f>材料成本!H19</f>
        <v>1426.5941919508898</v>
      </c>
      <c r="H33" s="54">
        <f>材料成本!I19</f>
        <v>1645.6988762135463</v>
      </c>
      <c r="I33" s="54">
        <f>材料成本!J19</f>
        <v>478.40424658869802</v>
      </c>
      <c r="J33" s="54">
        <f>材料成本!K19</f>
        <v>0</v>
      </c>
      <c r="K33" s="54">
        <f>材料成本!L19</f>
        <v>0</v>
      </c>
      <c r="L33" s="59"/>
      <c r="N33" s="67"/>
      <c r="O33" s="67"/>
      <c r="P33" s="67"/>
      <c r="Q33" s="67"/>
      <c r="R33" s="67"/>
      <c r="S33" s="67"/>
      <c r="W33" s="52" t="s">
        <v>69</v>
      </c>
      <c r="AM33" s="52" t="s">
        <v>24</v>
      </c>
      <c r="AN33" s="52" t="s">
        <v>69</v>
      </c>
    </row>
    <row r="34" spans="1:40" ht="17.25" customHeight="1">
      <c r="A34" s="192">
        <v>4</v>
      </c>
      <c r="B34" s="52" t="s">
        <v>71</v>
      </c>
      <c r="C34" s="64">
        <f>C32-C33</f>
        <v>192.99617799688826</v>
      </c>
      <c r="D34" s="64">
        <f t="shared" ref="D34:K34" si="21">D32-D33</f>
        <v>144.06646539004601</v>
      </c>
      <c r="E34" s="64">
        <f t="shared" si="21"/>
        <v>282.96178112738949</v>
      </c>
      <c r="F34" s="64">
        <f t="shared" si="21"/>
        <v>218.6739308088886</v>
      </c>
      <c r="G34" s="64">
        <f t="shared" si="21"/>
        <v>162.80580804911028</v>
      </c>
      <c r="H34" s="64">
        <f t="shared" si="21"/>
        <v>301.70112378645376</v>
      </c>
      <c r="I34" s="64">
        <f t="shared" si="21"/>
        <v>21.595753411301985</v>
      </c>
      <c r="J34" s="64" t="e">
        <f t="shared" si="21"/>
        <v>#DIV/0!</v>
      </c>
      <c r="K34" s="64" t="e">
        <f t="shared" si="21"/>
        <v>#DIV/0!</v>
      </c>
      <c r="L34" s="59"/>
      <c r="N34" s="67"/>
      <c r="O34" s="67"/>
      <c r="P34" s="67"/>
      <c r="Q34" s="67"/>
      <c r="R34" s="67"/>
      <c r="S34" s="67"/>
      <c r="W34" s="52" t="s">
        <v>71</v>
      </c>
      <c r="AM34" s="52" t="s">
        <v>70</v>
      </c>
      <c r="AN34" s="52" t="s">
        <v>71</v>
      </c>
    </row>
    <row r="35" spans="1:40">
      <c r="A35" s="52" t="s">
        <v>67</v>
      </c>
      <c r="B35" s="55" t="s">
        <v>10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55" t="s">
        <v>10</v>
      </c>
      <c r="AM35" s="52" t="s">
        <v>73</v>
      </c>
      <c r="AN35" s="55" t="s">
        <v>10</v>
      </c>
    </row>
    <row r="36" spans="1:40">
      <c r="A36" s="192">
        <v>1</v>
      </c>
      <c r="B36" s="52" t="s">
        <v>74</v>
      </c>
      <c r="C36" s="58">
        <f>'2023年'!C36</f>
        <v>55.341000000000001</v>
      </c>
      <c r="D36" s="58">
        <f>'2023年'!D36</f>
        <v>64.895600000000002</v>
      </c>
      <c r="E36" s="58">
        <f>'2023年'!E36</f>
        <v>81.829000000000008</v>
      </c>
      <c r="F36" s="58">
        <f>'2023年'!F36</f>
        <v>67.989020000000011</v>
      </c>
      <c r="G36" s="58">
        <f>'2023年'!G36</f>
        <v>75.178620000000009</v>
      </c>
      <c r="H36" s="58">
        <f>'2023年'!H36</f>
        <v>92.112020000000001</v>
      </c>
      <c r="I36" s="58">
        <f>'2023年'!I36</f>
        <v>23.650000000000002</v>
      </c>
      <c r="J36" s="58">
        <f>'2023年'!J36</f>
        <v>0</v>
      </c>
      <c r="K36" s="58">
        <f>'2023年'!K36</f>
        <v>0</v>
      </c>
      <c r="L36" s="63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52" t="s">
        <v>74</v>
      </c>
      <c r="AM36" s="52" t="s">
        <v>70</v>
      </c>
      <c r="AN36" s="52" t="s">
        <v>74</v>
      </c>
    </row>
    <row r="37" spans="1:40">
      <c r="A37" s="192">
        <v>2</v>
      </c>
      <c r="B37" s="52" t="s">
        <v>75</v>
      </c>
      <c r="C37" s="58">
        <f>'2023年'!C37</f>
        <v>17.198999999999998</v>
      </c>
      <c r="D37" s="58">
        <f>'2023年'!D37</f>
        <v>20.168399999999998</v>
      </c>
      <c r="E37" s="58">
        <f>'2023年'!E37</f>
        <v>25.431000000000001</v>
      </c>
      <c r="F37" s="58">
        <f>'2023年'!F37</f>
        <v>21.12978</v>
      </c>
      <c r="G37" s="58">
        <f>'2023年'!G37</f>
        <v>23.364180000000001</v>
      </c>
      <c r="H37" s="58">
        <f>'2023年'!H37</f>
        <v>28.62678</v>
      </c>
      <c r="I37" s="58">
        <f>'2023年'!I37</f>
        <v>7.35</v>
      </c>
      <c r="J37" s="58">
        <f>'2023年'!J37</f>
        <v>0</v>
      </c>
      <c r="K37" s="58">
        <f>'2023年'!K37</f>
        <v>0</v>
      </c>
      <c r="L37" s="63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52" t="s">
        <v>75</v>
      </c>
      <c r="AM37" s="52" t="s">
        <v>27</v>
      </c>
      <c r="AN37" s="52" t="s">
        <v>75</v>
      </c>
    </row>
    <row r="38" spans="1:40">
      <c r="A38" s="192">
        <v>3</v>
      </c>
      <c r="B38" s="52" t="s">
        <v>76</v>
      </c>
      <c r="C38" s="58">
        <f>'2023年'!C38</f>
        <v>11.700000000000001</v>
      </c>
      <c r="D38" s="58">
        <f>'2023年'!D38</f>
        <v>13.72</v>
      </c>
      <c r="E38" s="58">
        <f>'2023年'!E38</f>
        <v>17.3</v>
      </c>
      <c r="F38" s="58">
        <f>'2023年'!F38</f>
        <v>14.374000000000001</v>
      </c>
      <c r="G38" s="58">
        <f>'2023年'!G38</f>
        <v>0</v>
      </c>
      <c r="H38" s="58">
        <f>'2023年'!H38</f>
        <v>19.474</v>
      </c>
      <c r="I38" s="58">
        <f>'2023年'!I38</f>
        <v>5</v>
      </c>
      <c r="J38" s="58">
        <f>'2023年'!J38</f>
        <v>0</v>
      </c>
      <c r="K38" s="58">
        <f>'2023年'!K38</f>
        <v>0</v>
      </c>
      <c r="L38" s="63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52" t="s">
        <v>76</v>
      </c>
      <c r="AM38" s="52" t="s">
        <v>33</v>
      </c>
      <c r="AN38" s="52" t="s">
        <v>76</v>
      </c>
    </row>
    <row r="39" spans="1:40">
      <c r="A39" s="52" t="s">
        <v>73</v>
      </c>
      <c r="B39" s="55" t="s">
        <v>78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W39" s="55" t="s">
        <v>78</v>
      </c>
      <c r="AM39" s="52" t="s">
        <v>77</v>
      </c>
      <c r="AN39" s="55" t="s">
        <v>78</v>
      </c>
    </row>
    <row r="40" spans="1:40">
      <c r="A40" s="192">
        <v>1</v>
      </c>
      <c r="B40" s="52" t="s">
        <v>80</v>
      </c>
      <c r="C40" s="59">
        <f>C34-C36-C37-C38</f>
        <v>108.75617799688825</v>
      </c>
      <c r="D40" s="59">
        <f t="shared" ref="D40:K40" si="22">D34-D36-D37-D38</f>
        <v>45.282465390046006</v>
      </c>
      <c r="E40" s="59">
        <f t="shared" si="22"/>
        <v>158.40178112738946</v>
      </c>
      <c r="F40" s="59">
        <f t="shared" si="22"/>
        <v>115.18113080888858</v>
      </c>
      <c r="G40" s="59">
        <f t="shared" si="22"/>
        <v>64.263008049110269</v>
      </c>
      <c r="H40" s="59">
        <f t="shared" si="22"/>
        <v>161.48832378645378</v>
      </c>
      <c r="I40" s="59">
        <f t="shared" si="22"/>
        <v>-14.404246588698017</v>
      </c>
      <c r="J40" s="59" t="e">
        <f t="shared" si="22"/>
        <v>#DIV/0!</v>
      </c>
      <c r="K40" s="59" t="e">
        <f t="shared" si="22"/>
        <v>#DIV/0!</v>
      </c>
      <c r="L40" s="59"/>
      <c r="W40" s="52" t="s">
        <v>80</v>
      </c>
      <c r="AM40" s="52" t="s">
        <v>22</v>
      </c>
      <c r="AN40" s="52" t="s">
        <v>80</v>
      </c>
    </row>
    <row r="41" spans="1:40">
      <c r="A41" s="192">
        <v>2</v>
      </c>
      <c r="B41" s="52" t="s">
        <v>81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W41" s="52" t="s">
        <v>81</v>
      </c>
      <c r="AM41" s="52" t="s">
        <v>24</v>
      </c>
      <c r="AN41" s="52" t="s">
        <v>81</v>
      </c>
    </row>
    <row r="42" spans="1:40">
      <c r="A42" s="52" t="s">
        <v>77</v>
      </c>
      <c r="B42" s="55" t="s">
        <v>83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W42" s="55" t="s">
        <v>83</v>
      </c>
      <c r="AM42" s="52" t="s">
        <v>82</v>
      </c>
      <c r="AN42" s="55" t="s">
        <v>83</v>
      </c>
    </row>
    <row r="43" spans="1:40">
      <c r="A43" s="192">
        <v>1</v>
      </c>
      <c r="B43" s="60" t="s">
        <v>84</v>
      </c>
      <c r="C43" s="58">
        <f>'2023年'!C43</f>
        <v>0</v>
      </c>
      <c r="D43" s="58">
        <f>'2023年'!D43</f>
        <v>0</v>
      </c>
      <c r="E43" s="58">
        <f>'2023年'!E43</f>
        <v>0</v>
      </c>
      <c r="F43" s="58">
        <f>'2023年'!F43</f>
        <v>0</v>
      </c>
      <c r="G43" s="58">
        <f>'2023年'!G43</f>
        <v>0</v>
      </c>
      <c r="H43" s="58">
        <f>'2023年'!H43</f>
        <v>0</v>
      </c>
      <c r="I43" s="58">
        <f>'2023年'!I43</f>
        <v>0</v>
      </c>
      <c r="J43" s="58">
        <f>'2023年'!J43</f>
        <v>0</v>
      </c>
      <c r="K43" s="58">
        <f>'2023年'!K43</f>
        <v>0</v>
      </c>
      <c r="L43" s="59"/>
      <c r="W43" s="52" t="s">
        <v>84</v>
      </c>
      <c r="AM43" s="52" t="s">
        <v>22</v>
      </c>
      <c r="AN43" s="52" t="s">
        <v>84</v>
      </c>
    </row>
    <row r="44" spans="1:40">
      <c r="A44" s="192">
        <v>2</v>
      </c>
      <c r="B44" s="60" t="s">
        <v>85</v>
      </c>
      <c r="C44" s="58">
        <f>'2023年'!C44</f>
        <v>0</v>
      </c>
      <c r="D44" s="58">
        <f>'2023年'!D44</f>
        <v>0</v>
      </c>
      <c r="E44" s="58">
        <f>'2023年'!E44</f>
        <v>0</v>
      </c>
      <c r="F44" s="58">
        <f>'2023年'!F44</f>
        <v>0</v>
      </c>
      <c r="G44" s="58">
        <f>'2023年'!G44</f>
        <v>0</v>
      </c>
      <c r="H44" s="58">
        <f>'2023年'!H44</f>
        <v>0</v>
      </c>
      <c r="I44" s="58">
        <f>'2023年'!I44</f>
        <v>0</v>
      </c>
      <c r="J44" s="58">
        <f>'2023年'!J44</f>
        <v>0</v>
      </c>
      <c r="K44" s="58">
        <f>'2023年'!K44</f>
        <v>0</v>
      </c>
      <c r="L44" s="59"/>
      <c r="W44" s="52" t="s">
        <v>85</v>
      </c>
      <c r="AM44" s="52" t="s">
        <v>24</v>
      </c>
      <c r="AN44" s="52" t="s">
        <v>85</v>
      </c>
    </row>
    <row r="45" spans="1:40">
      <c r="A45" s="192">
        <v>3</v>
      </c>
      <c r="B45" s="60" t="s">
        <v>86</v>
      </c>
      <c r="C45" s="58">
        <f>'2023年'!C45</f>
        <v>0</v>
      </c>
      <c r="D45" s="58">
        <f>'2023年'!D45</f>
        <v>0</v>
      </c>
      <c r="E45" s="58">
        <f>'2023年'!E45</f>
        <v>0</v>
      </c>
      <c r="F45" s="58">
        <f>'2023年'!F45</f>
        <v>0</v>
      </c>
      <c r="G45" s="58">
        <f>'2023年'!G45</f>
        <v>0</v>
      </c>
      <c r="H45" s="58">
        <f>'2023年'!H45</f>
        <v>0</v>
      </c>
      <c r="I45" s="58">
        <f>'2023年'!I45</f>
        <v>0</v>
      </c>
      <c r="J45" s="58">
        <f>'2023年'!J45</f>
        <v>0</v>
      </c>
      <c r="K45" s="58">
        <f>'2023年'!K45</f>
        <v>0</v>
      </c>
      <c r="L45" s="59"/>
      <c r="W45" s="52" t="s">
        <v>86</v>
      </c>
      <c r="AM45" s="52" t="s">
        <v>70</v>
      </c>
      <c r="AN45" s="52" t="s">
        <v>86</v>
      </c>
    </row>
    <row r="46" spans="1:40" s="47" customFormat="1">
      <c r="A46" s="192">
        <v>4</v>
      </c>
      <c r="B46" s="60" t="s">
        <v>87</v>
      </c>
      <c r="C46" s="65">
        <f>C21/C6</f>
        <v>6.6416666666666666</v>
      </c>
      <c r="D46" s="65">
        <f t="shared" ref="D46:K46" si="23">D21/D6</f>
        <v>6.6416666666666666</v>
      </c>
      <c r="E46" s="65">
        <f t="shared" si="23"/>
        <v>6.6416666666666666</v>
      </c>
      <c r="F46" s="65">
        <f t="shared" si="23"/>
        <v>6.6416666666666666</v>
      </c>
      <c r="G46" s="65">
        <f t="shared" si="23"/>
        <v>6.6416666666666666</v>
      </c>
      <c r="H46" s="65">
        <f t="shared" si="23"/>
        <v>6.6416666666666666</v>
      </c>
      <c r="I46" s="65">
        <f t="shared" si="23"/>
        <v>6.6416666666666666</v>
      </c>
      <c r="J46" s="65" t="e">
        <f t="shared" si="23"/>
        <v>#DIV/0!</v>
      </c>
      <c r="K46" s="65" t="e">
        <f t="shared" si="23"/>
        <v>#DIV/0!</v>
      </c>
      <c r="L46" s="65"/>
      <c r="W46" s="60" t="s">
        <v>89</v>
      </c>
      <c r="AM46" s="60" t="s">
        <v>30</v>
      </c>
      <c r="AN46" s="60" t="s">
        <v>89</v>
      </c>
    </row>
    <row r="47" spans="1:40" s="47" customFormat="1">
      <c r="A47" s="192">
        <v>5</v>
      </c>
      <c r="B47" s="60" t="s">
        <v>89</v>
      </c>
      <c r="C47" s="65">
        <f>'2023年'!C47</f>
        <v>46.800000000000004</v>
      </c>
      <c r="D47" s="65">
        <f>'2023年'!D47</f>
        <v>54.88</v>
      </c>
      <c r="E47" s="65">
        <f>'2023年'!E47</f>
        <v>69.2</v>
      </c>
      <c r="F47" s="65">
        <f>'2023年'!F47</f>
        <v>57.496000000000002</v>
      </c>
      <c r="G47" s="65">
        <f>'2023年'!G47</f>
        <v>63.576000000000008</v>
      </c>
      <c r="H47" s="65">
        <f>'2023年'!H47</f>
        <v>77.896000000000001</v>
      </c>
      <c r="I47" s="65">
        <f>'2023年'!I47</f>
        <v>20</v>
      </c>
      <c r="J47" s="65">
        <f>'2023年'!J47</f>
        <v>0</v>
      </c>
      <c r="K47" s="65">
        <f>'2023年'!K47</f>
        <v>0</v>
      </c>
      <c r="L47" s="65"/>
      <c r="W47" s="60" t="s">
        <v>89</v>
      </c>
      <c r="AM47" s="60" t="s">
        <v>30</v>
      </c>
      <c r="AN47" s="60" t="s">
        <v>89</v>
      </c>
    </row>
    <row r="48" spans="1:40">
      <c r="A48" s="52" t="s">
        <v>82</v>
      </c>
      <c r="B48" s="55" t="s">
        <v>100</v>
      </c>
      <c r="C48" s="59">
        <f>C40-C43-C44-C45-C47-C46</f>
        <v>55.314511330221585</v>
      </c>
      <c r="D48" s="59">
        <f t="shared" ref="D48:K48" si="24">D40-D43-D44-D45-D47-D46</f>
        <v>-16.239201276620662</v>
      </c>
      <c r="E48" s="59">
        <f t="shared" si="24"/>
        <v>82.560114460722787</v>
      </c>
      <c r="F48" s="59">
        <f t="shared" si="24"/>
        <v>51.043464142221914</v>
      </c>
      <c r="G48" s="59">
        <f t="shared" si="24"/>
        <v>-5.9546586175564054</v>
      </c>
      <c r="H48" s="59">
        <f t="shared" si="24"/>
        <v>76.95065711978711</v>
      </c>
      <c r="I48" s="59">
        <f t="shared" si="24"/>
        <v>-41.045913255364681</v>
      </c>
      <c r="J48" s="59" t="e">
        <f t="shared" si="24"/>
        <v>#DIV/0!</v>
      </c>
      <c r="K48" s="59" t="e">
        <f t="shared" si="24"/>
        <v>#DIV/0!</v>
      </c>
      <c r="L48" s="59"/>
      <c r="W48" s="55" t="s">
        <v>100</v>
      </c>
      <c r="AM48" s="52" t="s">
        <v>99</v>
      </c>
      <c r="AN48" s="55" t="s">
        <v>100</v>
      </c>
    </row>
    <row r="51" spans="2:17">
      <c r="C51" s="66"/>
      <c r="D51" s="66"/>
      <c r="E51" s="66"/>
      <c r="F51" s="66"/>
      <c r="G51" s="66"/>
      <c r="H51" s="66"/>
      <c r="I51" s="66"/>
      <c r="J51" s="66"/>
      <c r="K51" s="66"/>
    </row>
    <row r="54" spans="2:17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7"/>
      <c r="N54" s="67"/>
      <c r="O54" s="67"/>
      <c r="P54" s="67"/>
      <c r="Q54" s="67"/>
    </row>
    <row r="55" spans="2:17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7"/>
      <c r="N55" s="67"/>
      <c r="O55" s="67"/>
      <c r="P55" s="67"/>
      <c r="Q55" s="67"/>
    </row>
    <row r="56" spans="2:17"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7"/>
      <c r="N56" s="67"/>
      <c r="O56" s="67"/>
      <c r="P56" s="67"/>
      <c r="Q56" s="67"/>
    </row>
    <row r="57" spans="2:17">
      <c r="B57" s="67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7"/>
      <c r="N57" s="67"/>
      <c r="O57" s="67"/>
      <c r="P57" s="67"/>
      <c r="Q57" s="67"/>
    </row>
    <row r="58" spans="2:17">
      <c r="B58" s="67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7"/>
      <c r="N58" s="67"/>
      <c r="O58" s="67"/>
      <c r="P58" s="67"/>
      <c r="Q58" s="67"/>
    </row>
    <row r="59" spans="2:17">
      <c r="B59" s="67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7"/>
      <c r="N59" s="67"/>
      <c r="O59" s="67"/>
      <c r="P59" s="67"/>
      <c r="Q59" s="67"/>
    </row>
    <row r="60" spans="2:17"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7"/>
      <c r="N60" s="67"/>
      <c r="O60" s="67"/>
      <c r="P60" s="67"/>
      <c r="Q60" s="67"/>
    </row>
    <row r="61" spans="2:17">
      <c r="B61" s="67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7"/>
      <c r="N61" s="67"/>
      <c r="O61" s="67"/>
      <c r="P61" s="67"/>
      <c r="Q61" s="67"/>
    </row>
    <row r="62" spans="2:17"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7"/>
      <c r="N62" s="67"/>
      <c r="O62" s="67"/>
      <c r="P62" s="67"/>
      <c r="Q62" s="67"/>
    </row>
    <row r="63" spans="2:17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7"/>
      <c r="N63" s="67"/>
      <c r="O63" s="67"/>
      <c r="P63" s="67"/>
      <c r="Q63" s="67"/>
    </row>
    <row r="64" spans="2:17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7"/>
      <c r="N64" s="67"/>
      <c r="O64" s="67"/>
      <c r="P64" s="67"/>
      <c r="Q64" s="67"/>
    </row>
    <row r="65" spans="2:17"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7"/>
      <c r="N65" s="67"/>
      <c r="O65" s="67"/>
      <c r="P65" s="67"/>
      <c r="Q65" s="67"/>
    </row>
    <row r="66" spans="2:17">
      <c r="B66" s="67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7"/>
      <c r="N66" s="67"/>
      <c r="O66" s="67"/>
      <c r="P66" s="67"/>
      <c r="Q66" s="67"/>
    </row>
    <row r="67" spans="2:17">
      <c r="B67" s="67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7"/>
    </row>
    <row r="68" spans="2:17">
      <c r="B68" s="67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7"/>
    </row>
    <row r="69" spans="2:17">
      <c r="B69" s="67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7"/>
    </row>
    <row r="70" spans="2:17">
      <c r="B70" s="67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7"/>
    </row>
    <row r="71" spans="2:17">
      <c r="B71" s="67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7"/>
    </row>
    <row r="72" spans="2:17">
      <c r="B72" s="67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7"/>
    </row>
    <row r="73" spans="2:17"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7"/>
    </row>
    <row r="74" spans="2:17"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7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8</vt:i4>
      </vt:variant>
    </vt:vector>
  </HeadingPairs>
  <TitlesOfParts>
    <vt:vector size="22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2028年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'2028年'!Print_Area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2023-09-08T07:16:42Z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