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解放J6G车型中高配款3.1C自适应座椅\"/>
    </mc:Choice>
  </mc:AlternateContent>
  <bookViews>
    <workbookView xWindow="0" yWindow="300" windowWidth="18525" windowHeight="6390" tabRatio="810" activeTab="1"/>
  </bookViews>
  <sheets>
    <sheet name="假设条件" sheetId="34" r:id="rId1"/>
    <sheet name="损益表" sheetId="2" r:id="rId2"/>
    <sheet name="现金" sheetId="36" state="hidden" r:id="rId3"/>
    <sheet name="2023年" sheetId="43" r:id="rId4"/>
    <sheet name="2024年" sheetId="56" r:id="rId5"/>
    <sheet name="2025年" sheetId="57" r:id="rId6"/>
    <sheet name="2026年" sheetId="58" r:id="rId7"/>
    <sheet name="2027年" sheetId="59" r:id="rId8"/>
    <sheet name="2028年" sheetId="60" r:id="rId9"/>
    <sheet name="项目投资" sheetId="51" r:id="rId10"/>
    <sheet name="销量 附加值" sheetId="55" r:id="rId11"/>
    <sheet name="材料成本" sheetId="53" r:id="rId12"/>
    <sheet name="其他" sheetId="54" r:id="rId13"/>
    <sheet name="标准成本" sheetId="50" r:id="rId14"/>
  </sheets>
  <externalReferences>
    <externalReference r:id="rId15"/>
  </externalReferences>
  <definedNames>
    <definedName name="_xlnm.Print_Area" localSheetId="3">'2023年'!$A$1:$I$48</definedName>
    <definedName name="_xlnm.Print_Area" localSheetId="4">'2024年'!$A$1:$I$48</definedName>
    <definedName name="_xlnm.Print_Area" localSheetId="5">'2025年'!$A$1:$I$48</definedName>
    <definedName name="_xlnm.Print_Area" localSheetId="6">'2026年'!$A$1:$I$48</definedName>
    <definedName name="_xlnm.Print_Area" localSheetId="7">'2027年'!$A$1:$I$48</definedName>
    <definedName name="_xlnm.Print_Area" localSheetId="8">'2028年'!$A$1:$I$48</definedName>
    <definedName name="_xlnm.Print_Area" localSheetId="1">损益表!$A$1:$I$62</definedName>
    <definedName name="_xlnm.Print_Area" localSheetId="9">项目投资!$A$1:$C$35</definedName>
  </definedNames>
  <calcPr calcId="162913"/>
</workbook>
</file>

<file path=xl/calcChain.xml><?xml version="1.0" encoding="utf-8"?>
<calcChain xmlns="http://schemas.openxmlformats.org/spreadsheetml/2006/main">
  <c r="D8" i="56" l="1"/>
  <c r="E8" i="56"/>
  <c r="F8" i="56"/>
  <c r="G8" i="56"/>
  <c r="H8" i="56"/>
  <c r="D8" i="57"/>
  <c r="E8" i="57"/>
  <c r="F8" i="57"/>
  <c r="G8" i="57"/>
  <c r="H8" i="57"/>
  <c r="D8" i="60"/>
  <c r="E8" i="60"/>
  <c r="F8" i="60"/>
  <c r="G8" i="60"/>
  <c r="H8" i="60"/>
  <c r="D8" i="59"/>
  <c r="E8" i="59"/>
  <c r="F8" i="59"/>
  <c r="G8" i="59"/>
  <c r="H8" i="59"/>
  <c r="D8" i="58"/>
  <c r="E8" i="58"/>
  <c r="F8" i="58"/>
  <c r="G8" i="58"/>
  <c r="H8" i="58"/>
  <c r="G6" i="60"/>
  <c r="H6" i="60"/>
  <c r="F6" i="60"/>
  <c r="I18" i="55"/>
  <c r="H16" i="55"/>
  <c r="H17" i="55" s="1"/>
  <c r="I16" i="55"/>
  <c r="I8" i="55"/>
  <c r="E71" i="50"/>
  <c r="E72" i="50"/>
  <c r="E73" i="50"/>
  <c r="E74" i="50"/>
  <c r="E75" i="50"/>
  <c r="E76" i="50"/>
  <c r="E77" i="50"/>
  <c r="E78" i="50"/>
  <c r="E58" i="50"/>
  <c r="E59" i="50"/>
  <c r="E60" i="50"/>
  <c r="E61" i="50"/>
  <c r="E62" i="50"/>
  <c r="E63" i="50"/>
  <c r="E64" i="50"/>
  <c r="E65" i="50"/>
  <c r="E45" i="50"/>
  <c r="E46" i="50"/>
  <c r="E47" i="50"/>
  <c r="E48" i="50"/>
  <c r="E49" i="50"/>
  <c r="E50" i="50"/>
  <c r="E51" i="50"/>
  <c r="E52" i="50"/>
  <c r="E32" i="50"/>
  <c r="E33" i="50"/>
  <c r="E34" i="50"/>
  <c r="E35" i="50"/>
  <c r="E36" i="50"/>
  <c r="E37" i="50"/>
  <c r="E38" i="50"/>
  <c r="E39" i="50"/>
  <c r="E18" i="50"/>
  <c r="E19" i="50"/>
  <c r="E20" i="50"/>
  <c r="E21" i="50"/>
  <c r="E22" i="50"/>
  <c r="E23" i="50"/>
  <c r="E24" i="50"/>
  <c r="E25" i="50"/>
  <c r="H18" i="55" l="1"/>
  <c r="I17" i="55"/>
  <c r="F16" i="55"/>
  <c r="G16" i="55"/>
  <c r="H12" i="53" l="1"/>
  <c r="I12" i="53"/>
  <c r="I13" i="53" s="1"/>
  <c r="I14" i="53" s="1"/>
  <c r="I15" i="53" s="1"/>
  <c r="I16" i="53" s="1"/>
  <c r="I17" i="53" s="1"/>
  <c r="H13" i="53"/>
  <c r="J13" i="53"/>
  <c r="J14" i="53" s="1"/>
  <c r="J15" i="53" s="1"/>
  <c r="J16" i="53" s="1"/>
  <c r="J17" i="53" s="1"/>
  <c r="H14" i="53"/>
  <c r="H15" i="53" s="1"/>
  <c r="H16" i="53" s="1"/>
  <c r="H17" i="53" s="1"/>
  <c r="J3" i="51" l="1"/>
  <c r="J4" i="51"/>
  <c r="J6" i="51"/>
  <c r="J7" i="51"/>
  <c r="J8" i="51"/>
  <c r="J9" i="51"/>
  <c r="J10" i="51"/>
  <c r="J11" i="51"/>
  <c r="J12" i="51"/>
  <c r="J13" i="51"/>
  <c r="J14" i="51"/>
  <c r="J15" i="51"/>
  <c r="J16" i="51"/>
  <c r="J17" i="51"/>
  <c r="J18" i="51"/>
  <c r="J19" i="51"/>
  <c r="J20" i="51"/>
  <c r="J21" i="51"/>
  <c r="J5" i="51"/>
  <c r="G33" i="60" l="1"/>
  <c r="H33" i="60"/>
  <c r="G33" i="59"/>
  <c r="H33" i="59"/>
  <c r="G33" i="58"/>
  <c r="H33" i="58"/>
  <c r="G33" i="57"/>
  <c r="H33" i="57"/>
  <c r="G33" i="56"/>
  <c r="H33" i="56"/>
  <c r="G33" i="43"/>
  <c r="H33" i="43"/>
  <c r="D3" i="53"/>
  <c r="E6" i="60" l="1"/>
  <c r="D6" i="60"/>
  <c r="C6" i="60"/>
  <c r="H31" i="60"/>
  <c r="G31" i="60"/>
  <c r="F31" i="60"/>
  <c r="E31" i="60"/>
  <c r="D31" i="60"/>
  <c r="C31" i="60"/>
  <c r="H13" i="60"/>
  <c r="H11" i="60"/>
  <c r="H7" i="60"/>
  <c r="G10" i="60"/>
  <c r="H4" i="60"/>
  <c r="G4" i="60"/>
  <c r="F4" i="60"/>
  <c r="E4" i="60"/>
  <c r="D4" i="60"/>
  <c r="C4" i="60"/>
  <c r="H3" i="60"/>
  <c r="G3" i="60"/>
  <c r="F3" i="60"/>
  <c r="E3" i="60"/>
  <c r="D3" i="60"/>
  <c r="C3" i="60"/>
  <c r="C2" i="60"/>
  <c r="G7" i="60" l="1"/>
  <c r="D7" i="60"/>
  <c r="H12" i="60"/>
  <c r="H14" i="60" s="1"/>
  <c r="H10" i="60"/>
  <c r="H20" i="60"/>
  <c r="E7" i="60"/>
  <c r="H19" i="60"/>
  <c r="C7" i="60"/>
  <c r="F7" i="60"/>
  <c r="I6" i="60"/>
  <c r="H4" i="2" s="1"/>
  <c r="H22" i="60"/>
  <c r="I7" i="60" l="1"/>
  <c r="H5" i="2" s="1"/>
  <c r="C43" i="50" l="1"/>
  <c r="C56" i="50"/>
  <c r="C69" i="50"/>
  <c r="C30" i="50"/>
  <c r="C16" i="50"/>
  <c r="C15" i="55" l="1"/>
  <c r="F17" i="55" l="1"/>
  <c r="F18" i="55" s="1"/>
  <c r="G17" i="55"/>
  <c r="G18" i="55" s="1"/>
  <c r="H3" i="50"/>
  <c r="D5" i="50" s="1"/>
  <c r="C43" i="43" s="1"/>
  <c r="C43" i="60" s="1"/>
  <c r="H17" i="50"/>
  <c r="H31" i="50"/>
  <c r="H44" i="50"/>
  <c r="H57" i="50"/>
  <c r="C6" i="58"/>
  <c r="D6" i="58"/>
  <c r="E6" i="58"/>
  <c r="F6" i="58"/>
  <c r="G6" i="58"/>
  <c r="G10" i="58" s="1"/>
  <c r="H6" i="58"/>
  <c r="C6" i="57"/>
  <c r="D6" i="57"/>
  <c r="E6" i="57"/>
  <c r="F6" i="57"/>
  <c r="G6" i="57"/>
  <c r="G10" i="57" s="1"/>
  <c r="H70" i="50"/>
  <c r="D12" i="53"/>
  <c r="C33" i="43" s="1"/>
  <c r="F12" i="53"/>
  <c r="G12" i="53"/>
  <c r="J12" i="53"/>
  <c r="E7" i="50"/>
  <c r="D6" i="59"/>
  <c r="E6" i="59"/>
  <c r="F6" i="59"/>
  <c r="G6" i="59"/>
  <c r="G10" i="59" s="1"/>
  <c r="H6" i="59"/>
  <c r="C6" i="59"/>
  <c r="I8" i="43"/>
  <c r="G75" i="50"/>
  <c r="G74" i="50"/>
  <c r="G62" i="50"/>
  <c r="G61" i="50"/>
  <c r="G49" i="50"/>
  <c r="G48" i="50"/>
  <c r="G36" i="50"/>
  <c r="G35" i="50"/>
  <c r="G22" i="50"/>
  <c r="G21" i="50"/>
  <c r="D3" i="59"/>
  <c r="E3" i="59"/>
  <c r="F3" i="59"/>
  <c r="G3" i="59"/>
  <c r="H3" i="59"/>
  <c r="D4" i="59"/>
  <c r="E4" i="59"/>
  <c r="F4" i="59"/>
  <c r="G4" i="59"/>
  <c r="H4" i="59"/>
  <c r="D31" i="59"/>
  <c r="E31" i="59"/>
  <c r="F31" i="59"/>
  <c r="G31" i="59"/>
  <c r="H31" i="59"/>
  <c r="D3" i="58"/>
  <c r="E3" i="58"/>
  <c r="F3" i="58"/>
  <c r="G3" i="58"/>
  <c r="H3" i="58"/>
  <c r="D4" i="58"/>
  <c r="E4" i="58"/>
  <c r="F4" i="58"/>
  <c r="G4" i="58"/>
  <c r="H4" i="58"/>
  <c r="D31" i="58"/>
  <c r="E31" i="58"/>
  <c r="F31" i="58"/>
  <c r="G31" i="58"/>
  <c r="H31" i="58"/>
  <c r="D3" i="57"/>
  <c r="E3" i="57"/>
  <c r="F3" i="57"/>
  <c r="G3" i="57"/>
  <c r="H3" i="57"/>
  <c r="D4" i="57"/>
  <c r="E4" i="57"/>
  <c r="F4" i="57"/>
  <c r="G4" i="57"/>
  <c r="H4" i="57"/>
  <c r="H6" i="57"/>
  <c r="D31" i="57"/>
  <c r="E31" i="57"/>
  <c r="F31" i="57"/>
  <c r="G31" i="57"/>
  <c r="H31" i="57"/>
  <c r="D31" i="56"/>
  <c r="E31" i="56"/>
  <c r="F31" i="56"/>
  <c r="G31" i="56"/>
  <c r="H31" i="56"/>
  <c r="D3" i="56"/>
  <c r="E3" i="56"/>
  <c r="F3" i="56"/>
  <c r="G3" i="56"/>
  <c r="H3" i="56"/>
  <c r="D4" i="56"/>
  <c r="E4" i="56"/>
  <c r="F4" i="56"/>
  <c r="G4" i="56"/>
  <c r="H4" i="56"/>
  <c r="D6" i="56"/>
  <c r="E6" i="56"/>
  <c r="F6" i="56"/>
  <c r="G6" i="56"/>
  <c r="G10" i="56" s="1"/>
  <c r="H6" i="56"/>
  <c r="I4" i="53"/>
  <c r="I5" i="53"/>
  <c r="E4" i="53"/>
  <c r="F4" i="53"/>
  <c r="G4" i="53"/>
  <c r="H4" i="53"/>
  <c r="E5" i="53"/>
  <c r="F5" i="53"/>
  <c r="G5" i="53"/>
  <c r="H5" i="53"/>
  <c r="D5" i="53"/>
  <c r="D4" i="53"/>
  <c r="H12" i="59"/>
  <c r="G7" i="58"/>
  <c r="H12" i="56"/>
  <c r="H13" i="59"/>
  <c r="H7" i="58"/>
  <c r="G7" i="57"/>
  <c r="D31" i="43"/>
  <c r="D32" i="43" s="1"/>
  <c r="E31" i="43"/>
  <c r="E32" i="43" s="1"/>
  <c r="F31" i="43"/>
  <c r="F32" i="43" s="1"/>
  <c r="G31" i="43"/>
  <c r="G32" i="43" s="1"/>
  <c r="H31" i="43"/>
  <c r="H32" i="43" s="1"/>
  <c r="H34" i="43" s="1"/>
  <c r="D6" i="43"/>
  <c r="E6" i="43"/>
  <c r="F6" i="43"/>
  <c r="G6" i="43"/>
  <c r="G10" i="43" s="1"/>
  <c r="H6" i="43"/>
  <c r="E3" i="43"/>
  <c r="F3" i="43"/>
  <c r="G3" i="43"/>
  <c r="H3" i="43"/>
  <c r="E4" i="43"/>
  <c r="F4" i="43"/>
  <c r="G4" i="43"/>
  <c r="H4" i="43"/>
  <c r="D4" i="43"/>
  <c r="D3" i="43"/>
  <c r="K7" i="55"/>
  <c r="K8" i="55" s="1"/>
  <c r="I10" i="55"/>
  <c r="I11" i="55"/>
  <c r="I12" i="55"/>
  <c r="I13" i="55"/>
  <c r="I14" i="55"/>
  <c r="D15" i="55"/>
  <c r="E15" i="55"/>
  <c r="F15" i="55"/>
  <c r="G15" i="55"/>
  <c r="H15" i="55"/>
  <c r="C2" i="59"/>
  <c r="C2" i="58"/>
  <c r="C2" i="57"/>
  <c r="C2" i="56"/>
  <c r="G7" i="50"/>
  <c r="C4" i="59"/>
  <c r="C3" i="59"/>
  <c r="C4" i="58"/>
  <c r="C3" i="58"/>
  <c r="C4" i="57"/>
  <c r="C3" i="57"/>
  <c r="C3" i="56"/>
  <c r="C4" i="56"/>
  <c r="C3" i="43"/>
  <c r="C4" i="43"/>
  <c r="B9" i="51"/>
  <c r="B27" i="51" s="1"/>
  <c r="D27" i="51" s="1"/>
  <c r="E27" i="51" s="1"/>
  <c r="F27" i="51" s="1"/>
  <c r="G27" i="51" s="1"/>
  <c r="C31" i="59"/>
  <c r="C31" i="58"/>
  <c r="C31" i="57"/>
  <c r="C6" i="56"/>
  <c r="C31" i="56"/>
  <c r="H20" i="58"/>
  <c r="B5" i="51"/>
  <c r="B7" i="51" s="1"/>
  <c r="G8" i="50"/>
  <c r="E12" i="53"/>
  <c r="E13" i="53" s="1"/>
  <c r="I9" i="55"/>
  <c r="G22" i="51"/>
  <c r="B8" i="51"/>
  <c r="C31" i="43"/>
  <c r="C32" i="43" s="1"/>
  <c r="C6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E10" i="36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K5" i="36" s="1"/>
  <c r="J6" i="36"/>
  <c r="J5" i="36" s="1"/>
  <c r="I6" i="36"/>
  <c r="I5" i="36" s="1"/>
  <c r="E6" i="36"/>
  <c r="E5" i="36" s="1"/>
  <c r="D5" i="36"/>
  <c r="C5" i="36"/>
  <c r="D4" i="36"/>
  <c r="E4" i="36"/>
  <c r="F4" i="36"/>
  <c r="G4" i="36"/>
  <c r="H4" i="36"/>
  <c r="I4" i="36"/>
  <c r="J4" i="36"/>
  <c r="K4" i="36"/>
  <c r="L4" i="36"/>
  <c r="C6" i="2"/>
  <c r="K10" i="36"/>
  <c r="G10" i="36"/>
  <c r="J10" i="36"/>
  <c r="C10" i="36"/>
  <c r="M15" i="36"/>
  <c r="C17" i="36"/>
  <c r="M7" i="36"/>
  <c r="M12" i="36"/>
  <c r="H10" i="36"/>
  <c r="D10" i="36"/>
  <c r="D17" i="36" s="1"/>
  <c r="M11" i="36"/>
  <c r="F10" i="36"/>
  <c r="I10" i="36"/>
  <c r="L10" i="36"/>
  <c r="M13" i="36"/>
  <c r="M14" i="36"/>
  <c r="C18" i="36"/>
  <c r="C19" i="36"/>
  <c r="M10" i="36"/>
  <c r="C20" i="36"/>
  <c r="D18" i="36" l="1"/>
  <c r="D19" i="36"/>
  <c r="D20" i="36" s="1"/>
  <c r="I17" i="36"/>
  <c r="I19" i="36" s="1"/>
  <c r="J17" i="36"/>
  <c r="J19" i="36" s="1"/>
  <c r="K17" i="36"/>
  <c r="K19" i="36" s="1"/>
  <c r="E16" i="55"/>
  <c r="E17" i="55" s="1"/>
  <c r="E18" i="55" s="1"/>
  <c r="F13" i="53"/>
  <c r="E33" i="43"/>
  <c r="E10" i="43" s="1"/>
  <c r="G13" i="53"/>
  <c r="F33" i="43"/>
  <c r="F34" i="43" s="1"/>
  <c r="E14" i="53"/>
  <c r="D33" i="56"/>
  <c r="D10" i="56" s="1"/>
  <c r="D16" i="55"/>
  <c r="D17" i="55" s="1"/>
  <c r="D18" i="55" s="1"/>
  <c r="D33" i="43"/>
  <c r="H27" i="51"/>
  <c r="I21" i="58"/>
  <c r="F19" i="2" s="1"/>
  <c r="H7" i="43"/>
  <c r="H9" i="43" s="1"/>
  <c r="H10" i="43"/>
  <c r="E7" i="43"/>
  <c r="E9" i="43" s="1"/>
  <c r="C7" i="59"/>
  <c r="F7" i="59"/>
  <c r="D72" i="50"/>
  <c r="D75" i="50"/>
  <c r="D78" i="50"/>
  <c r="D73" i="50"/>
  <c r="H37" i="43" s="1"/>
  <c r="H12" i="43" s="1"/>
  <c r="D76" i="50"/>
  <c r="D71" i="50"/>
  <c r="H36" i="43" s="1"/>
  <c r="H11" i="43" s="1"/>
  <c r="D74" i="50"/>
  <c r="D77" i="50"/>
  <c r="C7" i="57"/>
  <c r="C7" i="58"/>
  <c r="C7" i="43"/>
  <c r="C9" i="43" s="1"/>
  <c r="C10" i="43"/>
  <c r="H19" i="43"/>
  <c r="D7" i="43"/>
  <c r="D9" i="43" s="1"/>
  <c r="D10" i="43"/>
  <c r="H7" i="56"/>
  <c r="H10" i="56"/>
  <c r="E7" i="56"/>
  <c r="H22" i="59"/>
  <c r="H10" i="59"/>
  <c r="E7" i="59"/>
  <c r="E7" i="57"/>
  <c r="H11" i="58"/>
  <c r="H10" i="58"/>
  <c r="E7" i="58"/>
  <c r="D60" i="50"/>
  <c r="G37" i="43" s="1"/>
  <c r="D63" i="50"/>
  <c r="G44" i="43" s="1"/>
  <c r="G44" i="56" s="1"/>
  <c r="G19" i="56" s="1"/>
  <c r="D58" i="50"/>
  <c r="D61" i="50"/>
  <c r="D64" i="50"/>
  <c r="D59" i="50"/>
  <c r="G43" i="43" s="1"/>
  <c r="D62" i="50"/>
  <c r="G45" i="43" s="1"/>
  <c r="D65" i="50"/>
  <c r="C7" i="56"/>
  <c r="C8" i="56" s="1"/>
  <c r="C9" i="56" s="1"/>
  <c r="C32" i="56" s="1"/>
  <c r="G7" i="43"/>
  <c r="G9" i="43" s="1"/>
  <c r="F7" i="56"/>
  <c r="F9" i="56" s="1"/>
  <c r="D7" i="56"/>
  <c r="H7" i="57"/>
  <c r="H10" i="57"/>
  <c r="D7" i="59"/>
  <c r="D7" i="57"/>
  <c r="D7" i="58"/>
  <c r="D48" i="50"/>
  <c r="D51" i="50"/>
  <c r="F38" i="43" s="1"/>
  <c r="F38" i="60" s="1"/>
  <c r="F13" i="60" s="1"/>
  <c r="D46" i="50"/>
  <c r="D49" i="50"/>
  <c r="F45" i="43" s="1"/>
  <c r="F45" i="60" s="1"/>
  <c r="F20" i="60" s="1"/>
  <c r="D52" i="50"/>
  <c r="F47" i="43" s="1"/>
  <c r="D47" i="50"/>
  <c r="D50" i="50"/>
  <c r="F44" i="43" s="1"/>
  <c r="D45" i="50"/>
  <c r="F36" i="43" s="1"/>
  <c r="M5" i="36"/>
  <c r="E17" i="36"/>
  <c r="M6" i="36"/>
  <c r="E23" i="36"/>
  <c r="C16" i="55"/>
  <c r="C17" i="55" s="1"/>
  <c r="C18" i="55" s="1"/>
  <c r="D13" i="53"/>
  <c r="D20" i="50"/>
  <c r="D37" i="43" s="1"/>
  <c r="D23" i="50"/>
  <c r="D44" i="43" s="1"/>
  <c r="D44" i="59" s="1"/>
  <c r="D19" i="59" s="1"/>
  <c r="D18" i="50"/>
  <c r="D36" i="43" s="1"/>
  <c r="D21" i="50"/>
  <c r="D24" i="50"/>
  <c r="D38" i="43" s="1"/>
  <c r="D38" i="59" s="1"/>
  <c r="D13" i="59" s="1"/>
  <c r="D19" i="50"/>
  <c r="D43" i="43" s="1"/>
  <c r="D43" i="57" s="1"/>
  <c r="D22" i="50"/>
  <c r="D45" i="43" s="1"/>
  <c r="D25" i="50"/>
  <c r="D47" i="43" s="1"/>
  <c r="D47" i="56" s="1"/>
  <c r="D22" i="56" s="1"/>
  <c r="D35" i="50"/>
  <c r="D33" i="50"/>
  <c r="E43" i="43" s="1"/>
  <c r="E43" i="60" s="1"/>
  <c r="D36" i="50"/>
  <c r="E45" i="43" s="1"/>
  <c r="E45" i="60" s="1"/>
  <c r="E20" i="60" s="1"/>
  <c r="D39" i="50"/>
  <c r="E47" i="43" s="1"/>
  <c r="D34" i="50"/>
  <c r="D37" i="50"/>
  <c r="E44" i="43" s="1"/>
  <c r="E44" i="59" s="1"/>
  <c r="E19" i="59" s="1"/>
  <c r="D32" i="50"/>
  <c r="E36" i="43" s="1"/>
  <c r="E36" i="60" s="1"/>
  <c r="D38" i="50"/>
  <c r="E38" i="43" s="1"/>
  <c r="E38" i="60" s="1"/>
  <c r="E13" i="60" s="1"/>
  <c r="I21" i="43"/>
  <c r="C19" i="2" s="1"/>
  <c r="B10" i="51"/>
  <c r="C57" i="2"/>
  <c r="E34" i="43"/>
  <c r="M17" i="36"/>
  <c r="E22" i="36"/>
  <c r="H12" i="57"/>
  <c r="H13" i="57"/>
  <c r="H11" i="57"/>
  <c r="H22" i="57"/>
  <c r="H19" i="57"/>
  <c r="H20" i="59"/>
  <c r="H20" i="57"/>
  <c r="H12" i="58"/>
  <c r="H19" i="56"/>
  <c r="H11" i="56"/>
  <c r="H19" i="59"/>
  <c r="H22" i="56"/>
  <c r="H22" i="58"/>
  <c r="H13" i="56"/>
  <c r="H7" i="59"/>
  <c r="H19" i="58"/>
  <c r="D8" i="50"/>
  <c r="C45" i="43" s="1"/>
  <c r="C45" i="60" s="1"/>
  <c r="C20" i="60" s="1"/>
  <c r="G47" i="43"/>
  <c r="G47" i="60" s="1"/>
  <c r="G22" i="60" s="1"/>
  <c r="H47" i="43"/>
  <c r="H22" i="43" s="1"/>
  <c r="H45" i="43"/>
  <c r="H20" i="43" s="1"/>
  <c r="G38" i="43"/>
  <c r="G36" i="43"/>
  <c r="G11" i="43" s="1"/>
  <c r="F43" i="43"/>
  <c r="F43" i="60" s="1"/>
  <c r="H20" i="56"/>
  <c r="H13" i="58"/>
  <c r="H11" i="59"/>
  <c r="H14" i="59" s="1"/>
  <c r="H38" i="43"/>
  <c r="H13" i="43" s="1"/>
  <c r="G34" i="43"/>
  <c r="D34" i="43"/>
  <c r="B26" i="51"/>
  <c r="D26" i="51" s="1"/>
  <c r="E26" i="51" s="1"/>
  <c r="F26" i="51" s="1"/>
  <c r="G26" i="51" s="1"/>
  <c r="I6" i="57"/>
  <c r="I15" i="55"/>
  <c r="L8" i="55"/>
  <c r="K9" i="55"/>
  <c r="L7" i="55"/>
  <c r="D7" i="50"/>
  <c r="D4" i="50"/>
  <c r="C36" i="43" s="1"/>
  <c r="D10" i="50"/>
  <c r="C38" i="43" s="1"/>
  <c r="D9" i="50"/>
  <c r="C44" i="43" s="1"/>
  <c r="D11" i="50"/>
  <c r="C47" i="43" s="1"/>
  <c r="D6" i="50"/>
  <c r="C37" i="43" s="1"/>
  <c r="C43" i="59"/>
  <c r="C43" i="56"/>
  <c r="C43" i="58"/>
  <c r="C43" i="57"/>
  <c r="E37" i="43"/>
  <c r="E37" i="60" s="1"/>
  <c r="E12" i="60" s="1"/>
  <c r="G7" i="59"/>
  <c r="F37" i="43"/>
  <c r="F37" i="60" s="1"/>
  <c r="F12" i="60" s="1"/>
  <c r="G38" i="56"/>
  <c r="G13" i="56" s="1"/>
  <c r="F7" i="58"/>
  <c r="I6" i="58"/>
  <c r="I6" i="43"/>
  <c r="G7" i="56"/>
  <c r="F7" i="57"/>
  <c r="I6" i="56"/>
  <c r="F7" i="43"/>
  <c r="I6" i="59"/>
  <c r="G4" i="2" s="1"/>
  <c r="G47" i="56" l="1"/>
  <c r="G22" i="56" s="1"/>
  <c r="G45" i="58"/>
  <c r="G20" i="58" s="1"/>
  <c r="G20" i="43"/>
  <c r="G22" i="43"/>
  <c r="G47" i="59"/>
  <c r="G22" i="59" s="1"/>
  <c r="G14" i="53"/>
  <c r="F33" i="56"/>
  <c r="F10" i="56" s="1"/>
  <c r="F14" i="53"/>
  <c r="E33" i="56"/>
  <c r="E10" i="56" s="1"/>
  <c r="F10" i="43"/>
  <c r="F44" i="60"/>
  <c r="F19" i="60" s="1"/>
  <c r="F19" i="43"/>
  <c r="E15" i="53"/>
  <c r="D33" i="57"/>
  <c r="D10" i="57" s="1"/>
  <c r="H26" i="51"/>
  <c r="I18" i="58"/>
  <c r="G28" i="51"/>
  <c r="I27" i="51"/>
  <c r="I21" i="60" s="1"/>
  <c r="I21" i="59"/>
  <c r="G19" i="2" s="1"/>
  <c r="I7" i="59"/>
  <c r="G5" i="2" s="1"/>
  <c r="C45" i="58"/>
  <c r="C20" i="58" s="1"/>
  <c r="C33" i="56"/>
  <c r="C10" i="56" s="1"/>
  <c r="D14" i="53"/>
  <c r="E22" i="43"/>
  <c r="E47" i="57"/>
  <c r="E22" i="57" s="1"/>
  <c r="D36" i="60"/>
  <c r="D11" i="60" s="1"/>
  <c r="D36" i="58"/>
  <c r="D36" i="56"/>
  <c r="I7" i="56"/>
  <c r="D5" i="2" s="1"/>
  <c r="G6" i="36" s="1"/>
  <c r="G5" i="36" s="1"/>
  <c r="G17" i="36" s="1"/>
  <c r="G19" i="36" s="1"/>
  <c r="D43" i="59"/>
  <c r="C45" i="56"/>
  <c r="C20" i="56" s="1"/>
  <c r="C45" i="59"/>
  <c r="C20" i="59" s="1"/>
  <c r="H14" i="58"/>
  <c r="H14" i="56"/>
  <c r="G47" i="58"/>
  <c r="G22" i="58" s="1"/>
  <c r="G47" i="57"/>
  <c r="G22" i="57" s="1"/>
  <c r="D47" i="59"/>
  <c r="D22" i="59" s="1"/>
  <c r="E43" i="59"/>
  <c r="C45" i="57"/>
  <c r="C20" i="57" s="1"/>
  <c r="C20" i="43"/>
  <c r="E19" i="36"/>
  <c r="E18" i="36"/>
  <c r="D45" i="60"/>
  <c r="D20" i="60" s="1"/>
  <c r="D45" i="58"/>
  <c r="D20" i="58" s="1"/>
  <c r="D20" i="43"/>
  <c r="D45" i="57"/>
  <c r="D20" i="57" s="1"/>
  <c r="D45" i="59"/>
  <c r="D20" i="59" s="1"/>
  <c r="D45" i="56"/>
  <c r="D20" i="56" s="1"/>
  <c r="D37" i="60"/>
  <c r="D12" i="60" s="1"/>
  <c r="D37" i="56"/>
  <c r="D12" i="56" s="1"/>
  <c r="D37" i="57"/>
  <c r="D12" i="57" s="1"/>
  <c r="D37" i="59"/>
  <c r="D12" i="59" s="1"/>
  <c r="D12" i="43"/>
  <c r="D37" i="58"/>
  <c r="D12" i="58" s="1"/>
  <c r="E47" i="56"/>
  <c r="E22" i="56" s="1"/>
  <c r="D36" i="59"/>
  <c r="D11" i="59" s="1"/>
  <c r="D36" i="57"/>
  <c r="D11" i="57" s="1"/>
  <c r="E43" i="56"/>
  <c r="D11" i="43"/>
  <c r="C37" i="59"/>
  <c r="C12" i="59" s="1"/>
  <c r="C37" i="60"/>
  <c r="C12" i="60" s="1"/>
  <c r="C37" i="58"/>
  <c r="C12" i="58" s="1"/>
  <c r="C44" i="57"/>
  <c r="C19" i="57" s="1"/>
  <c r="C44" i="60"/>
  <c r="C19" i="60" s="1"/>
  <c r="C38" i="56"/>
  <c r="C13" i="56" s="1"/>
  <c r="C38" i="60"/>
  <c r="C13" i="60" s="1"/>
  <c r="C22" i="43"/>
  <c r="C47" i="60"/>
  <c r="C22" i="60" s="1"/>
  <c r="C36" i="56"/>
  <c r="C11" i="56" s="1"/>
  <c r="C36" i="60"/>
  <c r="C11" i="60" s="1"/>
  <c r="I18" i="56"/>
  <c r="I21" i="56"/>
  <c r="D19" i="2" s="1"/>
  <c r="I21" i="57"/>
  <c r="G21" i="57" s="1"/>
  <c r="G46" i="57" s="1"/>
  <c r="H40" i="43"/>
  <c r="G37" i="57"/>
  <c r="G12" i="57" s="1"/>
  <c r="G37" i="60"/>
  <c r="G12" i="60" s="1"/>
  <c r="G38" i="58"/>
  <c r="G13" i="58" s="1"/>
  <c r="G38" i="60"/>
  <c r="G13" i="60" s="1"/>
  <c r="G43" i="56"/>
  <c r="G43" i="60"/>
  <c r="G12" i="43"/>
  <c r="G38" i="57"/>
  <c r="G13" i="57" s="1"/>
  <c r="G44" i="59"/>
  <c r="G19" i="59" s="1"/>
  <c r="G44" i="60"/>
  <c r="G19" i="60" s="1"/>
  <c r="G45" i="59"/>
  <c r="G20" i="59" s="1"/>
  <c r="G45" i="60"/>
  <c r="G20" i="60" s="1"/>
  <c r="G44" i="57"/>
  <c r="G19" i="57" s="1"/>
  <c r="G37" i="58"/>
  <c r="G12" i="58" s="1"/>
  <c r="G38" i="59"/>
  <c r="G13" i="59" s="1"/>
  <c r="G45" i="56"/>
  <c r="G20" i="56" s="1"/>
  <c r="G43" i="59"/>
  <c r="G40" i="43"/>
  <c r="G36" i="60"/>
  <c r="F22" i="43"/>
  <c r="F47" i="60"/>
  <c r="F22" i="60" s="1"/>
  <c r="F12" i="43"/>
  <c r="F11" i="43"/>
  <c r="F36" i="60"/>
  <c r="E44" i="58"/>
  <c r="E19" i="58" s="1"/>
  <c r="E44" i="60"/>
  <c r="E19" i="60" s="1"/>
  <c r="E47" i="58"/>
  <c r="E22" i="58" s="1"/>
  <c r="E47" i="60"/>
  <c r="E22" i="60" s="1"/>
  <c r="E11" i="60"/>
  <c r="E14" i="60" s="1"/>
  <c r="D13" i="43"/>
  <c r="D14" i="43" s="1"/>
  <c r="D15" i="43" s="1"/>
  <c r="D16" i="43" s="1"/>
  <c r="D38" i="60"/>
  <c r="D13" i="60" s="1"/>
  <c r="D47" i="58"/>
  <c r="D22" i="58" s="1"/>
  <c r="D47" i="60"/>
  <c r="D22" i="60" s="1"/>
  <c r="D44" i="57"/>
  <c r="D19" i="57" s="1"/>
  <c r="D44" i="60"/>
  <c r="D19" i="60" s="1"/>
  <c r="D43" i="56"/>
  <c r="D43" i="60"/>
  <c r="G36" i="57"/>
  <c r="G11" i="57" s="1"/>
  <c r="G37" i="56"/>
  <c r="G12" i="56" s="1"/>
  <c r="G37" i="59"/>
  <c r="G12" i="59" s="1"/>
  <c r="D38" i="56"/>
  <c r="D13" i="56" s="1"/>
  <c r="H14" i="43"/>
  <c r="H15" i="43" s="1"/>
  <c r="H16" i="43" s="1"/>
  <c r="G36" i="58"/>
  <c r="G11" i="58" s="1"/>
  <c r="D47" i="57"/>
  <c r="D22" i="57" s="1"/>
  <c r="E19" i="43"/>
  <c r="E44" i="57"/>
  <c r="E19" i="57" s="1"/>
  <c r="E47" i="59"/>
  <c r="E22" i="59" s="1"/>
  <c r="G43" i="57"/>
  <c r="G43" i="58"/>
  <c r="D19" i="43"/>
  <c r="D44" i="58"/>
  <c r="D19" i="58" s="1"/>
  <c r="D40" i="43"/>
  <c r="G36" i="59"/>
  <c r="G11" i="59" s="1"/>
  <c r="G19" i="43"/>
  <c r="G44" i="58"/>
  <c r="G19" i="58" s="1"/>
  <c r="G13" i="43"/>
  <c r="G45" i="57"/>
  <c r="G20" i="57" s="1"/>
  <c r="C37" i="57"/>
  <c r="C12" i="57" s="1"/>
  <c r="D43" i="58"/>
  <c r="G36" i="56"/>
  <c r="G11" i="56" s="1"/>
  <c r="D22" i="43"/>
  <c r="E44" i="56"/>
  <c r="E19" i="56" s="1"/>
  <c r="C38" i="59"/>
  <c r="C13" i="59" s="1"/>
  <c r="C11" i="43"/>
  <c r="D44" i="56"/>
  <c r="D19" i="56" s="1"/>
  <c r="H14" i="57"/>
  <c r="E38" i="56"/>
  <c r="E13" i="56" s="1"/>
  <c r="E13" i="43"/>
  <c r="E38" i="58"/>
  <c r="E13" i="58" s="1"/>
  <c r="E38" i="59"/>
  <c r="E13" i="59" s="1"/>
  <c r="E38" i="57"/>
  <c r="E13" i="57" s="1"/>
  <c r="D38" i="58"/>
  <c r="D13" i="58" s="1"/>
  <c r="D38" i="57"/>
  <c r="D13" i="57" s="1"/>
  <c r="E43" i="57"/>
  <c r="E43" i="58"/>
  <c r="C34" i="43"/>
  <c r="C40" i="43" s="1"/>
  <c r="I10" i="43"/>
  <c r="C8" i="2" s="1"/>
  <c r="C58" i="2"/>
  <c r="C56" i="2" s="1"/>
  <c r="K26" i="51"/>
  <c r="E4" i="2"/>
  <c r="C47" i="58"/>
  <c r="C22" i="58" s="1"/>
  <c r="C44" i="58"/>
  <c r="C19" i="58" s="1"/>
  <c r="C13" i="43"/>
  <c r="C38" i="57"/>
  <c r="C13" i="57" s="1"/>
  <c r="C38" i="58"/>
  <c r="C13" i="58" s="1"/>
  <c r="H9" i="57"/>
  <c r="C8" i="57"/>
  <c r="C9" i="57" s="1"/>
  <c r="C32" i="57" s="1"/>
  <c r="E9" i="57"/>
  <c r="E32" i="57" s="1"/>
  <c r="G9" i="57"/>
  <c r="G32" i="57" s="1"/>
  <c r="G34" i="57" s="1"/>
  <c r="D9" i="56"/>
  <c r="D32" i="56" s="1"/>
  <c r="D34" i="56" s="1"/>
  <c r="E9" i="56"/>
  <c r="E32" i="56" s="1"/>
  <c r="E34" i="56" s="1"/>
  <c r="H9" i="56"/>
  <c r="D9" i="57"/>
  <c r="D32" i="57" s="1"/>
  <c r="L9" i="55"/>
  <c r="K10" i="55"/>
  <c r="C47" i="57"/>
  <c r="C22" i="57" s="1"/>
  <c r="C47" i="59"/>
  <c r="C22" i="59" s="1"/>
  <c r="C36" i="59"/>
  <c r="C11" i="59" s="1"/>
  <c r="C36" i="57"/>
  <c r="C37" i="56"/>
  <c r="C12" i="56" s="1"/>
  <c r="C12" i="43"/>
  <c r="C14" i="43" s="1"/>
  <c r="C47" i="56"/>
  <c r="C22" i="56" s="1"/>
  <c r="C36" i="58"/>
  <c r="C44" i="59"/>
  <c r="C19" i="59" s="1"/>
  <c r="C44" i="56"/>
  <c r="C19" i="56" s="1"/>
  <c r="C19" i="43"/>
  <c r="E45" i="59"/>
  <c r="E20" i="59" s="1"/>
  <c r="E45" i="58"/>
  <c r="E20" i="58" s="1"/>
  <c r="E20" i="43"/>
  <c r="E45" i="56"/>
  <c r="E20" i="56" s="1"/>
  <c r="E45" i="57"/>
  <c r="E20" i="57" s="1"/>
  <c r="D11" i="56"/>
  <c r="E11" i="43"/>
  <c r="E36" i="57"/>
  <c r="E36" i="56"/>
  <c r="E36" i="58"/>
  <c r="E40" i="43"/>
  <c r="E36" i="59"/>
  <c r="D11" i="58"/>
  <c r="F40" i="43"/>
  <c r="E37" i="56"/>
  <c r="E12" i="56" s="1"/>
  <c r="E12" i="43"/>
  <c r="E37" i="59"/>
  <c r="E12" i="59" s="1"/>
  <c r="E37" i="58"/>
  <c r="E12" i="58" s="1"/>
  <c r="E37" i="57"/>
  <c r="E12" i="57" s="1"/>
  <c r="F32" i="56"/>
  <c r="F34" i="56" s="1"/>
  <c r="F9" i="43"/>
  <c r="I7" i="43"/>
  <c r="C5" i="2" s="1"/>
  <c r="F21" i="58"/>
  <c r="F46" i="58" s="1"/>
  <c r="D21" i="58"/>
  <c r="E21" i="58"/>
  <c r="F4" i="2"/>
  <c r="G21" i="58"/>
  <c r="G46" i="58" s="1"/>
  <c r="C21" i="58"/>
  <c r="H21" i="58"/>
  <c r="F45" i="59"/>
  <c r="F20" i="59" s="1"/>
  <c r="F45" i="58"/>
  <c r="F20" i="58" s="1"/>
  <c r="F45" i="56"/>
  <c r="F20" i="56" s="1"/>
  <c r="F20" i="43"/>
  <c r="F45" i="57"/>
  <c r="F20" i="57" s="1"/>
  <c r="D4" i="2"/>
  <c r="I7" i="57"/>
  <c r="E5" i="2" s="1"/>
  <c r="H6" i="36" s="1"/>
  <c r="H5" i="36" s="1"/>
  <c r="H17" i="36" s="1"/>
  <c r="H19" i="36" s="1"/>
  <c r="F47" i="59"/>
  <c r="F22" i="59" s="1"/>
  <c r="F47" i="56"/>
  <c r="F22" i="56" s="1"/>
  <c r="F47" i="58"/>
  <c r="F22" i="58" s="1"/>
  <c r="F47" i="57"/>
  <c r="F22" i="57" s="1"/>
  <c r="I7" i="58"/>
  <c r="F5" i="2" s="1"/>
  <c r="F44" i="57"/>
  <c r="F19" i="57" s="1"/>
  <c r="F44" i="59"/>
  <c r="F19" i="59" s="1"/>
  <c r="F44" i="58"/>
  <c r="F19" i="58" s="1"/>
  <c r="F44" i="56"/>
  <c r="F19" i="56" s="1"/>
  <c r="F43" i="56"/>
  <c r="F43" i="58"/>
  <c r="F43" i="59"/>
  <c r="F43" i="57"/>
  <c r="G9" i="56"/>
  <c r="G21" i="43"/>
  <c r="G46" i="43" s="1"/>
  <c r="C4" i="2"/>
  <c r="C21" i="43"/>
  <c r="H21" i="43"/>
  <c r="F21" i="43"/>
  <c r="F46" i="43" s="1"/>
  <c r="D21" i="43"/>
  <c r="E21" i="43"/>
  <c r="F37" i="59"/>
  <c r="F12" i="59" s="1"/>
  <c r="F37" i="58"/>
  <c r="F12" i="58" s="1"/>
  <c r="F37" i="57"/>
  <c r="F12" i="57" s="1"/>
  <c r="F37" i="56"/>
  <c r="F12" i="56" s="1"/>
  <c r="F38" i="59"/>
  <c r="F13" i="59" s="1"/>
  <c r="F38" i="56"/>
  <c r="F13" i="56" s="1"/>
  <c r="F38" i="58"/>
  <c r="F13" i="58" s="1"/>
  <c r="F38" i="57"/>
  <c r="F13" i="57" s="1"/>
  <c r="F13" i="43"/>
  <c r="F36" i="56"/>
  <c r="F11" i="56" s="1"/>
  <c r="F36" i="59"/>
  <c r="F11" i="59" s="1"/>
  <c r="F36" i="58"/>
  <c r="F11" i="58" s="1"/>
  <c r="F36" i="57"/>
  <c r="F11" i="57" s="1"/>
  <c r="G14" i="43" l="1"/>
  <c r="G15" i="43" s="1"/>
  <c r="G16" i="43" s="1"/>
  <c r="G14" i="58"/>
  <c r="I12" i="43"/>
  <c r="C10" i="2" s="1"/>
  <c r="C36" i="2" s="1"/>
  <c r="G15" i="53"/>
  <c r="F33" i="57"/>
  <c r="F10" i="57" s="1"/>
  <c r="F15" i="53"/>
  <c r="E33" i="57"/>
  <c r="E10" i="57" s="1"/>
  <c r="G14" i="59"/>
  <c r="C21" i="56"/>
  <c r="J27" i="51"/>
  <c r="E16" i="53"/>
  <c r="D33" i="58"/>
  <c r="D10" i="58" s="1"/>
  <c r="F21" i="59"/>
  <c r="F46" i="59" s="1"/>
  <c r="E21" i="59"/>
  <c r="E46" i="59" s="1"/>
  <c r="D21" i="59"/>
  <c r="H21" i="59"/>
  <c r="H46" i="59" s="1"/>
  <c r="F21" i="57"/>
  <c r="F46" i="57" s="1"/>
  <c r="D21" i="57"/>
  <c r="D46" i="57" s="1"/>
  <c r="G21" i="59"/>
  <c r="G46" i="59" s="1"/>
  <c r="C21" i="59"/>
  <c r="C46" i="59" s="1"/>
  <c r="H21" i="57"/>
  <c r="H46" i="57" s="1"/>
  <c r="H19" i="2"/>
  <c r="G21" i="60"/>
  <c r="G46" i="60" s="1"/>
  <c r="D21" i="60"/>
  <c r="D46" i="60" s="1"/>
  <c r="E21" i="60"/>
  <c r="E46" i="60" s="1"/>
  <c r="C21" i="60"/>
  <c r="C46" i="60" s="1"/>
  <c r="H21" i="60"/>
  <c r="H46" i="60" s="1"/>
  <c r="F21" i="60"/>
  <c r="F46" i="60" s="1"/>
  <c r="I26" i="51"/>
  <c r="H28" i="51"/>
  <c r="I18" i="59"/>
  <c r="G61" i="2" s="1"/>
  <c r="D14" i="57"/>
  <c r="D15" i="57" s="1"/>
  <c r="D16" i="57" s="1"/>
  <c r="D15" i="53"/>
  <c r="C33" i="57"/>
  <c r="C10" i="57" s="1"/>
  <c r="C14" i="59"/>
  <c r="L10" i="55"/>
  <c r="K11" i="55"/>
  <c r="L11" i="55" s="1"/>
  <c r="I13" i="58"/>
  <c r="F11" i="2" s="1"/>
  <c r="F37" i="2" s="1"/>
  <c r="D14" i="58"/>
  <c r="I11" i="43"/>
  <c r="C9" i="2" s="1"/>
  <c r="I13" i="60"/>
  <c r="H11" i="2" s="1"/>
  <c r="C14" i="60"/>
  <c r="I22" i="43"/>
  <c r="C20" i="2" s="1"/>
  <c r="I20" i="60"/>
  <c r="H18" i="2" s="1"/>
  <c r="H44" i="2" s="1"/>
  <c r="E20" i="36"/>
  <c r="M19" i="36"/>
  <c r="I23" i="36"/>
  <c r="I22" i="36"/>
  <c r="I12" i="59"/>
  <c r="G10" i="2" s="1"/>
  <c r="G36" i="2" s="1"/>
  <c r="I13" i="56"/>
  <c r="D11" i="2" s="1"/>
  <c r="D37" i="2" s="1"/>
  <c r="I12" i="57"/>
  <c r="E10" i="2" s="1"/>
  <c r="E36" i="2" s="1"/>
  <c r="D14" i="59"/>
  <c r="I12" i="60"/>
  <c r="H10" i="2" s="1"/>
  <c r="H36" i="2" s="1"/>
  <c r="I13" i="43"/>
  <c r="C11" i="2" s="1"/>
  <c r="C37" i="2" s="1"/>
  <c r="D21" i="56"/>
  <c r="D46" i="56" s="1"/>
  <c r="F21" i="56"/>
  <c r="F46" i="56" s="1"/>
  <c r="G21" i="56"/>
  <c r="G46" i="56" s="1"/>
  <c r="E21" i="56"/>
  <c r="E46" i="56" s="1"/>
  <c r="H21" i="56"/>
  <c r="E19" i="2"/>
  <c r="I19" i="2" s="1"/>
  <c r="C21" i="57"/>
  <c r="C46" i="57" s="1"/>
  <c r="E21" i="57"/>
  <c r="E46" i="57" s="1"/>
  <c r="G48" i="43"/>
  <c r="G14" i="57"/>
  <c r="I20" i="59"/>
  <c r="G18" i="2" s="1"/>
  <c r="I19" i="60"/>
  <c r="H17" i="2" s="1"/>
  <c r="G11" i="60"/>
  <c r="G14" i="60" s="1"/>
  <c r="G40" i="57"/>
  <c r="G48" i="57" s="1"/>
  <c r="F11" i="60"/>
  <c r="F14" i="60" s="1"/>
  <c r="I19" i="58"/>
  <c r="F17" i="2" s="1"/>
  <c r="F43" i="2" s="1"/>
  <c r="I20" i="57"/>
  <c r="E18" i="2" s="1"/>
  <c r="E44" i="2" s="1"/>
  <c r="I20" i="58"/>
  <c r="F18" i="2" s="1"/>
  <c r="F44" i="2" s="1"/>
  <c r="D14" i="56"/>
  <c r="D15" i="56" s="1"/>
  <c r="D16" i="56" s="1"/>
  <c r="D40" i="56"/>
  <c r="I19" i="57"/>
  <c r="E17" i="2" s="1"/>
  <c r="E43" i="2" s="1"/>
  <c r="I22" i="60"/>
  <c r="D14" i="60"/>
  <c r="G14" i="56"/>
  <c r="G15" i="56" s="1"/>
  <c r="F48" i="43"/>
  <c r="I20" i="43"/>
  <c r="C18" i="2" s="1"/>
  <c r="C44" i="2" s="1"/>
  <c r="I19" i="43"/>
  <c r="C17" i="2" s="1"/>
  <c r="I8" i="56"/>
  <c r="D6" i="2" s="1"/>
  <c r="I13" i="59"/>
  <c r="D34" i="57"/>
  <c r="D40" i="57" s="1"/>
  <c r="C15" i="43"/>
  <c r="C16" i="43" s="1"/>
  <c r="I10" i="56"/>
  <c r="D8" i="2" s="1"/>
  <c r="D31" i="2" s="1"/>
  <c r="C34" i="56"/>
  <c r="C40" i="56" s="1"/>
  <c r="I18" i="43"/>
  <c r="D28" i="51"/>
  <c r="I19" i="59"/>
  <c r="I13" i="57"/>
  <c r="E11" i="2" s="1"/>
  <c r="E37" i="2" s="1"/>
  <c r="C11" i="57"/>
  <c r="C14" i="57" s="1"/>
  <c r="H9" i="58"/>
  <c r="E9" i="58"/>
  <c r="E32" i="58" s="1"/>
  <c r="C8" i="58"/>
  <c r="C9" i="58" s="1"/>
  <c r="C32" i="58" s="1"/>
  <c r="G9" i="58"/>
  <c r="G32" i="58" s="1"/>
  <c r="G34" i="58" s="1"/>
  <c r="G40" i="58" s="1"/>
  <c r="G48" i="58" s="1"/>
  <c r="D9" i="58"/>
  <c r="D32" i="58" s="1"/>
  <c r="F9" i="58"/>
  <c r="I8" i="57"/>
  <c r="E6" i="2" s="1"/>
  <c r="F9" i="57"/>
  <c r="I9" i="57" s="1"/>
  <c r="E7" i="2" s="1"/>
  <c r="F9" i="59"/>
  <c r="F32" i="59" s="1"/>
  <c r="H9" i="59"/>
  <c r="C8" i="59"/>
  <c r="C9" i="59" s="1"/>
  <c r="C32" i="59" s="1"/>
  <c r="H32" i="56"/>
  <c r="H34" i="56" s="1"/>
  <c r="H40" i="56" s="1"/>
  <c r="H15" i="56"/>
  <c r="H16" i="56" s="1"/>
  <c r="H15" i="57"/>
  <c r="H16" i="57" s="1"/>
  <c r="H32" i="57"/>
  <c r="H34" i="57" s="1"/>
  <c r="H40" i="57" s="1"/>
  <c r="H48" i="57" s="1"/>
  <c r="I19" i="56"/>
  <c r="D17" i="2" s="1"/>
  <c r="D43" i="2" s="1"/>
  <c r="C14" i="56"/>
  <c r="I12" i="56"/>
  <c r="D10" i="2" s="1"/>
  <c r="D36" i="2" s="1"/>
  <c r="C11" i="58"/>
  <c r="C14" i="58" s="1"/>
  <c r="E11" i="59"/>
  <c r="E14" i="59" s="1"/>
  <c r="I20" i="56"/>
  <c r="D18" i="2" s="1"/>
  <c r="D44" i="2" s="1"/>
  <c r="E11" i="57"/>
  <c r="E14" i="57" s="1"/>
  <c r="E15" i="57" s="1"/>
  <c r="E16" i="57" s="1"/>
  <c r="E11" i="56"/>
  <c r="E14" i="56" s="1"/>
  <c r="E15" i="56" s="1"/>
  <c r="E16" i="56" s="1"/>
  <c r="E40" i="56"/>
  <c r="I12" i="58"/>
  <c r="F10" i="2" s="1"/>
  <c r="F36" i="2" s="1"/>
  <c r="E11" i="58"/>
  <c r="E14" i="58" s="1"/>
  <c r="E14" i="43"/>
  <c r="E15" i="43" s="1"/>
  <c r="E16" i="43" s="1"/>
  <c r="G15" i="57"/>
  <c r="G16" i="57" s="1"/>
  <c r="G32" i="56"/>
  <c r="G34" i="56" s="1"/>
  <c r="G40" i="56" s="1"/>
  <c r="I9" i="56"/>
  <c r="D7" i="2" s="1"/>
  <c r="F14" i="57"/>
  <c r="F14" i="56"/>
  <c r="D46" i="43"/>
  <c r="D48" i="43" s="1"/>
  <c r="C46" i="43"/>
  <c r="C48" i="43" s="1"/>
  <c r="I22" i="57"/>
  <c r="I22" i="59"/>
  <c r="G20" i="2" s="1"/>
  <c r="C35" i="2"/>
  <c r="F6" i="36"/>
  <c r="F5" i="36" s="1"/>
  <c r="F17" i="36" s="1"/>
  <c r="I5" i="2"/>
  <c r="L6" i="36" s="1"/>
  <c r="L5" i="36" s="1"/>
  <c r="L17" i="36" s="1"/>
  <c r="L19" i="36" s="1"/>
  <c r="C7" i="2"/>
  <c r="D46" i="59"/>
  <c r="F40" i="56"/>
  <c r="E46" i="43"/>
  <c r="E48" i="43" s="1"/>
  <c r="I4" i="2"/>
  <c r="C31" i="2"/>
  <c r="I22" i="58"/>
  <c r="H46" i="56"/>
  <c r="H46" i="58"/>
  <c r="D46" i="58"/>
  <c r="F14" i="43"/>
  <c r="I9" i="43"/>
  <c r="F14" i="58"/>
  <c r="F14" i="59"/>
  <c r="H46" i="43"/>
  <c r="H48" i="43" s="1"/>
  <c r="I22" i="56"/>
  <c r="C46" i="56"/>
  <c r="C46" i="58"/>
  <c r="E46" i="58"/>
  <c r="G16" i="53" l="1"/>
  <c r="F33" i="58"/>
  <c r="F10" i="58" s="1"/>
  <c r="F16" i="53"/>
  <c r="E33" i="58"/>
  <c r="E10" i="58" s="1"/>
  <c r="E15" i="58" s="1"/>
  <c r="E16" i="58" s="1"/>
  <c r="E34" i="57"/>
  <c r="E40" i="57" s="1"/>
  <c r="E48" i="57" s="1"/>
  <c r="F32" i="57"/>
  <c r="F34" i="57" s="1"/>
  <c r="F40" i="57" s="1"/>
  <c r="F48" i="57" s="1"/>
  <c r="I11" i="60"/>
  <c r="H9" i="2" s="1"/>
  <c r="D48" i="56"/>
  <c r="E17" i="53"/>
  <c r="D33" i="60" s="1"/>
  <c r="D10" i="60" s="1"/>
  <c r="D33" i="59"/>
  <c r="D10" i="59" s="1"/>
  <c r="D48" i="57"/>
  <c r="I28" i="51"/>
  <c r="I18" i="60"/>
  <c r="C48" i="2"/>
  <c r="D16" i="53"/>
  <c r="C33" i="58"/>
  <c r="C10" i="58" s="1"/>
  <c r="E9" i="60"/>
  <c r="E32" i="60" s="1"/>
  <c r="C8" i="60"/>
  <c r="D9" i="60"/>
  <c r="D15" i="60" s="1"/>
  <c r="F15" i="57"/>
  <c r="F16" i="57" s="1"/>
  <c r="G9" i="59"/>
  <c r="G32" i="59" s="1"/>
  <c r="G34" i="59" s="1"/>
  <c r="G40" i="59" s="1"/>
  <c r="G48" i="59" s="1"/>
  <c r="G9" i="60"/>
  <c r="H9" i="60"/>
  <c r="H32" i="60" s="1"/>
  <c r="F9" i="60"/>
  <c r="F32" i="60" s="1"/>
  <c r="I11" i="57"/>
  <c r="E9" i="2" s="1"/>
  <c r="D9" i="59"/>
  <c r="D32" i="59" s="1"/>
  <c r="E9" i="59"/>
  <c r="E32" i="59" s="1"/>
  <c r="G15" i="60"/>
  <c r="G16" i="60" s="1"/>
  <c r="G44" i="2"/>
  <c r="G48" i="56"/>
  <c r="H43" i="2"/>
  <c r="G17" i="2"/>
  <c r="G43" i="2" s="1"/>
  <c r="H37" i="2"/>
  <c r="G11" i="2"/>
  <c r="I11" i="2" s="1"/>
  <c r="I37" i="2" s="1"/>
  <c r="H20" i="2"/>
  <c r="F48" i="56"/>
  <c r="E50" i="2"/>
  <c r="C43" i="2"/>
  <c r="I11" i="59"/>
  <c r="G9" i="2" s="1"/>
  <c r="G35" i="2" s="1"/>
  <c r="I14" i="60"/>
  <c r="H12" i="2" s="1"/>
  <c r="C50" i="2"/>
  <c r="I14" i="43"/>
  <c r="C12" i="2" s="1"/>
  <c r="I14" i="57"/>
  <c r="E12" i="2" s="1"/>
  <c r="D48" i="2"/>
  <c r="D15" i="58"/>
  <c r="D16" i="58" s="1"/>
  <c r="E48" i="56"/>
  <c r="D34" i="58"/>
  <c r="D40" i="58" s="1"/>
  <c r="D48" i="58" s="1"/>
  <c r="C34" i="57"/>
  <c r="C40" i="57" s="1"/>
  <c r="C48" i="57" s="1"/>
  <c r="I10" i="57"/>
  <c r="E8" i="2" s="1"/>
  <c r="E31" i="2" s="1"/>
  <c r="C15" i="56"/>
  <c r="C16" i="56" s="1"/>
  <c r="I18" i="57"/>
  <c r="E61" i="2" s="1"/>
  <c r="E28" i="51"/>
  <c r="C61" i="2"/>
  <c r="G18" i="43"/>
  <c r="G17" i="43" s="1"/>
  <c r="G23" i="43" s="1"/>
  <c r="G24" i="43" s="1"/>
  <c r="G25" i="43" s="1"/>
  <c r="G26" i="43" s="1"/>
  <c r="G27" i="43" s="1"/>
  <c r="C18" i="43"/>
  <c r="C17" i="43" s="1"/>
  <c r="H18" i="43"/>
  <c r="H17" i="43" s="1"/>
  <c r="H23" i="43" s="1"/>
  <c r="H24" i="43" s="1"/>
  <c r="H25" i="43" s="1"/>
  <c r="H26" i="43" s="1"/>
  <c r="H27" i="43" s="1"/>
  <c r="E18" i="43"/>
  <c r="E17" i="43" s="1"/>
  <c r="E23" i="43" s="1"/>
  <c r="E24" i="43" s="1"/>
  <c r="E25" i="43" s="1"/>
  <c r="F18" i="43"/>
  <c r="F17" i="43" s="1"/>
  <c r="F23" i="43" s="1"/>
  <c r="D18" i="43"/>
  <c r="D17" i="43" s="1"/>
  <c r="D23" i="43" s="1"/>
  <c r="D24" i="43" s="1"/>
  <c r="D25" i="43" s="1"/>
  <c r="D26" i="43" s="1"/>
  <c r="D27" i="43" s="1"/>
  <c r="D61" i="2"/>
  <c r="D18" i="56"/>
  <c r="D17" i="56" s="1"/>
  <c r="D23" i="56" s="1"/>
  <c r="D24" i="56" s="1"/>
  <c r="D25" i="56" s="1"/>
  <c r="D26" i="56" s="1"/>
  <c r="D27" i="56" s="1"/>
  <c r="C18" i="56"/>
  <c r="C17" i="56" s="1"/>
  <c r="G18" i="56"/>
  <c r="G17" i="56" s="1"/>
  <c r="G23" i="56" s="1"/>
  <c r="G24" i="56" s="1"/>
  <c r="H18" i="56"/>
  <c r="H17" i="56" s="1"/>
  <c r="H23" i="56" s="1"/>
  <c r="H24" i="56" s="1"/>
  <c r="H25" i="56" s="1"/>
  <c r="H26" i="56" s="1"/>
  <c r="H27" i="56" s="1"/>
  <c r="F18" i="56"/>
  <c r="F17" i="56" s="1"/>
  <c r="F23" i="56" s="1"/>
  <c r="E18" i="56"/>
  <c r="E17" i="56" s="1"/>
  <c r="E23" i="56" s="1"/>
  <c r="E24" i="56" s="1"/>
  <c r="E25" i="56" s="1"/>
  <c r="E26" i="56" s="1"/>
  <c r="E27" i="56" s="1"/>
  <c r="E18" i="59"/>
  <c r="E17" i="59" s="1"/>
  <c r="E23" i="59" s="1"/>
  <c r="F18" i="59"/>
  <c r="F17" i="59" s="1"/>
  <c r="F23" i="59" s="1"/>
  <c r="G18" i="59"/>
  <c r="G17" i="59" s="1"/>
  <c r="G23" i="59" s="1"/>
  <c r="H18" i="59"/>
  <c r="H17" i="59" s="1"/>
  <c r="H23" i="59" s="1"/>
  <c r="D18" i="59"/>
  <c r="D17" i="59" s="1"/>
  <c r="D23" i="59" s="1"/>
  <c r="C18" i="59"/>
  <c r="C17" i="59" s="1"/>
  <c r="F61" i="2"/>
  <c r="G18" i="58"/>
  <c r="G17" i="58" s="1"/>
  <c r="G23" i="58" s="1"/>
  <c r="E18" i="58"/>
  <c r="E17" i="58" s="1"/>
  <c r="E23" i="58" s="1"/>
  <c r="C18" i="58"/>
  <c r="C17" i="58" s="1"/>
  <c r="D18" i="58"/>
  <c r="D17" i="58" s="1"/>
  <c r="D23" i="58" s="1"/>
  <c r="H18" i="58"/>
  <c r="H17" i="58" s="1"/>
  <c r="H23" i="58" s="1"/>
  <c r="F18" i="58"/>
  <c r="F17" i="58" s="1"/>
  <c r="F23" i="58" s="1"/>
  <c r="I11" i="56"/>
  <c r="D9" i="2" s="1"/>
  <c r="D35" i="2" s="1"/>
  <c r="I18" i="2"/>
  <c r="I44" i="2" s="1"/>
  <c r="E48" i="2"/>
  <c r="G15" i="58"/>
  <c r="G16" i="58" s="1"/>
  <c r="H15" i="59"/>
  <c r="H16" i="59" s="1"/>
  <c r="H32" i="59"/>
  <c r="H34" i="59" s="1"/>
  <c r="H40" i="59" s="1"/>
  <c r="H48" i="59" s="1"/>
  <c r="H32" i="58"/>
  <c r="H34" i="58" s="1"/>
  <c r="H40" i="58" s="1"/>
  <c r="H48" i="58" s="1"/>
  <c r="H15" i="58"/>
  <c r="H16" i="58" s="1"/>
  <c r="C48" i="56"/>
  <c r="H48" i="56"/>
  <c r="I8" i="58"/>
  <c r="F6" i="2" s="1"/>
  <c r="D50" i="2"/>
  <c r="I11" i="58"/>
  <c r="F9" i="2" s="1"/>
  <c r="I14" i="58"/>
  <c r="F12" i="2" s="1"/>
  <c r="I17" i="2"/>
  <c r="I43" i="2" s="1"/>
  <c r="I10" i="2"/>
  <c r="I36" i="2" s="1"/>
  <c r="F15" i="43"/>
  <c r="F16" i="43" s="1"/>
  <c r="C52" i="2"/>
  <c r="I14" i="59"/>
  <c r="G12" i="2" s="1"/>
  <c r="F18" i="36"/>
  <c r="G18" i="36" s="1"/>
  <c r="H18" i="36" s="1"/>
  <c r="F19" i="36"/>
  <c r="F20" i="36" s="1"/>
  <c r="G20" i="36" s="1"/>
  <c r="H20" i="36" s="1"/>
  <c r="E20" i="2"/>
  <c r="E52" i="2" s="1"/>
  <c r="I14" i="56"/>
  <c r="D12" i="2" s="1"/>
  <c r="F15" i="56"/>
  <c r="D20" i="2"/>
  <c r="D52" i="2" s="1"/>
  <c r="F20" i="2"/>
  <c r="C30" i="2"/>
  <c r="C32" i="2" s="1"/>
  <c r="C33" i="2" s="1"/>
  <c r="C51" i="2"/>
  <c r="D51" i="2"/>
  <c r="D30" i="2"/>
  <c r="D32" i="2" s="1"/>
  <c r="D33" i="2" s="1"/>
  <c r="F32" i="58"/>
  <c r="F34" i="58" s="1"/>
  <c r="F40" i="58" s="1"/>
  <c r="F48" i="58" s="1"/>
  <c r="F15" i="58"/>
  <c r="I9" i="58"/>
  <c r="F7" i="2" s="1"/>
  <c r="H35" i="2"/>
  <c r="E30" i="2"/>
  <c r="E51" i="2"/>
  <c r="E35" i="2"/>
  <c r="G16" i="56"/>
  <c r="G34" i="60" l="1"/>
  <c r="G40" i="60" s="1"/>
  <c r="G48" i="60" s="1"/>
  <c r="G32" i="60"/>
  <c r="D32" i="60"/>
  <c r="D34" i="60" s="1"/>
  <c r="D40" i="60" s="1"/>
  <c r="D48" i="60" s="1"/>
  <c r="G17" i="53"/>
  <c r="F33" i="60" s="1"/>
  <c r="F10" i="60" s="1"/>
  <c r="F33" i="59"/>
  <c r="F34" i="60"/>
  <c r="F40" i="60" s="1"/>
  <c r="F48" i="60" s="1"/>
  <c r="F17" i="53"/>
  <c r="E33" i="60" s="1"/>
  <c r="E10" i="60" s="1"/>
  <c r="E15" i="60" s="1"/>
  <c r="E33" i="59"/>
  <c r="E10" i="59" s="1"/>
  <c r="E15" i="59" s="1"/>
  <c r="E16" i="59" s="1"/>
  <c r="E34" i="58"/>
  <c r="E40" i="58" s="1"/>
  <c r="E48" i="58" s="1"/>
  <c r="E24" i="58"/>
  <c r="E25" i="58" s="1"/>
  <c r="E26" i="58" s="1"/>
  <c r="E27" i="58" s="1"/>
  <c r="D34" i="59"/>
  <c r="D40" i="59" s="1"/>
  <c r="D48" i="59" s="1"/>
  <c r="C18" i="60"/>
  <c r="C17" i="60" s="1"/>
  <c r="H18" i="60"/>
  <c r="H17" i="60" s="1"/>
  <c r="H23" i="60" s="1"/>
  <c r="H61" i="2"/>
  <c r="D18" i="60"/>
  <c r="D17" i="60" s="1"/>
  <c r="D23" i="60" s="1"/>
  <c r="D24" i="60" s="1"/>
  <c r="D25" i="60" s="1"/>
  <c r="D26" i="60" s="1"/>
  <c r="E18" i="60"/>
  <c r="E17" i="60" s="1"/>
  <c r="E23" i="60" s="1"/>
  <c r="F18" i="60"/>
  <c r="F17" i="60" s="1"/>
  <c r="F23" i="60" s="1"/>
  <c r="G18" i="60"/>
  <c r="G17" i="60" s="1"/>
  <c r="G23" i="60" s="1"/>
  <c r="G24" i="60" s="1"/>
  <c r="G25" i="60" s="1"/>
  <c r="G26" i="60" s="1"/>
  <c r="G27" i="60" s="1"/>
  <c r="D17" i="53"/>
  <c r="C33" i="60" s="1"/>
  <c r="C10" i="60" s="1"/>
  <c r="I10" i="60" s="1"/>
  <c r="H8" i="2" s="1"/>
  <c r="C33" i="59"/>
  <c r="C10" i="59" s="1"/>
  <c r="C9" i="60"/>
  <c r="I8" i="60"/>
  <c r="H6" i="2" s="1"/>
  <c r="I9" i="59"/>
  <c r="G7" i="2" s="1"/>
  <c r="H15" i="60"/>
  <c r="H34" i="60"/>
  <c r="H40" i="60" s="1"/>
  <c r="H48" i="60" s="1"/>
  <c r="E34" i="60"/>
  <c r="E40" i="60" s="1"/>
  <c r="E48" i="60" s="1"/>
  <c r="I8" i="59"/>
  <c r="G6" i="2" s="1"/>
  <c r="D15" i="59"/>
  <c r="D16" i="59" s="1"/>
  <c r="F15" i="60"/>
  <c r="G37" i="2"/>
  <c r="H18" i="57"/>
  <c r="H17" i="57" s="1"/>
  <c r="H23" i="57" s="1"/>
  <c r="H24" i="57" s="1"/>
  <c r="H25" i="57" s="1"/>
  <c r="H26" i="57" s="1"/>
  <c r="H27" i="57" s="1"/>
  <c r="E18" i="57"/>
  <c r="E17" i="57" s="1"/>
  <c r="E23" i="57" s="1"/>
  <c r="E24" i="57" s="1"/>
  <c r="E25" i="57" s="1"/>
  <c r="E26" i="57" s="1"/>
  <c r="E27" i="57" s="1"/>
  <c r="C18" i="57"/>
  <c r="C17" i="57" s="1"/>
  <c r="C23" i="57" s="1"/>
  <c r="G18" i="57"/>
  <c r="G17" i="57" s="1"/>
  <c r="G23" i="57" s="1"/>
  <c r="G24" i="57" s="1"/>
  <c r="G25" i="57" s="1"/>
  <c r="G26" i="57" s="1"/>
  <c r="G27" i="57" s="1"/>
  <c r="D18" i="57"/>
  <c r="D17" i="57" s="1"/>
  <c r="D23" i="57" s="1"/>
  <c r="D24" i="57" s="1"/>
  <c r="D25" i="57" s="1"/>
  <c r="D26" i="57" s="1"/>
  <c r="D27" i="57" s="1"/>
  <c r="F18" i="57"/>
  <c r="F17" i="57" s="1"/>
  <c r="F23" i="57" s="1"/>
  <c r="F24" i="57" s="1"/>
  <c r="F25" i="57" s="1"/>
  <c r="F26" i="57" s="1"/>
  <c r="I15" i="43"/>
  <c r="C13" i="2" s="1"/>
  <c r="I9" i="2"/>
  <c r="I35" i="2" s="1"/>
  <c r="D16" i="60"/>
  <c r="D24" i="58"/>
  <c r="D25" i="58" s="1"/>
  <c r="D26" i="58" s="1"/>
  <c r="D27" i="58" s="1"/>
  <c r="G24" i="58"/>
  <c r="G25" i="58" s="1"/>
  <c r="G26" i="58" s="1"/>
  <c r="G27" i="58" s="1"/>
  <c r="F24" i="43"/>
  <c r="F25" i="43" s="1"/>
  <c r="F26" i="43" s="1"/>
  <c r="F27" i="43" s="1"/>
  <c r="C15" i="57"/>
  <c r="C16" i="57" s="1"/>
  <c r="E32" i="2"/>
  <c r="E33" i="2" s="1"/>
  <c r="C34" i="58"/>
  <c r="C40" i="58" s="1"/>
  <c r="C48" i="58" s="1"/>
  <c r="E26" i="43"/>
  <c r="E27" i="43" s="1"/>
  <c r="C23" i="58"/>
  <c r="I17" i="58"/>
  <c r="C23" i="43"/>
  <c r="C24" i="43" s="1"/>
  <c r="C25" i="43" s="1"/>
  <c r="C26" i="43" s="1"/>
  <c r="C27" i="43" s="1"/>
  <c r="I17" i="43"/>
  <c r="C23" i="59"/>
  <c r="I17" i="59"/>
  <c r="G15" i="2" s="1"/>
  <c r="F28" i="51"/>
  <c r="I17" i="56"/>
  <c r="C23" i="56"/>
  <c r="C24" i="56" s="1"/>
  <c r="C25" i="56" s="1"/>
  <c r="C26" i="56" s="1"/>
  <c r="C27" i="56" s="1"/>
  <c r="F35" i="2"/>
  <c r="I12" i="2"/>
  <c r="D24" i="59"/>
  <c r="D25" i="59" s="1"/>
  <c r="D26" i="59" s="1"/>
  <c r="D27" i="59" s="1"/>
  <c r="H24" i="58"/>
  <c r="H25" i="58" s="1"/>
  <c r="H26" i="58" s="1"/>
  <c r="H27" i="58" s="1"/>
  <c r="H24" i="59"/>
  <c r="G15" i="59"/>
  <c r="I20" i="36"/>
  <c r="J20" i="36" s="1"/>
  <c r="K20" i="36" s="1"/>
  <c r="L20" i="36" s="1"/>
  <c r="I24" i="36"/>
  <c r="I20" i="2"/>
  <c r="G25" i="56"/>
  <c r="G26" i="56" s="1"/>
  <c r="G27" i="56" s="1"/>
  <c r="F51" i="2"/>
  <c r="F30" i="2"/>
  <c r="F50" i="2"/>
  <c r="F48" i="2"/>
  <c r="E24" i="36"/>
  <c r="I18" i="36"/>
  <c r="J18" i="36" s="1"/>
  <c r="K18" i="36" s="1"/>
  <c r="L18" i="36" s="1"/>
  <c r="F16" i="58"/>
  <c r="F24" i="58"/>
  <c r="F52" i="2"/>
  <c r="F16" i="56"/>
  <c r="F24" i="56"/>
  <c r="I15" i="56"/>
  <c r="E24" i="59" l="1"/>
  <c r="E25" i="59" s="1"/>
  <c r="E26" i="59" s="1"/>
  <c r="E27" i="59" s="1"/>
  <c r="I6" i="2"/>
  <c r="E34" i="59"/>
  <c r="E40" i="59" s="1"/>
  <c r="E48" i="59" s="1"/>
  <c r="F10" i="59"/>
  <c r="F15" i="59" s="1"/>
  <c r="F34" i="59"/>
  <c r="F40" i="59" s="1"/>
  <c r="F48" i="59" s="1"/>
  <c r="C23" i="60"/>
  <c r="I17" i="60"/>
  <c r="F24" i="60"/>
  <c r="F25" i="60" s="1"/>
  <c r="F26" i="60" s="1"/>
  <c r="F27" i="60" s="1"/>
  <c r="F16" i="60"/>
  <c r="E16" i="60"/>
  <c r="E24" i="60"/>
  <c r="E25" i="60" s="1"/>
  <c r="E26" i="60" s="1"/>
  <c r="E27" i="60" s="1"/>
  <c r="H16" i="60"/>
  <c r="H24" i="60"/>
  <c r="H25" i="60" s="1"/>
  <c r="H26" i="60" s="1"/>
  <c r="H27" i="60" s="1"/>
  <c r="I9" i="60"/>
  <c r="H7" i="2" s="1"/>
  <c r="C32" i="60"/>
  <c r="C34" i="60" s="1"/>
  <c r="C40" i="60" s="1"/>
  <c r="C48" i="60" s="1"/>
  <c r="C15" i="60"/>
  <c r="I16" i="43"/>
  <c r="G30" i="2"/>
  <c r="G51" i="2"/>
  <c r="G50" i="2"/>
  <c r="G52" i="2"/>
  <c r="G48" i="2"/>
  <c r="I17" i="57"/>
  <c r="I23" i="57" s="1"/>
  <c r="G42" i="2"/>
  <c r="G49" i="2"/>
  <c r="D27" i="60"/>
  <c r="C24" i="57"/>
  <c r="C25" i="57" s="1"/>
  <c r="C26" i="57" s="1"/>
  <c r="C27" i="57" s="1"/>
  <c r="I15" i="57"/>
  <c r="C15" i="58"/>
  <c r="C24" i="58" s="1"/>
  <c r="C25" i="58" s="1"/>
  <c r="C26" i="58" s="1"/>
  <c r="C27" i="58" s="1"/>
  <c r="I10" i="58"/>
  <c r="F8" i="2" s="1"/>
  <c r="F31" i="2" s="1"/>
  <c r="F32" i="2" s="1"/>
  <c r="F33" i="2" s="1"/>
  <c r="C34" i="59"/>
  <c r="C40" i="59" s="1"/>
  <c r="C48" i="59" s="1"/>
  <c r="D15" i="2"/>
  <c r="I23" i="56"/>
  <c r="D21" i="2" s="1"/>
  <c r="I23" i="59"/>
  <c r="G21" i="2" s="1"/>
  <c r="F15" i="2"/>
  <c r="I23" i="58"/>
  <c r="F21" i="2" s="1"/>
  <c r="C15" i="2"/>
  <c r="I23" i="43"/>
  <c r="I24" i="43" s="1"/>
  <c r="I25" i="43" s="1"/>
  <c r="H25" i="59"/>
  <c r="H26" i="59" s="1"/>
  <c r="H27" i="59" s="1"/>
  <c r="G16" i="59"/>
  <c r="G24" i="59"/>
  <c r="F25" i="56"/>
  <c r="F26" i="56" s="1"/>
  <c r="F25" i="58"/>
  <c r="F26" i="58" s="1"/>
  <c r="F27" i="57"/>
  <c r="I16" i="56"/>
  <c r="D14" i="2" s="1"/>
  <c r="D13" i="2"/>
  <c r="D39" i="2" s="1"/>
  <c r="I26" i="43"/>
  <c r="I27" i="43" s="1"/>
  <c r="C39" i="2"/>
  <c r="C14" i="2"/>
  <c r="F24" i="59" l="1"/>
  <c r="F25" i="59" s="1"/>
  <c r="F26" i="59" s="1"/>
  <c r="F27" i="59" s="1"/>
  <c r="F16" i="59"/>
  <c r="H15" i="2"/>
  <c r="H49" i="2" s="1"/>
  <c r="I23" i="60"/>
  <c r="H21" i="2" s="1"/>
  <c r="E15" i="2"/>
  <c r="E49" i="2" s="1"/>
  <c r="C16" i="60"/>
  <c r="C24" i="60"/>
  <c r="C25" i="60" s="1"/>
  <c r="C26" i="60" s="1"/>
  <c r="I15" i="60"/>
  <c r="H48" i="2"/>
  <c r="H52" i="2"/>
  <c r="H50" i="2"/>
  <c r="H51" i="2"/>
  <c r="H30" i="2"/>
  <c r="I7" i="2"/>
  <c r="I24" i="56"/>
  <c r="D22" i="2" s="1"/>
  <c r="D54" i="2" s="1"/>
  <c r="I26" i="57"/>
  <c r="E24" i="2" s="1"/>
  <c r="I16" i="57"/>
  <c r="E14" i="2" s="1"/>
  <c r="E13" i="2"/>
  <c r="E39" i="2" s="1"/>
  <c r="C15" i="59"/>
  <c r="I10" i="59"/>
  <c r="C16" i="58"/>
  <c r="I15" i="58"/>
  <c r="I24" i="58" s="1"/>
  <c r="I25" i="58" s="1"/>
  <c r="F23" i="2" s="1"/>
  <c r="E21" i="2"/>
  <c r="I24" i="57"/>
  <c r="H42" i="2"/>
  <c r="D40" i="2"/>
  <c r="C21" i="2"/>
  <c r="C42" i="2"/>
  <c r="C49" i="2"/>
  <c r="F42" i="2"/>
  <c r="F49" i="2"/>
  <c r="J26" i="51"/>
  <c r="I61" i="2" s="1"/>
  <c r="D42" i="2"/>
  <c r="D49" i="2"/>
  <c r="G25" i="59"/>
  <c r="G26" i="59" s="1"/>
  <c r="F27" i="58"/>
  <c r="I26" i="58"/>
  <c r="F27" i="56"/>
  <c r="I26" i="56"/>
  <c r="I15" i="2" l="1"/>
  <c r="I49" i="2" s="1"/>
  <c r="E42" i="2"/>
  <c r="I51" i="2"/>
  <c r="I52" i="2"/>
  <c r="I50" i="2"/>
  <c r="I30" i="2"/>
  <c r="I48" i="2"/>
  <c r="H13" i="2"/>
  <c r="I16" i="60"/>
  <c r="H14" i="2" s="1"/>
  <c r="I24" i="60"/>
  <c r="C27" i="60"/>
  <c r="I26" i="60"/>
  <c r="I25" i="56"/>
  <c r="D23" i="2" s="1"/>
  <c r="H31" i="2"/>
  <c r="H32" i="2" s="1"/>
  <c r="H33" i="2" s="1"/>
  <c r="G8" i="2"/>
  <c r="G31" i="2" s="1"/>
  <c r="G32" i="2" s="1"/>
  <c r="G33" i="2" s="1"/>
  <c r="I27" i="57"/>
  <c r="E25" i="2" s="1"/>
  <c r="E40" i="2"/>
  <c r="I8" i="2"/>
  <c r="I31" i="2" s="1"/>
  <c r="I32" i="2" s="1"/>
  <c r="I33" i="2" s="1"/>
  <c r="C16" i="59"/>
  <c r="I15" i="59"/>
  <c r="G13" i="2" s="1"/>
  <c r="G39" i="2" s="1"/>
  <c r="G40" i="2" s="1"/>
  <c r="C24" i="59"/>
  <c r="C25" i="59" s="1"/>
  <c r="C26" i="59" s="1"/>
  <c r="C27" i="59" s="1"/>
  <c r="F13" i="2"/>
  <c r="F39" i="2" s="1"/>
  <c r="F40" i="2" s="1"/>
  <c r="I16" i="58"/>
  <c r="F14" i="2" s="1"/>
  <c r="F22" i="2"/>
  <c r="F54" i="2" s="1"/>
  <c r="I42" i="2"/>
  <c r="I21" i="2"/>
  <c r="C22" i="2"/>
  <c r="C40" i="2"/>
  <c r="I25" i="57"/>
  <c r="E23" i="2" s="1"/>
  <c r="E22" i="2"/>
  <c r="E54" i="2" s="1"/>
  <c r="G27" i="59"/>
  <c r="I27" i="56"/>
  <c r="D25" i="2" s="1"/>
  <c r="D24" i="2"/>
  <c r="E60" i="2"/>
  <c r="E59" i="2" s="1"/>
  <c r="E53" i="2"/>
  <c r="I27" i="58"/>
  <c r="F25" i="2" s="1"/>
  <c r="F24" i="2"/>
  <c r="I25" i="60" l="1"/>
  <c r="H23" i="2" s="1"/>
  <c r="H22" i="2"/>
  <c r="H24" i="2"/>
  <c r="I27" i="60"/>
  <c r="H25" i="2" s="1"/>
  <c r="I26" i="59"/>
  <c r="I13" i="2"/>
  <c r="I39" i="2" s="1"/>
  <c r="I40" i="2" s="1"/>
  <c r="H39" i="2"/>
  <c r="H40" i="2" s="1"/>
  <c r="I16" i="59"/>
  <c r="G14" i="2" s="1"/>
  <c r="I24" i="59"/>
  <c r="G22" i="2" s="1"/>
  <c r="G54" i="2" s="1"/>
  <c r="C54" i="2"/>
  <c r="C23" i="2"/>
  <c r="C24" i="2" s="1"/>
  <c r="F60" i="2"/>
  <c r="F59" i="2" s="1"/>
  <c r="F53" i="2"/>
  <c r="D53" i="2"/>
  <c r="D60" i="2"/>
  <c r="D59" i="2" s="1"/>
  <c r="I27" i="59" l="1"/>
  <c r="G25" i="2" s="1"/>
  <c r="G24" i="2"/>
  <c r="H60" i="2"/>
  <c r="H59" i="2" s="1"/>
  <c r="I14" i="2"/>
  <c r="I22" i="2"/>
  <c r="I25" i="59"/>
  <c r="G23" i="2" s="1"/>
  <c r="H54" i="2"/>
  <c r="C60" i="2"/>
  <c r="C59" i="2" s="1"/>
  <c r="C53" i="2"/>
  <c r="C25" i="2"/>
  <c r="G53" i="2" l="1"/>
  <c r="G60" i="2"/>
  <c r="G59" i="2" s="1"/>
  <c r="H53" i="2"/>
  <c r="I54" i="2"/>
  <c r="I23" i="2"/>
  <c r="I24" i="2" s="1"/>
  <c r="I60" i="2" l="1"/>
  <c r="I59" i="2" s="1"/>
  <c r="I25" i="2"/>
  <c r="I53" i="2"/>
</calcChain>
</file>

<file path=xl/comments1.xml><?xml version="1.0" encoding="utf-8"?>
<comments xmlns="http://schemas.openxmlformats.org/spreadsheetml/2006/main">
  <authors>
    <author>作者</author>
  </authors>
  <commentList>
    <comment ref="K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3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</commentList>
</comments>
</file>

<file path=xl/sharedStrings.xml><?xml version="1.0" encoding="utf-8"?>
<sst xmlns="http://schemas.openxmlformats.org/spreadsheetml/2006/main" count="1626" uniqueCount="296">
  <si>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</si>
  <si>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</si>
  <si>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</si>
  <si>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</si>
  <si>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</si>
  <si>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</si>
  <si>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材料成本</t>
  </si>
  <si>
    <t>单台材料成本为未税价格。</t>
  </si>
  <si>
    <t>变动费用</t>
  </si>
  <si>
    <t>固定费用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</si>
  <si>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</si>
  <si>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</si>
  <si>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</si>
  <si>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</si>
  <si>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</si>
  <si>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</si>
  <si>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</si>
  <si>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</si>
  <si>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</si>
  <si>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</si>
  <si>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</si>
  <si>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</si>
  <si>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</si>
  <si>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</si>
  <si>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</si>
  <si>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</si>
  <si>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</si>
  <si>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</si>
  <si>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</si>
  <si>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</si>
  <si>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</si>
  <si>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</si>
  <si>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</si>
  <si>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</si>
  <si>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</si>
  <si>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</si>
  <si>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</si>
  <si>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</si>
  <si>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</si>
  <si>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</si>
  <si>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</si>
  <si>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</si>
  <si>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</si>
  <si>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</si>
  <si>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</si>
  <si>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</si>
  <si>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</si>
  <si>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</si>
  <si>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</si>
  <si>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</si>
  <si>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</si>
  <si>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</si>
  <si>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</si>
  <si>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</si>
  <si>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</si>
  <si>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</si>
  <si>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</si>
  <si>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</si>
  <si>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</si>
  <si>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</si>
  <si>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</si>
  <si>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</si>
  <si>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</si>
  <si>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</si>
  <si>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</si>
  <si>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</si>
  <si>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</si>
  <si>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</si>
  <si>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</si>
  <si>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</si>
  <si>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</si>
  <si>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</si>
  <si>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</si>
  <si>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</si>
  <si>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</si>
  <si>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</si>
  <si>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</si>
  <si>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</si>
  <si>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</si>
  <si>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</si>
  <si>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</si>
  <si>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</si>
  <si>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</si>
  <si>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</si>
  <si>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</si>
  <si>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</si>
  <si>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</si>
  <si>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</si>
  <si>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</si>
  <si>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</si>
  <si>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</si>
  <si>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</si>
  <si>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</si>
  <si>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</si>
  <si>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</si>
  <si>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</si>
  <si>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</si>
  <si>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</si>
  <si>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</si>
  <si>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</si>
  <si>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</si>
  <si>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</si>
  <si>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</si>
  <si>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</si>
  <si>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</si>
  <si>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</si>
  <si>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</si>
  <si>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</si>
  <si>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</si>
  <si>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</si>
  <si>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</si>
  <si>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</si>
  <si>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</si>
  <si>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</si>
  <si>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</si>
  <si>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</si>
  <si>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</si>
  <si>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</si>
  <si>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</si>
  <si>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</si>
  <si>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</si>
  <si>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</si>
  <si>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</si>
  <si>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</si>
  <si>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</si>
  <si>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</si>
  <si>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</si>
  <si>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</si>
  <si>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</si>
  <si>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</si>
  <si>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</si>
  <si>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</si>
  <si>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</si>
  <si>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</si>
  <si>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</si>
  <si>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</si>
  <si>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</si>
  <si>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</si>
  <si>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</si>
  <si>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</si>
  <si>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</si>
  <si>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</si>
  <si>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</si>
  <si>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</si>
  <si>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</si>
  <si>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</si>
  <si>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</si>
  <si>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</si>
  <si>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</si>
  <si>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</si>
  <si>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</si>
  <si>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</si>
  <si>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</si>
  <si>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</si>
  <si>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</si>
  <si>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</si>
  <si>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</si>
  <si>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</si>
  <si>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</si>
  <si>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</si>
  <si>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</si>
  <si>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</si>
  <si>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</si>
  <si>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</si>
  <si>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</si>
  <si>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</si>
  <si>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</si>
  <si>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</si>
  <si>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</si>
  <si>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</si>
  <si>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</si>
  <si>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</si>
  <si>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</si>
  <si>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</si>
  <si>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</si>
  <si>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</si>
  <si>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</si>
  <si>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</si>
  <si>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</si>
  <si>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</si>
  <si>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</si>
  <si>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</si>
  <si>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</si>
  <si>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</si>
  <si>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</si>
  <si>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</si>
  <si>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</si>
  <si>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</si>
  <si>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</si>
  <si>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</si>
  <si>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</si>
  <si>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</si>
  <si>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</si>
  <si>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</si>
  <si>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</si>
  <si>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</si>
  <si>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</si>
  <si>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</si>
  <si>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</si>
  <si>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</si>
  <si>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</si>
  <si>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</si>
  <si>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</si>
  <si>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</si>
  <si>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</si>
  <si>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</si>
  <si>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</si>
  <si>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</si>
  <si>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</si>
  <si>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</si>
  <si>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</si>
  <si>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</si>
  <si>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</si>
  <si>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</si>
  <si>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</si>
  <si>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</si>
  <si>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</si>
  <si>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</si>
  <si>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</si>
  <si>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8" type="noConversion"/>
  </si>
  <si>
    <t>综合单件金额</t>
    <phoneticPr fontId="38" type="noConversion"/>
  </si>
  <si>
    <t>座椅单件金额</t>
    <phoneticPr fontId="38" type="noConversion"/>
  </si>
  <si>
    <t>后视镜单件金额</t>
    <phoneticPr fontId="38" type="noConversion"/>
  </si>
  <si>
    <t>综合占收入比率</t>
    <phoneticPr fontId="38" type="noConversion"/>
  </si>
  <si>
    <t>后视镜占收入比率</t>
    <phoneticPr fontId="38" type="noConversion"/>
  </si>
  <si>
    <t>座椅占收入比率</t>
    <phoneticPr fontId="38" type="noConversion"/>
  </si>
  <si>
    <t xml:space="preserve">    年</t>
    <phoneticPr fontId="38" type="noConversion"/>
  </si>
  <si>
    <t>一汽解放</t>
    <phoneticPr fontId="38" type="noConversion"/>
  </si>
  <si>
    <t>2026年</t>
  </si>
  <si>
    <t>材料成本</t>
    <phoneticPr fontId="38" type="noConversion"/>
  </si>
  <si>
    <t>2027年</t>
  </si>
  <si>
    <t>2023年</t>
    <phoneticPr fontId="38" type="noConversion"/>
  </si>
  <si>
    <t>送货地点</t>
  </si>
  <si>
    <t>现汇或承兑的比例</t>
  </si>
  <si>
    <t>无</t>
  </si>
  <si>
    <t>包含所有的主、辅料</t>
  </si>
  <si>
    <t>开发费分摊情况</t>
  </si>
  <si>
    <t>产品应用场景</t>
  </si>
  <si>
    <t>三包周期</t>
  </si>
  <si>
    <t>涂红色处为必填项</t>
  </si>
  <si>
    <r>
      <t>2023</t>
    </r>
    <r>
      <rPr>
        <b/>
        <sz val="10"/>
        <rFont val="宋体"/>
        <family val="3"/>
        <charset val="134"/>
      </rPr>
      <t>年</t>
    </r>
    <phoneticPr fontId="38" type="noConversion"/>
  </si>
  <si>
    <r>
      <t>2024年</t>
    </r>
    <r>
      <rPr>
        <b/>
        <sz val="10"/>
        <rFont val="宋体"/>
        <family val="3"/>
        <charset val="134"/>
      </rPr>
      <t/>
    </r>
  </si>
  <si>
    <r>
      <t>2025年</t>
    </r>
    <r>
      <rPr>
        <b/>
        <sz val="10"/>
        <rFont val="宋体"/>
        <family val="3"/>
        <charset val="134"/>
      </rPr>
      <t/>
    </r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</si>
  <si>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</si>
  <si>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</si>
  <si>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t>成本预估由项目提供差异件清单，按现有产品推算出来。供应商年度降价与销价降价幅度同步。</t>
    <phoneticPr fontId="38" type="noConversion"/>
  </si>
  <si>
    <t>附加值</t>
    <phoneticPr fontId="38" type="noConversion"/>
  </si>
  <si>
    <t>附加值率</t>
    <phoneticPr fontId="38" type="noConversion"/>
  </si>
  <si>
    <t xml:space="preserve">2023年  </t>
    <phoneticPr fontId="38" type="noConversion"/>
  </si>
  <si>
    <t xml:space="preserve">2024年  </t>
    <phoneticPr fontId="38" type="noConversion"/>
  </si>
  <si>
    <t xml:space="preserve">2025年  </t>
    <phoneticPr fontId="38" type="noConversion"/>
  </si>
  <si>
    <t xml:space="preserve">2026年  </t>
    <phoneticPr fontId="38" type="noConversion"/>
  </si>
  <si>
    <t xml:space="preserve">2027年  </t>
    <phoneticPr fontId="38" type="noConversion"/>
  </si>
  <si>
    <t>长春</t>
  </si>
  <si>
    <t>承兑</t>
  </si>
  <si>
    <t>否</t>
  </si>
  <si>
    <t>现场服务</t>
  </si>
  <si>
    <t>是</t>
  </si>
  <si>
    <t>自承担</t>
  </si>
  <si>
    <t>18个月</t>
  </si>
  <si>
    <t>2028年</t>
  </si>
  <si>
    <t>按长春2023年预算+财务费用按集团</t>
    <phoneticPr fontId="38" type="noConversion"/>
  </si>
  <si>
    <t>供应商年降：     5  年3%</t>
    <phoneticPr fontId="38" type="noConversion"/>
  </si>
  <si>
    <t>40套用于验证交付，10套用于实验</t>
  </si>
  <si>
    <t>2023年</t>
    <phoneticPr fontId="38" type="noConversion"/>
  </si>
  <si>
    <t xml:space="preserve">2028年  </t>
    <phoneticPr fontId="38" type="noConversion"/>
  </si>
  <si>
    <r>
      <t>2028年</t>
    </r>
    <r>
      <rPr>
        <b/>
        <sz val="10"/>
        <rFont val="宋体"/>
        <family val="3"/>
        <charset val="134"/>
      </rPr>
      <t/>
    </r>
  </si>
  <si>
    <t>销售价格（未税）：由营销或项目经理提供，包括年降3%。</t>
    <phoneticPr fontId="38" type="noConversion"/>
  </si>
  <si>
    <t>预测工厂产能满足客户订单，费用按长春工厂2023年预算。</t>
    <phoneticPr fontId="38" type="noConversion"/>
  </si>
  <si>
    <t xml:space="preserve">一汽座椅项目研发费用预算表 </t>
    <phoneticPr fontId="38" type="noConversion"/>
  </si>
  <si>
    <t>客户及供应商交流成本、样品状态事宜，预计2-3次，单次1-2人；</t>
  </si>
  <si>
    <t>产品实验运费，顾客样件交付运费</t>
  </si>
  <si>
    <t>DVP试验及强检认证费用</t>
  </si>
  <si>
    <t>单位：未税、元</t>
    <phoneticPr fontId="38" type="noConversion"/>
  </si>
  <si>
    <t>投资收益分析</t>
    <phoneticPr fontId="38" type="noConversion"/>
  </si>
  <si>
    <t>中短途物流车</t>
  </si>
  <si>
    <t>工厂结算的，需对工厂按制度开票，抵减开发费</t>
    <phoneticPr fontId="38" type="noConversion"/>
  </si>
  <si>
    <t>副驾底支架12种钣金件冲压模具</t>
  </si>
  <si>
    <t>解放J6G车型中高配款3.1C自适应座椅项目</t>
    <phoneticPr fontId="38" type="noConversion"/>
  </si>
  <si>
    <t>ZY2347</t>
    <phoneticPr fontId="38" type="noConversion"/>
  </si>
  <si>
    <t>绞架固定块、上限位缓冲块</t>
  </si>
  <si>
    <t>座框焊接总成/下框焊接总成</t>
  </si>
  <si>
    <t>河北</t>
  </si>
  <si>
    <t>同PH13</t>
  </si>
  <si>
    <t>小计</t>
    <phoneticPr fontId="38" type="noConversion"/>
  </si>
  <si>
    <t>驾驶员座总成</t>
    <phoneticPr fontId="35" type="noConversion"/>
  </si>
  <si>
    <t>前座总成</t>
    <phoneticPr fontId="35" type="noConversion"/>
  </si>
  <si>
    <t xml:space="preserve">超纤皮面料、通风加热、自适应阻尼、三点式安全带、按摩功能、双扶手、气动腰脱、气动升降；                                 </t>
    <phoneticPr fontId="35" type="noConversion"/>
  </si>
  <si>
    <t xml:space="preserve">超纤皮面料、通风加热、自适应阻尼、三点式安全带、双扶手、气动腰脱、气功升降； </t>
    <phoneticPr fontId="35" type="noConversion"/>
  </si>
  <si>
    <t xml:space="preserve">超纤皮面料、旋转功能、滑轨功能、三点式安全带；                                              </t>
    <phoneticPr fontId="35" type="noConversion"/>
  </si>
  <si>
    <t>超纤皮面料、滑轨功能、三点式安全带；</t>
    <phoneticPr fontId="35" type="noConversion"/>
  </si>
  <si>
    <t>/</t>
    <phoneticPr fontId="35" type="noConversion"/>
  </si>
  <si>
    <t>变动费用参考长春工厂2023年实际费率。</t>
    <phoneticPr fontId="38" type="noConversion"/>
  </si>
  <si>
    <t>研发费用按照平均年限摊销。</t>
    <phoneticPr fontId="38" type="noConversion"/>
  </si>
  <si>
    <t>财务费用按集团2023年实际。</t>
    <phoneticPr fontId="38" type="noConversion"/>
  </si>
  <si>
    <t>原材料成本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</si>
</sst>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</numFmts>
  <fonts count="49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color rgb="FFFF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1"/>
      <color rgb="FFFF0000"/>
      <name val="微软雅黑"/>
      <family val="2"/>
      <charset val="134"/>
    </font>
    <font>
      <b/>
      <sz val="16"/>
      <color theme="1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28" fillId="0" borderId="0"/>
    <xf numFmtId="9" fontId="37" fillId="0" borderId="0" applyFont="0" applyFill="0" applyBorder="0" applyAlignment="0" applyProtection="0">
      <alignment vertical="center"/>
    </xf>
    <xf numFmtId="0" fontId="31" fillId="0" borderId="0"/>
    <xf numFmtId="0" fontId="30" fillId="0" borderId="0">
      <alignment vertical="center"/>
    </xf>
    <xf numFmtId="0" fontId="29" fillId="0" borderId="0"/>
    <xf numFmtId="1" fontId="32" fillId="0" borderId="1" applyBorder="0"/>
    <xf numFmtId="43" fontId="33" fillId="0" borderId="0" applyFont="0" applyFill="0" applyBorder="0" applyAlignment="0" applyProtection="0">
      <alignment vertical="center"/>
    </xf>
    <xf numFmtId="0" fontId="29" fillId="0" borderId="0"/>
    <xf numFmtId="0" fontId="40" fillId="0" borderId="1" applyNumberFormat="0" applyFill="0" applyBorder="0" applyAlignment="0" applyProtection="0">
      <alignment vertical="center"/>
    </xf>
  </cellStyleXfs>
  <cellXfs count="27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178" fontId="7" fillId="3" borderId="1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77" fontId="9" fillId="5" borderId="1" xfId="4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0" fillId="0" borderId="1" xfId="4" applyNumberFormat="1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0" fillId="0" borderId="4" xfId="4" applyNumberFormat="1" applyFont="1" applyFill="1" applyBorder="1" applyAlignment="1">
      <alignment horizontal="center" vertical="center"/>
    </xf>
    <xf numFmtId="177" fontId="10" fillId="0" borderId="4" xfId="4" applyNumberFormat="1" applyFont="1" applyFill="1" applyBorder="1" applyAlignment="1">
      <alignment horizontal="left" vertical="center" wrapText="1"/>
    </xf>
    <xf numFmtId="0" fontId="13" fillId="4" borderId="1" xfId="2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43" fontId="16" fillId="0" borderId="0" xfId="1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9" fontId="16" fillId="0" borderId="1" xfId="3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6" fillId="0" borderId="1" xfId="1" applyFont="1" applyFill="1" applyBorder="1">
      <alignment vertical="center"/>
    </xf>
    <xf numFmtId="0" fontId="15" fillId="0" borderId="1" xfId="0" applyFont="1" applyFill="1" applyBorder="1">
      <alignment vertical="center"/>
    </xf>
    <xf numFmtId="9" fontId="16" fillId="0" borderId="1" xfId="3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43" fontId="16" fillId="0" borderId="1" xfId="0" applyNumberFormat="1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6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6" fillId="0" borderId="0" xfId="0" applyNumberFormat="1" applyFont="1" applyFill="1">
      <alignment vertical="center"/>
    </xf>
    <xf numFmtId="0" fontId="19" fillId="0" borderId="0" xfId="0" applyFont="1" applyFill="1">
      <alignment vertical="center"/>
    </xf>
    <xf numFmtId="179" fontId="16" fillId="0" borderId="0" xfId="0" applyNumberFormat="1" applyFont="1" applyFill="1">
      <alignment vertical="center"/>
    </xf>
    <xf numFmtId="1" fontId="10" fillId="4" borderId="0" xfId="2" applyNumberFormat="1" applyFont="1" applyFill="1" applyProtection="1"/>
    <xf numFmtId="0" fontId="10" fillId="4" borderId="0" xfId="2" applyFont="1" applyFill="1" applyProtection="1"/>
    <xf numFmtId="0" fontId="20" fillId="4" borderId="0" xfId="2" applyFont="1" applyFill="1" applyAlignment="1" applyProtection="1">
      <alignment horizontal="centerContinuous"/>
    </xf>
    <xf numFmtId="0" fontId="10" fillId="4" borderId="0" xfId="2" applyFont="1" applyFill="1" applyAlignment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Protection="1"/>
    <xf numFmtId="0" fontId="10" fillId="4" borderId="5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2" xfId="2" applyFont="1" applyFill="1" applyBorder="1" applyAlignment="1" applyProtection="1">
      <alignment horizontal="center"/>
    </xf>
    <xf numFmtId="1" fontId="12" fillId="4" borderId="2" xfId="7" applyFont="1" applyFill="1" applyBorder="1"/>
    <xf numFmtId="1" fontId="10" fillId="4" borderId="2" xfId="7" applyFont="1" applyFill="1" applyBorder="1"/>
    <xf numFmtId="0" fontId="10" fillId="4" borderId="6" xfId="2" applyFont="1" applyFill="1" applyBorder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6" borderId="1" xfId="2" applyFont="1" applyFill="1" applyBorder="1" applyProtection="1"/>
    <xf numFmtId="178" fontId="10" fillId="6" borderId="1" xfId="1" applyNumberFormat="1" applyFont="1" applyFill="1" applyBorder="1" applyAlignment="1" applyProtection="1"/>
    <xf numFmtId="0" fontId="10" fillId="4" borderId="1" xfId="2" applyFont="1" applyFill="1" applyBorder="1" applyProtection="1"/>
    <xf numFmtId="178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Protection="1"/>
    <xf numFmtId="0" fontId="10" fillId="4" borderId="10" xfId="2" applyFont="1" applyFill="1" applyBorder="1" applyProtection="1"/>
    <xf numFmtId="0" fontId="10" fillId="4" borderId="11" xfId="2" applyFont="1" applyFill="1" applyBorder="1" applyProtection="1"/>
    <xf numFmtId="0" fontId="10" fillId="4" borderId="0" xfId="2" applyFont="1" applyFill="1" applyBorder="1" applyProtection="1"/>
    <xf numFmtId="176" fontId="10" fillId="4" borderId="0" xfId="2" applyNumberFormat="1" applyFont="1" applyFill="1" applyBorder="1" applyProtection="1"/>
    <xf numFmtId="10" fontId="10" fillId="4" borderId="0" xfId="2" applyNumberFormat="1" applyFont="1" applyFill="1" applyBorder="1" applyProtection="1"/>
    <xf numFmtId="1" fontId="10" fillId="4" borderId="0" xfId="2" applyNumberFormat="1" applyFont="1" applyFill="1" applyBorder="1" applyProtection="1"/>
    <xf numFmtId="0" fontId="10" fillId="4" borderId="12" xfId="2" applyFont="1" applyFill="1" applyBorder="1" applyProtection="1"/>
    <xf numFmtId="0" fontId="10" fillId="4" borderId="8" xfId="2" applyFont="1" applyFill="1" applyBorder="1" applyProtection="1"/>
    <xf numFmtId="2" fontId="10" fillId="4" borderId="8" xfId="2" applyNumberFormat="1" applyFont="1" applyFill="1" applyBorder="1" applyProtection="1"/>
    <xf numFmtId="0" fontId="10" fillId="4" borderId="3" xfId="2" applyFont="1" applyFill="1" applyBorder="1"/>
    <xf numFmtId="1" fontId="10" fillId="4" borderId="6" xfId="7" applyFont="1" applyFill="1" applyBorder="1" applyAlignment="1">
      <alignment horizontal="center"/>
    </xf>
    <xf numFmtId="0" fontId="10" fillId="4" borderId="13" xfId="2" applyFont="1" applyFill="1" applyBorder="1" applyProtection="1"/>
    <xf numFmtId="0" fontId="10" fillId="4" borderId="14" xfId="2" applyFont="1" applyFill="1" applyBorder="1" applyProtection="1"/>
    <xf numFmtId="0" fontId="10" fillId="4" borderId="15" xfId="2" applyFont="1" applyFill="1" applyBorder="1" applyProtection="1"/>
    <xf numFmtId="0" fontId="15" fillId="0" borderId="0" xfId="0" applyFont="1">
      <alignment vertical="center"/>
    </xf>
    <xf numFmtId="0" fontId="16" fillId="0" borderId="0" xfId="0" applyFont="1" applyBorder="1">
      <alignment vertical="center"/>
    </xf>
    <xf numFmtId="0" fontId="16" fillId="0" borderId="0" xfId="0" applyFont="1">
      <alignment vertical="center"/>
    </xf>
    <xf numFmtId="43" fontId="16" fillId="0" borderId="0" xfId="1" applyFont="1">
      <alignment vertical="center"/>
    </xf>
    <xf numFmtId="43" fontId="22" fillId="0" borderId="1" xfId="1" applyFont="1" applyFill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/>
    </xf>
    <xf numFmtId="0" fontId="16" fillId="3" borderId="1" xfId="0" applyFont="1" applyFill="1" applyBorder="1">
      <alignment vertical="center"/>
    </xf>
    <xf numFmtId="0" fontId="23" fillId="0" borderId="1" xfId="0" applyFont="1" applyFill="1" applyBorder="1">
      <alignment vertical="center"/>
    </xf>
    <xf numFmtId="0" fontId="16" fillId="0" borderId="1" xfId="0" applyFont="1" applyBorder="1">
      <alignment vertical="center"/>
    </xf>
    <xf numFmtId="10" fontId="15" fillId="0" borderId="1" xfId="3" applyNumberFormat="1" applyFont="1" applyBorder="1" applyAlignment="1">
      <alignment vertical="center"/>
    </xf>
    <xf numFmtId="178" fontId="15" fillId="0" borderId="1" xfId="1" applyNumberFormat="1" applyFont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178" fontId="16" fillId="0" borderId="1" xfId="1" applyNumberFormat="1" applyFont="1" applyBorder="1" applyAlignment="1">
      <alignment horizontal="center" vertical="center"/>
    </xf>
    <xf numFmtId="10" fontId="16" fillId="0" borderId="1" xfId="3" applyNumberFormat="1" applyFont="1" applyBorder="1">
      <alignment vertical="center"/>
    </xf>
    <xf numFmtId="10" fontId="16" fillId="0" borderId="0" xfId="3" applyNumberFormat="1" applyFont="1" applyBorder="1">
      <alignment vertical="center"/>
    </xf>
    <xf numFmtId="43" fontId="16" fillId="0" borderId="0" xfId="1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10" fontId="16" fillId="0" borderId="1" xfId="3" applyNumberFormat="1" applyFont="1" applyFill="1" applyBorder="1" applyAlignment="1">
      <alignment horizontal="center" vertical="center"/>
    </xf>
    <xf numFmtId="10" fontId="16" fillId="0" borderId="1" xfId="3" applyNumberFormat="1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3" fontId="16" fillId="0" borderId="1" xfId="1" applyFont="1" applyBorder="1">
      <alignment vertical="center"/>
    </xf>
    <xf numFmtId="178" fontId="16" fillId="0" borderId="1" xfId="1" applyNumberFormat="1" applyFont="1" applyBorder="1">
      <alignment vertical="center"/>
    </xf>
    <xf numFmtId="43" fontId="16" fillId="0" borderId="0" xfId="0" applyNumberFormat="1" applyFont="1" applyFill="1" applyBorder="1">
      <alignment vertical="center"/>
    </xf>
    <xf numFmtId="0" fontId="15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16" fillId="0" borderId="5" xfId="0" applyFont="1" applyBorder="1">
      <alignment vertical="center"/>
    </xf>
    <xf numFmtId="0" fontId="24" fillId="0" borderId="0" xfId="0" applyFont="1">
      <alignment vertical="center"/>
    </xf>
    <xf numFmtId="0" fontId="25" fillId="0" borderId="1" xfId="0" applyFont="1" applyBorder="1" applyAlignment="1">
      <alignment horizontal="center" vertical="center" wrapText="1" readingOrder="1"/>
    </xf>
    <xf numFmtId="0" fontId="24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left" vertical="center" wrapText="1" readingOrder="1"/>
    </xf>
    <xf numFmtId="0" fontId="26" fillId="0" borderId="1" xfId="0" applyFont="1" applyFill="1" applyBorder="1" applyAlignment="1">
      <alignment horizontal="left" vertical="center" wrapText="1" readingOrder="1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7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1" fillId="0" borderId="1" xfId="1" applyFont="1" applyFill="1" applyBorder="1">
      <alignment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0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7" fillId="0" borderId="0" xfId="0" applyFont="1" applyFill="1">
      <alignment vertical="center"/>
    </xf>
    <xf numFmtId="43" fontId="16" fillId="7" borderId="0" xfId="0" applyNumberFormat="1" applyFont="1" applyFill="1">
      <alignment vertical="center"/>
    </xf>
    <xf numFmtId="0" fontId="16" fillId="7" borderId="0" xfId="0" applyFont="1" applyFill="1">
      <alignment vertical="center"/>
    </xf>
    <xf numFmtId="0" fontId="19" fillId="7" borderId="0" xfId="0" applyFont="1" applyFill="1">
      <alignment vertical="center"/>
    </xf>
    <xf numFmtId="0" fontId="14" fillId="7" borderId="0" xfId="0" applyFont="1" applyFill="1">
      <alignment vertical="center"/>
    </xf>
    <xf numFmtId="43" fontId="41" fillId="8" borderId="1" xfId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4" fillId="0" borderId="1" xfId="1" applyFont="1" applyFill="1" applyBorder="1">
      <alignment vertical="center"/>
    </xf>
    <xf numFmtId="0" fontId="46" fillId="0" borderId="16" xfId="0" applyFont="1" applyBorder="1" applyAlignment="1">
      <alignment horizontal="center" vertical="center" wrapText="1" readingOrder="1"/>
    </xf>
    <xf numFmtId="9" fontId="16" fillId="0" borderId="7" xfId="3" applyFont="1" applyFill="1" applyBorder="1">
      <alignment vertical="center"/>
    </xf>
    <xf numFmtId="178" fontId="16" fillId="7" borderId="1" xfId="1" applyNumberFormat="1" applyFont="1" applyFill="1" applyBorder="1" applyAlignment="1">
      <alignment horizontal="center" vertical="center"/>
    </xf>
    <xf numFmtId="0" fontId="27" fillId="3" borderId="1" xfId="0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 wrapText="1"/>
    </xf>
    <xf numFmtId="0" fontId="5" fillId="9" borderId="0" xfId="0" applyFont="1" applyFill="1">
      <alignment vertical="center"/>
    </xf>
    <xf numFmtId="0" fontId="41" fillId="0" borderId="1" xfId="0" applyFont="1" applyBorder="1" applyAlignment="1">
      <alignment horizontal="center" vertical="center"/>
    </xf>
    <xf numFmtId="0" fontId="41" fillId="9" borderId="1" xfId="0" applyFont="1" applyFill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43" fontId="15" fillId="0" borderId="1" xfId="0" applyNumberFormat="1" applyFont="1" applyBorder="1">
      <alignment vertical="center"/>
    </xf>
    <xf numFmtId="43" fontId="15" fillId="0" borderId="1" xfId="1" applyFont="1" applyBorder="1">
      <alignment vertical="center"/>
    </xf>
    <xf numFmtId="0" fontId="47" fillId="0" borderId="13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left" vertical="top" wrapText="1"/>
    </xf>
    <xf numFmtId="0" fontId="45" fillId="0" borderId="1" xfId="0" applyFont="1" applyBorder="1" applyAlignment="1">
      <alignment horizontal="center" vertical="center" wrapText="1" readingOrder="1"/>
    </xf>
    <xf numFmtId="43" fontId="0" fillId="0" borderId="1" xfId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27" fillId="3" borderId="1" xfId="0" applyFont="1" applyFill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43" fontId="2" fillId="0" borderId="1" xfId="0" applyNumberFormat="1" applyFont="1" applyBorder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27" fillId="0" borderId="0" xfId="0" applyFont="1">
      <alignment vertical="center"/>
    </xf>
    <xf numFmtId="43" fontId="0" fillId="0" borderId="0" xfId="0" applyNumberFormat="1">
      <alignment vertical="center"/>
    </xf>
    <xf numFmtId="0" fontId="19" fillId="0" borderId="0" xfId="0" applyFont="1">
      <alignment vertical="center"/>
    </xf>
    <xf numFmtId="0" fontId="16" fillId="10" borderId="1" xfId="0" applyFont="1" applyFill="1" applyBorder="1" applyAlignment="1">
      <alignment horizontal="center" vertical="center"/>
    </xf>
    <xf numFmtId="0" fontId="23" fillId="10" borderId="1" xfId="0" applyFont="1" applyFill="1" applyBorder="1">
      <alignment vertical="center"/>
    </xf>
    <xf numFmtId="178" fontId="15" fillId="10" borderId="1" xfId="1" applyNumberFormat="1" applyFont="1" applyFill="1" applyBorder="1" applyAlignment="1">
      <alignment horizontal="center" vertical="center"/>
    </xf>
    <xf numFmtId="0" fontId="18" fillId="10" borderId="1" xfId="0" applyFont="1" applyFill="1" applyBorder="1">
      <alignment vertical="center"/>
    </xf>
    <xf numFmtId="0" fontId="47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21" fillId="0" borderId="0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48" fillId="0" borderId="8" xfId="0" applyFont="1" applyBorder="1" applyAlignment="1">
      <alignment horizontal="center" vertical="center"/>
    </xf>
    <xf numFmtId="0" fontId="12" fillId="4" borderId="1" xfId="2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43" fontId="17" fillId="0" borderId="5" xfId="1" applyFont="1" applyFill="1" applyBorder="1" applyAlignment="1">
      <alignment horizontal="center" vertical="center" wrapText="1"/>
    </xf>
    <xf numFmtId="43" fontId="17" fillId="0" borderId="7" xfId="1" applyFont="1" applyFill="1" applyBorder="1" applyAlignment="1">
      <alignment horizontal="center" vertical="center" wrapText="1"/>
    </xf>
    <xf numFmtId="43" fontId="17" fillId="0" borderId="6" xfId="1" applyFont="1" applyFill="1" applyBorder="1" applyAlignment="1">
      <alignment horizontal="center" vertical="center" wrapText="1"/>
    </xf>
    <xf numFmtId="43" fontId="16" fillId="0" borderId="4" xfId="1" applyFont="1" applyFill="1" applyBorder="1" applyAlignment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43" fontId="16" fillId="0" borderId="3" xfId="1" applyFont="1" applyFill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/>
    </xf>
    <xf numFmtId="43" fontId="16" fillId="2" borderId="4" xfId="1" applyFont="1" applyFill="1" applyBorder="1" applyAlignment="1">
      <alignment horizontal="center" vertical="center"/>
    </xf>
    <xf numFmtId="43" fontId="16" fillId="2" borderId="2" xfId="1" applyFont="1" applyFill="1" applyBorder="1" applyAlignment="1">
      <alignment horizontal="center" vertical="center"/>
    </xf>
    <xf numFmtId="43" fontId="16" fillId="2" borderId="3" xfId="1" applyFont="1" applyFill="1" applyBorder="1" applyAlignment="1">
      <alignment horizontal="center" vertical="center"/>
    </xf>
    <xf numFmtId="0" fontId="8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42" fillId="0" borderId="11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 readingOrder="1"/>
    </xf>
    <xf numFmtId="0" fontId="7" fillId="3" borderId="7" xfId="0" applyFont="1" applyFill="1" applyBorder="1" applyAlignment="1">
      <alignment horizontal="center" vertical="center" wrapText="1" readingOrder="1"/>
    </xf>
    <xf numFmtId="0" fontId="7" fillId="3" borderId="6" xfId="0" applyFont="1" applyFill="1" applyBorder="1" applyAlignment="1">
      <alignment horizontal="center" vertical="center" wrapText="1" readingOrder="1"/>
    </xf>
    <xf numFmtId="43" fontId="2" fillId="0" borderId="1" xfId="1" applyFont="1" applyBorder="1">
      <alignment vertical="center"/>
    </xf>
    <xf numFmtId="180" fontId="2" fillId="0" borderId="1" xfId="3" applyNumberFormat="1" applyFont="1" applyBorder="1">
      <alignment vertical="center"/>
    </xf>
  </cellXfs>
  <cellStyles count="11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12" sqref="C12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36" customFormat="1" ht="35.25" customHeight="1">
      <c r="A2" s="137" t="s">
        <v>0</v>
      </c>
      <c r="B2" s="137" t="s">
        <v>1</v>
      </c>
      <c r="C2" s="137" t="s">
        <v>2</v>
      </c>
      <c r="D2" s="138"/>
    </row>
    <row r="3" spans="1:4" s="136" customFormat="1" ht="33.75" customHeight="1">
      <c r="A3" s="139">
        <v>1</v>
      </c>
      <c r="B3" s="139" t="s">
        <v>3</v>
      </c>
      <c r="C3" s="140" t="s">
        <v>4</v>
      </c>
      <c r="D3" s="138"/>
    </row>
    <row r="4" spans="1:4" s="136" customFormat="1" ht="33.75" customHeight="1">
      <c r="A4" s="139">
        <v>2</v>
      </c>
      <c r="B4" s="139" t="s">
        <v>5</v>
      </c>
      <c r="C4" s="140" t="s">
        <v>267</v>
      </c>
    </row>
    <row r="5" spans="1:4" s="136" customFormat="1" ht="33.75" customHeight="1">
      <c r="A5" s="139">
        <v>3</v>
      </c>
      <c r="B5" s="210" t="s">
        <v>6</v>
      </c>
      <c r="C5" s="141" t="s">
        <v>245</v>
      </c>
    </row>
    <row r="6" spans="1:4" s="136" customFormat="1" ht="33.75" customHeight="1">
      <c r="A6" s="139">
        <v>4</v>
      </c>
      <c r="B6" s="211"/>
      <c r="C6" s="140" t="s">
        <v>7</v>
      </c>
    </row>
    <row r="7" spans="1:4" s="136" customFormat="1" ht="33.75" customHeight="1">
      <c r="A7" s="139">
        <v>5</v>
      </c>
      <c r="B7" s="142" t="s">
        <v>8</v>
      </c>
      <c r="C7" s="140" t="s">
        <v>292</v>
      </c>
    </row>
    <row r="8" spans="1:4" s="136" customFormat="1" ht="33.75" customHeight="1">
      <c r="A8" s="139">
        <v>6</v>
      </c>
      <c r="B8" s="210" t="s">
        <v>9</v>
      </c>
      <c r="C8" s="140" t="s">
        <v>268</v>
      </c>
    </row>
    <row r="9" spans="1:4" s="136" customFormat="1" ht="33.75" customHeight="1">
      <c r="A9" s="139">
        <v>7</v>
      </c>
      <c r="B9" s="211"/>
      <c r="C9" s="140" t="s">
        <v>293</v>
      </c>
    </row>
    <row r="10" spans="1:4" s="136" customFormat="1" ht="33.75" customHeight="1">
      <c r="A10" s="139">
        <v>8</v>
      </c>
      <c r="B10" s="211"/>
      <c r="C10" s="141" t="s">
        <v>294</v>
      </c>
    </row>
    <row r="11" spans="1:4" s="136" customFormat="1" ht="33.75" customHeight="1">
      <c r="A11" s="139">
        <v>9</v>
      </c>
      <c r="B11" s="211"/>
      <c r="C11" s="140" t="s">
        <v>10</v>
      </c>
    </row>
    <row r="12" spans="1:4" s="136" customFormat="1" ht="33.75" customHeight="1">
      <c r="A12" s="139">
        <v>10</v>
      </c>
      <c r="B12" s="142" t="s">
        <v>11</v>
      </c>
      <c r="C12" s="140" t="s">
        <v>12</v>
      </c>
    </row>
    <row r="13" spans="1:4" ht="33.75" customHeight="1"/>
    <row r="14" spans="1:4" ht="33.75" customHeight="1"/>
    <row r="15" spans="1:4" ht="33.75" customHeight="1">
      <c r="C15" s="143"/>
    </row>
  </sheetData>
  <mergeCells count="2">
    <mergeCell ref="B5:B6"/>
    <mergeCell ref="B8:B11"/>
  </mergeCells>
  <phoneticPr fontId="38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workbookViewId="0">
      <pane xSplit="6" ySplit="2" topLeftCell="G15" activePane="bottomRight" state="frozen"/>
      <selection pane="topRight"/>
      <selection pane="bottomLeft"/>
      <selection pane="bottomRight" activeCell="C21" sqref="C21"/>
    </sheetView>
  </sheetViews>
  <sheetFormatPr defaultColWidth="9" defaultRowHeight="13.5"/>
  <cols>
    <col min="1" max="1" width="20.625" customWidth="1"/>
    <col min="2" max="2" width="14.25" style="25" customWidth="1"/>
    <col min="3" max="3" width="13.125" customWidth="1"/>
    <col min="4" max="4" width="14.5" customWidth="1"/>
    <col min="5" max="5" width="12.75" customWidth="1"/>
    <col min="6" max="6" width="14.5" customWidth="1"/>
    <col min="7" max="8" width="13.5" customWidth="1"/>
    <col min="9" max="9" width="12.125" customWidth="1"/>
    <col min="10" max="10" width="14.375" customWidth="1"/>
    <col min="11" max="11" width="10.75" customWidth="1"/>
  </cols>
  <sheetData>
    <row r="1" spans="1:10" ht="20.25">
      <c r="A1" s="228" t="s">
        <v>147</v>
      </c>
      <c r="B1" s="228"/>
      <c r="C1" s="228"/>
      <c r="E1" s="229" t="s">
        <v>269</v>
      </c>
      <c r="F1" s="230"/>
      <c r="G1" s="230"/>
      <c r="H1" s="231"/>
    </row>
    <row r="2" spans="1:10" ht="23.45" customHeight="1">
      <c r="A2" s="26" t="s">
        <v>1</v>
      </c>
      <c r="B2" s="27" t="s">
        <v>148</v>
      </c>
      <c r="C2" s="28" t="s">
        <v>149</v>
      </c>
      <c r="E2" s="1" t="s">
        <v>150</v>
      </c>
      <c r="F2" s="1" t="s">
        <v>1</v>
      </c>
      <c r="G2" s="194" t="s">
        <v>151</v>
      </c>
      <c r="H2" s="1" t="s">
        <v>149</v>
      </c>
    </row>
    <row r="3" spans="1:10" ht="15.75" customHeight="1">
      <c r="A3" s="30" t="s">
        <v>152</v>
      </c>
      <c r="B3" s="31"/>
      <c r="C3" s="32"/>
      <c r="E3" s="236" t="s">
        <v>153</v>
      </c>
      <c r="F3" s="2" t="s">
        <v>154</v>
      </c>
      <c r="G3" s="33"/>
      <c r="H3" s="2"/>
      <c r="J3" s="203">
        <f t="shared" ref="J3:J4" si="0">G3/10000</f>
        <v>0</v>
      </c>
    </row>
    <row r="4" spans="1:10" ht="15.75" customHeight="1">
      <c r="A4" s="30" t="s">
        <v>155</v>
      </c>
      <c r="B4" s="31"/>
      <c r="C4" s="34"/>
      <c r="E4" s="237"/>
      <c r="F4" s="2" t="s">
        <v>156</v>
      </c>
      <c r="G4" s="33"/>
      <c r="H4" s="2"/>
      <c r="J4" s="203">
        <f t="shared" si="0"/>
        <v>0</v>
      </c>
    </row>
    <row r="5" spans="1:10" ht="15.75" customHeight="1">
      <c r="A5" s="30" t="s">
        <v>157</v>
      </c>
      <c r="B5" s="35">
        <f>SUM(G3:G4)</f>
        <v>0</v>
      </c>
      <c r="C5" s="32"/>
      <c r="E5" s="238" t="s">
        <v>158</v>
      </c>
      <c r="F5" s="36" t="s">
        <v>159</v>
      </c>
      <c r="G5" s="168">
        <v>9</v>
      </c>
      <c r="H5" s="176" t="s">
        <v>280</v>
      </c>
      <c r="J5" s="203">
        <f>G5/10000</f>
        <v>8.9999999999999998E-4</v>
      </c>
    </row>
    <row r="6" spans="1:10" ht="15.75" customHeight="1">
      <c r="A6" s="30" t="s">
        <v>160</v>
      </c>
      <c r="B6" s="31"/>
      <c r="C6" s="32"/>
      <c r="E6" s="239"/>
      <c r="F6" s="36" t="s">
        <v>161</v>
      </c>
      <c r="G6" s="168">
        <v>80.349999999999994</v>
      </c>
      <c r="H6" s="197" t="s">
        <v>277</v>
      </c>
      <c r="J6" s="203">
        <f t="shared" ref="J6:J21" si="1">G6/10000</f>
        <v>8.0349999999999987E-3</v>
      </c>
    </row>
    <row r="7" spans="1:10" ht="15.75" customHeight="1">
      <c r="A7" s="37" t="s">
        <v>162</v>
      </c>
      <c r="B7" s="35">
        <f>SUM(B3:B6)</f>
        <v>0</v>
      </c>
      <c r="C7" s="32"/>
      <c r="E7" s="239"/>
      <c r="F7" s="36" t="s">
        <v>163</v>
      </c>
      <c r="G7" s="168">
        <v>0</v>
      </c>
      <c r="H7" s="197"/>
      <c r="J7" s="203">
        <f t="shared" si="1"/>
        <v>0</v>
      </c>
    </row>
    <row r="8" spans="1:10" ht="15.75" customHeight="1">
      <c r="A8" s="38" t="s">
        <v>164</v>
      </c>
      <c r="B8" s="35">
        <f>SUM(G5:G12)</f>
        <v>110.35</v>
      </c>
      <c r="C8" s="39"/>
      <c r="E8" s="239"/>
      <c r="F8" s="36" t="s">
        <v>165</v>
      </c>
      <c r="G8" s="168">
        <v>0</v>
      </c>
      <c r="H8" s="40"/>
      <c r="J8" s="203">
        <f t="shared" si="1"/>
        <v>0</v>
      </c>
    </row>
    <row r="9" spans="1:10" ht="15.75" customHeight="1">
      <c r="A9" s="30" t="s">
        <v>166</v>
      </c>
      <c r="B9" s="35">
        <f>SUM(G13:G21)</f>
        <v>21.85</v>
      </c>
      <c r="C9" s="32"/>
      <c r="E9" s="239"/>
      <c r="F9" s="2" t="s">
        <v>167</v>
      </c>
      <c r="G9" s="168">
        <v>21</v>
      </c>
      <c r="H9" s="198" t="s">
        <v>281</v>
      </c>
      <c r="J9" s="203">
        <f t="shared" si="1"/>
        <v>2.0999999999999999E-3</v>
      </c>
    </row>
    <row r="10" spans="1:10" ht="15.75" customHeight="1">
      <c r="A10" s="34" t="s">
        <v>14</v>
      </c>
      <c r="B10" s="35">
        <f>B7+B8+B9</f>
        <v>132.19999999999999</v>
      </c>
      <c r="C10" s="32"/>
      <c r="E10" s="239"/>
      <c r="F10" s="2" t="s">
        <v>168</v>
      </c>
      <c r="G10" s="168">
        <v>0</v>
      </c>
      <c r="H10" s="40"/>
      <c r="J10" s="203">
        <f t="shared" si="1"/>
        <v>0</v>
      </c>
    </row>
    <row r="11" spans="1:10" ht="15.75" customHeight="1">
      <c r="E11" s="239"/>
      <c r="F11" s="2" t="s">
        <v>169</v>
      </c>
      <c r="G11" s="168">
        <v>0</v>
      </c>
      <c r="H11" s="40"/>
      <c r="J11" s="203">
        <f t="shared" si="1"/>
        <v>0</v>
      </c>
    </row>
    <row r="12" spans="1:10" ht="15.75" customHeight="1">
      <c r="E12" s="240"/>
      <c r="F12" s="2" t="s">
        <v>170</v>
      </c>
      <c r="G12" s="168">
        <v>0</v>
      </c>
      <c r="H12" s="198"/>
      <c r="J12" s="203">
        <f t="shared" si="1"/>
        <v>0</v>
      </c>
    </row>
    <row r="13" spans="1:10" ht="15.75" customHeight="1">
      <c r="E13" s="236" t="s">
        <v>46</v>
      </c>
      <c r="F13" s="2" t="s">
        <v>171</v>
      </c>
      <c r="G13" s="168">
        <v>0</v>
      </c>
      <c r="H13" s="40"/>
      <c r="J13" s="203">
        <f t="shared" si="1"/>
        <v>0</v>
      </c>
    </row>
    <row r="14" spans="1:10" ht="15.75" customHeight="1">
      <c r="E14" s="237"/>
      <c r="F14" s="2" t="s">
        <v>172</v>
      </c>
      <c r="G14" s="168">
        <v>0.5</v>
      </c>
      <c r="H14" s="40" t="s">
        <v>270</v>
      </c>
      <c r="J14" s="203">
        <f t="shared" si="1"/>
        <v>5.0000000000000002E-5</v>
      </c>
    </row>
    <row r="15" spans="1:10" ht="15.75" customHeight="1">
      <c r="E15" s="237"/>
      <c r="F15" s="2" t="s">
        <v>173</v>
      </c>
      <c r="G15" s="168">
        <v>0.15</v>
      </c>
      <c r="H15" s="40"/>
      <c r="J15" s="203">
        <f t="shared" si="1"/>
        <v>1.4999999999999999E-5</v>
      </c>
    </row>
    <row r="16" spans="1:10" ht="15.75" customHeight="1">
      <c r="E16" s="237"/>
      <c r="F16" s="2" t="s">
        <v>174</v>
      </c>
      <c r="G16" s="168">
        <v>2.4</v>
      </c>
      <c r="H16" s="40" t="s">
        <v>271</v>
      </c>
      <c r="J16" s="203">
        <f t="shared" si="1"/>
        <v>2.3999999999999998E-4</v>
      </c>
    </row>
    <row r="17" spans="1:11" ht="15.75" customHeight="1">
      <c r="E17" s="237"/>
      <c r="F17" s="2" t="s">
        <v>175</v>
      </c>
      <c r="G17" s="168">
        <v>1.6</v>
      </c>
      <c r="H17" s="40"/>
      <c r="J17" s="203">
        <f t="shared" si="1"/>
        <v>1.6000000000000001E-4</v>
      </c>
    </row>
    <row r="18" spans="1:11" ht="15.75" customHeight="1">
      <c r="E18" s="237"/>
      <c r="F18" s="2" t="s">
        <v>176</v>
      </c>
      <c r="G18" s="168">
        <v>10</v>
      </c>
      <c r="H18" s="40" t="s">
        <v>263</v>
      </c>
      <c r="I18" s="202" t="s">
        <v>276</v>
      </c>
      <c r="J18" s="203">
        <f t="shared" si="1"/>
        <v>1E-3</v>
      </c>
    </row>
    <row r="19" spans="1:11" ht="15.75" customHeight="1">
      <c r="E19" s="237"/>
      <c r="F19" s="2" t="s">
        <v>177</v>
      </c>
      <c r="G19" s="168">
        <v>7.2</v>
      </c>
      <c r="H19" s="40" t="s">
        <v>272</v>
      </c>
      <c r="I19" s="204"/>
      <c r="J19" s="203">
        <f t="shared" si="1"/>
        <v>7.2000000000000005E-4</v>
      </c>
    </row>
    <row r="20" spans="1:11" ht="15.75" customHeight="1">
      <c r="E20" s="237"/>
      <c r="F20" s="2" t="s">
        <v>178</v>
      </c>
      <c r="G20" s="168">
        <v>0</v>
      </c>
      <c r="H20" s="2"/>
      <c r="J20" s="203">
        <f t="shared" si="1"/>
        <v>0</v>
      </c>
    </row>
    <row r="21" spans="1:11" ht="15.75" customHeight="1">
      <c r="E21" s="241"/>
      <c r="F21" s="2" t="s">
        <v>124</v>
      </c>
      <c r="G21" s="168">
        <v>0</v>
      </c>
      <c r="H21" s="2"/>
      <c r="J21" s="203">
        <f t="shared" si="1"/>
        <v>0</v>
      </c>
    </row>
    <row r="22" spans="1:11" ht="15.75" customHeight="1">
      <c r="E22" s="1" t="s">
        <v>14</v>
      </c>
      <c r="F22" s="2"/>
      <c r="G22" s="29">
        <f>SUM(G3:G21)</f>
        <v>132.19999999999999</v>
      </c>
      <c r="H22" s="2"/>
    </row>
    <row r="23" spans="1:11" ht="30.75" customHeight="1">
      <c r="E23" s="232" t="s">
        <v>179</v>
      </c>
      <c r="F23" s="232"/>
      <c r="G23" s="232"/>
      <c r="H23" s="232"/>
    </row>
    <row r="25" spans="1:11" ht="17.25">
      <c r="A25" s="18" t="s">
        <v>1</v>
      </c>
      <c r="B25" s="18" t="s">
        <v>148</v>
      </c>
      <c r="C25" s="18" t="s">
        <v>180</v>
      </c>
      <c r="D25" s="169" t="s">
        <v>264</v>
      </c>
      <c r="E25" s="179" t="s">
        <v>181</v>
      </c>
      <c r="F25" s="179" t="s">
        <v>182</v>
      </c>
      <c r="G25" s="195" t="s">
        <v>228</v>
      </c>
      <c r="H25" s="195" t="s">
        <v>230</v>
      </c>
      <c r="I25" s="179" t="s">
        <v>260</v>
      </c>
      <c r="J25" s="20" t="s">
        <v>14</v>
      </c>
      <c r="K25" s="44" t="s">
        <v>183</v>
      </c>
    </row>
    <row r="26" spans="1:11" ht="16.5">
      <c r="A26" s="41" t="s">
        <v>142</v>
      </c>
      <c r="B26" s="42">
        <f>(B5+B8)*10000</f>
        <v>1103500</v>
      </c>
      <c r="C26" s="43">
        <v>0.05</v>
      </c>
      <c r="D26" s="12">
        <f>B26*(1-C26)/6</f>
        <v>174720.83333333334</v>
      </c>
      <c r="E26" s="12">
        <f>D26</f>
        <v>174720.83333333334</v>
      </c>
      <c r="F26" s="12">
        <f t="shared" ref="F26:I26" si="2">E26</f>
        <v>174720.83333333334</v>
      </c>
      <c r="G26" s="12">
        <f t="shared" si="2"/>
        <v>174720.83333333334</v>
      </c>
      <c r="H26" s="12">
        <f t="shared" si="2"/>
        <v>174720.83333333334</v>
      </c>
      <c r="I26" s="12">
        <f t="shared" si="2"/>
        <v>174720.83333333334</v>
      </c>
      <c r="J26" s="12">
        <f>SUM(D26:I26)</f>
        <v>1048325.0000000001</v>
      </c>
      <c r="K26" s="12">
        <f>B26*0.05</f>
        <v>55175</v>
      </c>
    </row>
    <row r="27" spans="1:11" ht="16.5">
      <c r="A27" s="41" t="s">
        <v>184</v>
      </c>
      <c r="B27" s="189">
        <f>B9*10000</f>
        <v>218500</v>
      </c>
      <c r="C27" s="190"/>
      <c r="D27" s="190">
        <f>B27/6</f>
        <v>36416.666666666664</v>
      </c>
      <c r="E27" s="190">
        <f>D27</f>
        <v>36416.666666666664</v>
      </c>
      <c r="F27" s="190">
        <f t="shared" ref="F27:I27" si="3">E27</f>
        <v>36416.666666666664</v>
      </c>
      <c r="G27" s="190">
        <f t="shared" si="3"/>
        <v>36416.666666666664</v>
      </c>
      <c r="H27" s="190">
        <f t="shared" si="3"/>
        <v>36416.666666666664</v>
      </c>
      <c r="I27" s="190">
        <f t="shared" si="3"/>
        <v>36416.666666666664</v>
      </c>
      <c r="J27" s="190">
        <f>SUM(D27:I27)</f>
        <v>218499.99999999997</v>
      </c>
      <c r="K27" s="12"/>
    </row>
    <row r="28" spans="1:11" ht="16.5">
      <c r="A28" s="233" t="s">
        <v>284</v>
      </c>
      <c r="B28" s="234"/>
      <c r="C28" s="235"/>
      <c r="D28" s="12">
        <f>SUM(D26:D27)</f>
        <v>211137.5</v>
      </c>
      <c r="E28" s="12">
        <f t="shared" ref="E28:H28" si="4">SUM(E26:E27)</f>
        <v>211137.5</v>
      </c>
      <c r="F28" s="12">
        <f t="shared" si="4"/>
        <v>211137.5</v>
      </c>
      <c r="G28" s="12">
        <f t="shared" si="4"/>
        <v>211137.5</v>
      </c>
      <c r="H28" s="12">
        <f t="shared" si="4"/>
        <v>211137.5</v>
      </c>
      <c r="I28" s="12">
        <f t="shared" ref="I28" si="5">SUM(I26:I27)</f>
        <v>211137.5</v>
      </c>
      <c r="J28" s="45"/>
      <c r="K28" s="45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38" type="noConversion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opLeftCell="A4" zoomScale="80" zoomScaleNormal="80" workbookViewId="0">
      <selection activeCell="L17" sqref="L17"/>
    </sheetView>
  </sheetViews>
  <sheetFormatPr defaultColWidth="9" defaultRowHeight="16.5"/>
  <cols>
    <col min="1" max="1" width="14" style="5" customWidth="1"/>
    <col min="2" max="2" width="14.125" style="5" customWidth="1"/>
    <col min="3" max="3" width="18.25" style="5" customWidth="1"/>
    <col min="4" max="8" width="14.25" style="5" customWidth="1"/>
    <col min="9" max="9" width="11.625" style="5" customWidth="1"/>
    <col min="10" max="10" width="9.25" style="5" customWidth="1"/>
    <col min="11" max="11" width="9.125" style="5" customWidth="1"/>
    <col min="12" max="16384" width="9" style="5"/>
  </cols>
  <sheetData>
    <row r="1" spans="1:12" ht="29.25" customHeight="1">
      <c r="A1" s="15" t="s">
        <v>185</v>
      </c>
      <c r="E1" s="16"/>
      <c r="F1" s="16"/>
      <c r="G1" s="16"/>
      <c r="H1" s="16"/>
      <c r="I1" s="16"/>
    </row>
    <row r="2" spans="1:12" ht="24" customHeight="1">
      <c r="A2" s="17" t="s">
        <v>186</v>
      </c>
      <c r="E2" s="16"/>
      <c r="F2" s="16"/>
      <c r="G2" s="16"/>
      <c r="H2" s="16"/>
      <c r="I2" s="16"/>
    </row>
    <row r="3" spans="1:12">
      <c r="C3" s="5" t="s">
        <v>187</v>
      </c>
      <c r="D3" s="8" t="s">
        <v>226</v>
      </c>
      <c r="E3" s="160">
        <v>0.03</v>
      </c>
    </row>
    <row r="5" spans="1:12" ht="27.75" customHeight="1">
      <c r="A5" s="243" t="s">
        <v>188</v>
      </c>
      <c r="B5" s="7" t="s">
        <v>138</v>
      </c>
      <c r="C5" s="191" t="s">
        <v>285</v>
      </c>
      <c r="D5" s="191" t="s">
        <v>285</v>
      </c>
      <c r="E5" s="191" t="s">
        <v>286</v>
      </c>
      <c r="F5" s="191" t="s">
        <v>286</v>
      </c>
      <c r="G5" s="191"/>
      <c r="H5" s="177"/>
      <c r="I5" s="273" t="s">
        <v>14</v>
      </c>
    </row>
    <row r="6" spans="1:12" ht="39.75" customHeight="1">
      <c r="A6" s="243"/>
      <c r="B6" s="7" t="s">
        <v>139</v>
      </c>
      <c r="C6" s="181" t="s">
        <v>291</v>
      </c>
      <c r="D6" s="181" t="s">
        <v>291</v>
      </c>
      <c r="E6" s="181" t="s">
        <v>291</v>
      </c>
      <c r="F6" s="181" t="s">
        <v>291</v>
      </c>
      <c r="G6" s="181"/>
      <c r="H6" s="14"/>
      <c r="I6" s="274"/>
      <c r="K6" s="5">
        <v>100</v>
      </c>
    </row>
    <row r="7" spans="1:12" ht="33.75" customHeight="1">
      <c r="A7" s="243"/>
      <c r="B7" s="19" t="s">
        <v>189</v>
      </c>
      <c r="C7" s="192" t="s">
        <v>287</v>
      </c>
      <c r="D7" s="192" t="s">
        <v>288</v>
      </c>
      <c r="E7" s="209" t="s">
        <v>289</v>
      </c>
      <c r="F7" s="209" t="s">
        <v>290</v>
      </c>
      <c r="G7" s="209"/>
      <c r="H7" s="14"/>
      <c r="I7" s="275"/>
      <c r="K7" s="5">
        <f>K6*(1-$E$3)</f>
        <v>97</v>
      </c>
      <c r="L7" s="5">
        <f>K7/$K$6</f>
        <v>0.97</v>
      </c>
    </row>
    <row r="8" spans="1:12" ht="33">
      <c r="A8" s="243"/>
      <c r="B8" s="19" t="s">
        <v>190</v>
      </c>
      <c r="C8" s="181">
        <v>3265</v>
      </c>
      <c r="D8" s="181">
        <v>2565</v>
      </c>
      <c r="E8" s="181">
        <v>880</v>
      </c>
      <c r="F8" s="181">
        <v>780</v>
      </c>
      <c r="G8" s="181"/>
      <c r="H8" s="14"/>
      <c r="I8" s="24">
        <f>SUM(C8:H8)</f>
        <v>7490</v>
      </c>
      <c r="K8" s="5">
        <f>K7*(1-$E$3)</f>
        <v>94.09</v>
      </c>
      <c r="L8" s="5">
        <f t="shared" ref="L8:L10" si="0">K8/$K$6</f>
        <v>0.94090000000000007</v>
      </c>
    </row>
    <row r="9" spans="1:12" ht="18.75">
      <c r="A9" s="243" t="s">
        <v>191</v>
      </c>
      <c r="B9" s="170" t="s">
        <v>231</v>
      </c>
      <c r="C9" s="193">
        <v>65</v>
      </c>
      <c r="D9" s="193">
        <v>135</v>
      </c>
      <c r="E9" s="193">
        <v>25</v>
      </c>
      <c r="F9" s="193">
        <v>25</v>
      </c>
      <c r="G9" s="193"/>
      <c r="H9" s="173"/>
      <c r="I9" s="24">
        <f>SUM(C9:H9)</f>
        <v>250</v>
      </c>
      <c r="K9" s="5">
        <f t="shared" ref="K9:K11" si="1">K8*(1-$E$3)</f>
        <v>91.267300000000006</v>
      </c>
      <c r="L9" s="5">
        <f t="shared" si="0"/>
        <v>0.91267300000000007</v>
      </c>
    </row>
    <row r="10" spans="1:12" ht="18.75">
      <c r="A10" s="243"/>
      <c r="B10" s="177" t="s">
        <v>181</v>
      </c>
      <c r="C10" s="193">
        <v>650</v>
      </c>
      <c r="D10" s="193">
        <v>1350</v>
      </c>
      <c r="E10" s="193">
        <v>250</v>
      </c>
      <c r="F10" s="193">
        <v>250</v>
      </c>
      <c r="G10" s="193"/>
      <c r="H10" s="173"/>
      <c r="I10" s="24">
        <f t="shared" ref="I10:I17" si="2">SUM(C10:H10)</f>
        <v>2500</v>
      </c>
      <c r="K10" s="5">
        <f t="shared" si="1"/>
        <v>88.529280999999997</v>
      </c>
      <c r="L10" s="5">
        <f t="shared" si="0"/>
        <v>0.88529280999999993</v>
      </c>
    </row>
    <row r="11" spans="1:12" ht="18.75">
      <c r="A11" s="243"/>
      <c r="B11" s="177" t="s">
        <v>182</v>
      </c>
      <c r="C11" s="193">
        <v>1000</v>
      </c>
      <c r="D11" s="193">
        <v>2000</v>
      </c>
      <c r="E11" s="193">
        <v>375</v>
      </c>
      <c r="F11" s="193">
        <v>375</v>
      </c>
      <c r="G11" s="193"/>
      <c r="H11" s="173"/>
      <c r="I11" s="24">
        <f t="shared" si="2"/>
        <v>3750</v>
      </c>
      <c r="K11" s="5">
        <f t="shared" si="1"/>
        <v>85.873402569999996</v>
      </c>
      <c r="L11" s="5">
        <f t="shared" ref="L11" si="3">K11/$K$6</f>
        <v>0.85873402570000001</v>
      </c>
    </row>
    <row r="12" spans="1:12" ht="18.75">
      <c r="A12" s="243"/>
      <c r="B12" s="177" t="s">
        <v>228</v>
      </c>
      <c r="C12" s="193">
        <v>1000</v>
      </c>
      <c r="D12" s="193">
        <v>2000</v>
      </c>
      <c r="E12" s="193">
        <v>375</v>
      </c>
      <c r="F12" s="193">
        <v>375</v>
      </c>
      <c r="G12" s="193"/>
      <c r="H12" s="173"/>
      <c r="I12" s="24">
        <f t="shared" si="2"/>
        <v>3750</v>
      </c>
    </row>
    <row r="13" spans="1:12" ht="18.75">
      <c r="A13" s="243"/>
      <c r="B13" s="177" t="s">
        <v>230</v>
      </c>
      <c r="C13" s="193">
        <v>1000</v>
      </c>
      <c r="D13" s="193">
        <v>2000</v>
      </c>
      <c r="E13" s="193">
        <v>375</v>
      </c>
      <c r="F13" s="193">
        <v>375</v>
      </c>
      <c r="G13" s="193"/>
      <c r="H13" s="173"/>
      <c r="I13" s="24">
        <f t="shared" si="2"/>
        <v>3750</v>
      </c>
    </row>
    <row r="14" spans="1:12" ht="18.75">
      <c r="A14" s="243"/>
      <c r="B14" s="180" t="s">
        <v>260</v>
      </c>
      <c r="C14" s="193">
        <v>1650</v>
      </c>
      <c r="D14" s="193">
        <v>3350</v>
      </c>
      <c r="E14" s="193">
        <v>625</v>
      </c>
      <c r="F14" s="193">
        <v>625</v>
      </c>
      <c r="G14" s="193"/>
      <c r="H14" s="173"/>
      <c r="I14" s="24">
        <f t="shared" si="2"/>
        <v>6250</v>
      </c>
    </row>
    <row r="15" spans="1:12" ht="17.25">
      <c r="A15" s="242" t="s">
        <v>14</v>
      </c>
      <c r="B15" s="242"/>
      <c r="C15" s="22">
        <f>SUM(C9:C14)</f>
        <v>5365</v>
      </c>
      <c r="D15" s="22">
        <f t="shared" ref="D15:I15" si="4">SUM(D9:D14)</f>
        <v>10835</v>
      </c>
      <c r="E15" s="22">
        <f t="shared" si="4"/>
        <v>2025</v>
      </c>
      <c r="F15" s="22">
        <f t="shared" si="4"/>
        <v>2025</v>
      </c>
      <c r="G15" s="22">
        <f t="shared" si="4"/>
        <v>0</v>
      </c>
      <c r="H15" s="22">
        <f t="shared" si="4"/>
        <v>0</v>
      </c>
      <c r="I15" s="22">
        <f t="shared" si="4"/>
        <v>20250</v>
      </c>
    </row>
    <row r="16" spans="1:12" ht="17.25">
      <c r="A16" s="23"/>
      <c r="B16" s="276" t="s">
        <v>295</v>
      </c>
      <c r="C16" s="276">
        <f>材料成本!D12</f>
        <v>2239.3661659733634</v>
      </c>
      <c r="D16" s="199">
        <f>材料成本!E12</f>
        <v>1876.1281659733634</v>
      </c>
      <c r="E16" s="199">
        <f>材料成本!F12</f>
        <v>839.70090687604068</v>
      </c>
      <c r="F16" s="199">
        <f>材料成本!G12</f>
        <v>594.66287152487325</v>
      </c>
      <c r="G16" s="199">
        <f>材料成本!H12</f>
        <v>0</v>
      </c>
      <c r="H16" s="199">
        <f>材料成本!I12</f>
        <v>0</v>
      </c>
      <c r="I16" s="24">
        <f t="shared" si="2"/>
        <v>5549.8581103476408</v>
      </c>
    </row>
    <row r="17" spans="1:9" ht="17.25">
      <c r="A17" s="23"/>
      <c r="B17" s="276" t="s">
        <v>246</v>
      </c>
      <c r="C17" s="276">
        <f>C8-C16</f>
        <v>1025.6338340266366</v>
      </c>
      <c r="D17" s="276">
        <f t="shared" ref="D17:G17" si="5">D8-D16</f>
        <v>688.87183402663663</v>
      </c>
      <c r="E17" s="276">
        <f t="shared" si="5"/>
        <v>40.299093123959324</v>
      </c>
      <c r="F17" s="276">
        <f t="shared" si="5"/>
        <v>185.33712847512675</v>
      </c>
      <c r="G17" s="276">
        <f t="shared" si="5"/>
        <v>0</v>
      </c>
      <c r="H17" s="276">
        <f t="shared" ref="H17" si="6">H8-H16</f>
        <v>0</v>
      </c>
      <c r="I17" s="24">
        <f t="shared" si="2"/>
        <v>1940.1418896523594</v>
      </c>
    </row>
    <row r="18" spans="1:9">
      <c r="A18" s="23"/>
      <c r="B18" s="276" t="s">
        <v>247</v>
      </c>
      <c r="C18" s="277">
        <f>C17/C8</f>
        <v>0.31412981134047063</v>
      </c>
      <c r="D18" s="277">
        <f t="shared" ref="D18:G18" si="7">D17/D8</f>
        <v>0.26856601716438078</v>
      </c>
      <c r="E18" s="277">
        <f t="shared" si="7"/>
        <v>4.5794424004499235E-2</v>
      </c>
      <c r="F18" s="277">
        <f t="shared" si="7"/>
        <v>0.23761170317323943</v>
      </c>
      <c r="G18" s="277" t="e">
        <f t="shared" si="7"/>
        <v>#DIV/0!</v>
      </c>
      <c r="H18" s="277" t="e">
        <f t="shared" ref="H18:I18" si="8">H17/H8</f>
        <v>#DIV/0!</v>
      </c>
      <c r="I18" s="277">
        <f t="shared" si="8"/>
        <v>0.25903095990018149</v>
      </c>
    </row>
  </sheetData>
  <mergeCells count="4">
    <mergeCell ref="A15:B15"/>
    <mergeCell ref="A5:A8"/>
    <mergeCell ref="A9:A14"/>
    <mergeCell ref="I5:I7"/>
  </mergeCells>
  <phoneticPr fontId="38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7"/>
  <sheetViews>
    <sheetView workbookViewId="0">
      <pane xSplit="3" ySplit="5" topLeftCell="D12" activePane="bottomRight" state="frozen"/>
      <selection pane="topRight"/>
      <selection pane="bottomLeft"/>
      <selection pane="bottomRight" activeCell="I17" sqref="I17"/>
    </sheetView>
  </sheetViews>
  <sheetFormatPr defaultColWidth="9" defaultRowHeight="16.5"/>
  <cols>
    <col min="1" max="1" width="8.375" style="5" customWidth="1"/>
    <col min="2" max="2" width="8.875" style="5" customWidth="1"/>
    <col min="3" max="3" width="14" style="5" customWidth="1"/>
    <col min="4" max="5" width="12.625" style="5" customWidth="1"/>
    <col min="6" max="10" width="10.875" style="5" customWidth="1"/>
    <col min="11" max="11" width="17.375" style="5" customWidth="1"/>
    <col min="12" max="12" width="16" style="5" customWidth="1"/>
    <col min="13" max="16384" width="9" style="5"/>
  </cols>
  <sheetData>
    <row r="1" spans="1:13" s="4" customFormat="1" ht="28.5" customHeight="1">
      <c r="A1" s="244" t="s">
        <v>6</v>
      </c>
      <c r="B1" s="244"/>
      <c r="C1" s="6"/>
      <c r="L1" s="13"/>
    </row>
    <row r="2" spans="1:13">
      <c r="A2" s="245" t="s">
        <v>192</v>
      </c>
      <c r="B2" s="245"/>
      <c r="C2" s="246"/>
      <c r="D2" s="246"/>
      <c r="E2" s="247" t="s">
        <v>262</v>
      </c>
      <c r="F2" s="248"/>
      <c r="G2" s="248"/>
      <c r="H2" s="248"/>
      <c r="I2" s="248"/>
      <c r="J2" s="248"/>
      <c r="K2" s="249"/>
    </row>
    <row r="3" spans="1:13" ht="31.5" customHeight="1">
      <c r="A3" s="259" t="s">
        <v>13</v>
      </c>
      <c r="B3" s="259" t="s">
        <v>193</v>
      </c>
      <c r="C3" s="7" t="s">
        <v>194</v>
      </c>
      <c r="D3" s="250" t="str">
        <f>损益表!A1</f>
        <v>解放J6G车型中高配款3.1C自适应座椅项目</v>
      </c>
      <c r="E3" s="250"/>
      <c r="F3" s="7" t="s">
        <v>195</v>
      </c>
      <c r="G3" s="262" t="s">
        <v>279</v>
      </c>
      <c r="H3" s="263"/>
      <c r="I3" s="263"/>
      <c r="J3" s="264"/>
      <c r="K3" s="251" t="s">
        <v>149</v>
      </c>
    </row>
    <row r="4" spans="1:13">
      <c r="A4" s="259"/>
      <c r="B4" s="259"/>
      <c r="C4" s="7" t="s">
        <v>138</v>
      </c>
      <c r="D4" s="157" t="str">
        <f>'销量 附加值'!C5</f>
        <v>驾驶员座总成</v>
      </c>
      <c r="E4" s="157" t="str">
        <f>'销量 附加值'!D5</f>
        <v>驾驶员座总成</v>
      </c>
      <c r="F4" s="157" t="str">
        <f>'销量 附加值'!E5</f>
        <v>前座总成</v>
      </c>
      <c r="G4" s="157" t="str">
        <f>'销量 附加值'!F5</f>
        <v>前座总成</v>
      </c>
      <c r="H4" s="157">
        <f>'销量 附加值'!G5</f>
        <v>0</v>
      </c>
      <c r="I4" s="157">
        <f>'销量 附加值'!H5</f>
        <v>0</v>
      </c>
      <c r="J4" s="157"/>
      <c r="K4" s="252"/>
    </row>
    <row r="5" spans="1:13" ht="35.25" customHeight="1">
      <c r="A5" s="259"/>
      <c r="B5" s="259"/>
      <c r="C5" s="7" t="s">
        <v>139</v>
      </c>
      <c r="D5" s="157" t="str">
        <f>'销量 附加值'!C6</f>
        <v>/</v>
      </c>
      <c r="E5" s="157" t="str">
        <f>'销量 附加值'!D6</f>
        <v>/</v>
      </c>
      <c r="F5" s="157" t="str">
        <f>'销量 附加值'!E6</f>
        <v>/</v>
      </c>
      <c r="G5" s="157" t="str">
        <f>'销量 附加值'!F6</f>
        <v>/</v>
      </c>
      <c r="H5" s="157">
        <f>'销量 附加值'!G6</f>
        <v>0</v>
      </c>
      <c r="I5" s="157">
        <f>'销量 附加值'!H6</f>
        <v>0</v>
      </c>
      <c r="J5" s="157"/>
      <c r="K5" s="253"/>
    </row>
    <row r="6" spans="1:13" ht="16.5" customHeight="1">
      <c r="A6" s="10">
        <v>1</v>
      </c>
      <c r="B6" s="260" t="s">
        <v>229</v>
      </c>
      <c r="C6" s="261"/>
      <c r="D6" s="11">
        <v>2239.3661659733634</v>
      </c>
      <c r="E6" s="11">
        <v>1876.1281659733634</v>
      </c>
      <c r="F6" s="11">
        <v>839.70090687604068</v>
      </c>
      <c r="G6" s="11">
        <v>594.66287152487325</v>
      </c>
      <c r="H6" s="11"/>
      <c r="I6" s="11"/>
      <c r="J6" s="11"/>
      <c r="K6" s="172"/>
    </row>
    <row r="7" spans="1:13" ht="16.5" customHeight="1">
      <c r="A7" s="10">
        <v>2</v>
      </c>
      <c r="B7" s="260"/>
      <c r="C7" s="261"/>
      <c r="D7" s="11"/>
      <c r="E7" s="9"/>
      <c r="F7" s="9"/>
      <c r="G7" s="9"/>
      <c r="H7" s="9"/>
      <c r="I7" s="9"/>
      <c r="J7" s="9"/>
      <c r="K7" s="14"/>
    </row>
    <row r="8" spans="1:13" ht="16.5" customHeight="1">
      <c r="A8" s="10">
        <v>3</v>
      </c>
      <c r="B8" s="260"/>
      <c r="C8" s="261"/>
      <c r="D8" s="11"/>
      <c r="E8" s="9"/>
      <c r="F8" s="11"/>
      <c r="G8" s="9"/>
      <c r="H8" s="11"/>
      <c r="I8" s="11"/>
      <c r="J8" s="11"/>
      <c r="K8" s="14"/>
    </row>
    <row r="9" spans="1:13">
      <c r="A9" s="10">
        <v>4</v>
      </c>
      <c r="B9" s="260"/>
      <c r="C9" s="261"/>
      <c r="D9" s="11"/>
      <c r="E9" s="9"/>
      <c r="F9" s="11"/>
      <c r="G9" s="9"/>
      <c r="H9" s="9"/>
      <c r="I9" s="9"/>
      <c r="J9" s="9"/>
      <c r="K9" s="14"/>
    </row>
    <row r="10" spans="1:13" ht="16.5" customHeight="1">
      <c r="A10" s="10">
        <v>5</v>
      </c>
      <c r="B10" s="260"/>
      <c r="C10" s="261"/>
      <c r="D10" s="11"/>
      <c r="E10" s="9"/>
      <c r="F10" s="11"/>
      <c r="G10" s="9"/>
      <c r="H10" s="9"/>
      <c r="I10" s="9"/>
      <c r="J10" s="9"/>
      <c r="K10" s="14"/>
      <c r="L10" s="254"/>
      <c r="M10" s="255"/>
    </row>
    <row r="11" spans="1:13" ht="16.5" customHeight="1">
      <c r="A11" s="10">
        <v>6</v>
      </c>
      <c r="B11" s="260"/>
      <c r="C11" s="261"/>
      <c r="D11" s="11"/>
      <c r="E11" s="9"/>
      <c r="F11" s="11"/>
      <c r="G11" s="9"/>
      <c r="H11" s="9"/>
      <c r="I11" s="9"/>
      <c r="J11" s="9"/>
      <c r="K11" s="14"/>
      <c r="L11" s="254"/>
      <c r="M11" s="255"/>
    </row>
    <row r="12" spans="1:13" ht="23.25" customHeight="1">
      <c r="A12" s="256" t="s">
        <v>196</v>
      </c>
      <c r="B12" s="257"/>
      <c r="C12" s="258"/>
      <c r="D12" s="12">
        <f t="shared" ref="D12:J12" si="0">SUM(D6:D11)</f>
        <v>2239.3661659733634</v>
      </c>
      <c r="E12" s="12">
        <f t="shared" si="0"/>
        <v>1876.1281659733634</v>
      </c>
      <c r="F12" s="12">
        <f t="shared" si="0"/>
        <v>839.70090687604068</v>
      </c>
      <c r="G12" s="12">
        <f t="shared" si="0"/>
        <v>594.66287152487325</v>
      </c>
      <c r="H12" s="12">
        <f t="shared" si="0"/>
        <v>0</v>
      </c>
      <c r="I12" s="12">
        <f t="shared" si="0"/>
        <v>0</v>
      </c>
      <c r="J12" s="12">
        <f t="shared" si="0"/>
        <v>0</v>
      </c>
      <c r="K12" s="14"/>
    </row>
    <row r="13" spans="1:13">
      <c r="C13" s="196" t="s">
        <v>181</v>
      </c>
      <c r="D13" s="199">
        <f>D12*0.97</f>
        <v>2172.1851809941622</v>
      </c>
      <c r="E13" s="199">
        <f>E12*0.97</f>
        <v>1819.8443209941624</v>
      </c>
      <c r="F13" s="199">
        <f t="shared" ref="F13:J13" si="1">F12*0.97</f>
        <v>814.50987966975947</v>
      </c>
      <c r="G13" s="199">
        <f t="shared" si="1"/>
        <v>576.82298537912709</v>
      </c>
      <c r="H13" s="199">
        <f t="shared" si="1"/>
        <v>0</v>
      </c>
      <c r="I13" s="199">
        <f t="shared" si="1"/>
        <v>0</v>
      </c>
      <c r="J13" s="199">
        <f t="shared" si="1"/>
        <v>0</v>
      </c>
    </row>
    <row r="14" spans="1:13">
      <c r="C14" s="196" t="s">
        <v>182</v>
      </c>
      <c r="D14" s="199">
        <f t="shared" ref="D14:E17" si="2">D13*0.97</f>
        <v>2107.0196255643373</v>
      </c>
      <c r="E14" s="199">
        <f t="shared" si="2"/>
        <v>1765.2489913643376</v>
      </c>
      <c r="F14" s="199">
        <f t="shared" ref="F14:J14" si="3">F13*0.97</f>
        <v>790.07458327966663</v>
      </c>
      <c r="G14" s="199">
        <f t="shared" si="3"/>
        <v>559.51829581775326</v>
      </c>
      <c r="H14" s="199">
        <f t="shared" si="3"/>
        <v>0</v>
      </c>
      <c r="I14" s="199">
        <f t="shared" si="3"/>
        <v>0</v>
      </c>
      <c r="J14" s="199">
        <f t="shared" si="3"/>
        <v>0</v>
      </c>
    </row>
    <row r="15" spans="1:13">
      <c r="C15" s="196" t="s">
        <v>228</v>
      </c>
      <c r="D15" s="199">
        <f t="shared" si="2"/>
        <v>2043.8090367974071</v>
      </c>
      <c r="E15" s="199">
        <f t="shared" si="2"/>
        <v>1712.2915216234073</v>
      </c>
      <c r="F15" s="199">
        <f t="shared" ref="F15:J15" si="4">F14*0.97</f>
        <v>766.37234578127664</v>
      </c>
      <c r="G15" s="199">
        <f t="shared" si="4"/>
        <v>542.7327469432206</v>
      </c>
      <c r="H15" s="199">
        <f t="shared" si="4"/>
        <v>0</v>
      </c>
      <c r="I15" s="199">
        <f t="shared" si="4"/>
        <v>0</v>
      </c>
      <c r="J15" s="199">
        <f t="shared" si="4"/>
        <v>0</v>
      </c>
    </row>
    <row r="16" spans="1:13">
      <c r="C16" s="196" t="s">
        <v>230</v>
      </c>
      <c r="D16" s="199">
        <f t="shared" si="2"/>
        <v>1982.4947656934849</v>
      </c>
      <c r="E16" s="199">
        <f t="shared" si="2"/>
        <v>1660.922775974705</v>
      </c>
      <c r="F16" s="199">
        <f t="shared" ref="F16:J16" si="5">F15*0.97</f>
        <v>743.38117540783833</v>
      </c>
      <c r="G16" s="199">
        <f t="shared" si="5"/>
        <v>526.45076453492402</v>
      </c>
      <c r="H16" s="199">
        <f t="shared" si="5"/>
        <v>0</v>
      </c>
      <c r="I16" s="199">
        <f t="shared" si="5"/>
        <v>0</v>
      </c>
      <c r="J16" s="199">
        <f t="shared" si="5"/>
        <v>0</v>
      </c>
    </row>
    <row r="17" spans="3:10">
      <c r="C17" s="196" t="s">
        <v>260</v>
      </c>
      <c r="D17" s="199">
        <f t="shared" si="2"/>
        <v>1923.0199227226803</v>
      </c>
      <c r="E17" s="199">
        <f t="shared" si="2"/>
        <v>1611.0950926954638</v>
      </c>
      <c r="F17" s="199">
        <f t="shared" ref="F17:J17" si="6">F16*0.97</f>
        <v>721.07974014560318</v>
      </c>
      <c r="G17" s="199">
        <f t="shared" si="6"/>
        <v>510.65724159887628</v>
      </c>
      <c r="H17" s="199">
        <f t="shared" si="6"/>
        <v>0</v>
      </c>
      <c r="I17" s="199">
        <f t="shared" si="6"/>
        <v>0</v>
      </c>
      <c r="J17" s="199">
        <f t="shared" si="6"/>
        <v>0</v>
      </c>
    </row>
  </sheetData>
  <mergeCells count="17">
    <mergeCell ref="L10:M10"/>
    <mergeCell ref="L11:M11"/>
    <mergeCell ref="A12:C12"/>
    <mergeCell ref="A3:A5"/>
    <mergeCell ref="B3:B5"/>
    <mergeCell ref="B11:C11"/>
    <mergeCell ref="G3:J3"/>
    <mergeCell ref="B6:C6"/>
    <mergeCell ref="B7:C7"/>
    <mergeCell ref="B8:C8"/>
    <mergeCell ref="B9:C9"/>
    <mergeCell ref="B10:C10"/>
    <mergeCell ref="A1:B1"/>
    <mergeCell ref="A2:D2"/>
    <mergeCell ref="E2:K2"/>
    <mergeCell ref="D3:E3"/>
    <mergeCell ref="K3:K5"/>
  </mergeCells>
  <phoneticPr fontId="38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pane xSplit="2" ySplit="1" topLeftCell="C2" activePane="bottomRight" state="frozen"/>
      <selection pane="topRight"/>
      <selection pane="bottomLeft"/>
      <selection pane="bottomRight" activeCell="G10" sqref="G10"/>
    </sheetView>
  </sheetViews>
  <sheetFormatPr defaultColWidth="9" defaultRowHeight="13.5"/>
  <cols>
    <col min="1" max="1" width="6.625" style="3" customWidth="1"/>
    <col min="2" max="2" width="29.625" style="3" customWidth="1"/>
    <col min="3" max="3" width="19.625" style="3" customWidth="1"/>
    <col min="4" max="4" width="18.625" style="3" customWidth="1"/>
    <col min="5" max="16384" width="9" style="3"/>
  </cols>
  <sheetData>
    <row r="1" spans="1:5" ht="27" customHeight="1">
      <c r="A1" s="183" t="s">
        <v>13</v>
      </c>
      <c r="B1" s="183" t="s">
        <v>197</v>
      </c>
      <c r="C1" s="183" t="s">
        <v>198</v>
      </c>
      <c r="D1" s="183" t="s">
        <v>199</v>
      </c>
    </row>
    <row r="2" spans="1:5" ht="15.75" customHeight="1">
      <c r="A2" s="183">
        <v>1</v>
      </c>
      <c r="B2" s="184" t="s">
        <v>200</v>
      </c>
      <c r="C2" s="185" t="s">
        <v>253</v>
      </c>
      <c r="D2" s="183"/>
    </row>
    <row r="3" spans="1:5" ht="15.75" customHeight="1">
      <c r="A3" s="183">
        <v>2</v>
      </c>
      <c r="B3" s="184" t="s">
        <v>201</v>
      </c>
      <c r="C3" s="186" t="s">
        <v>253</v>
      </c>
      <c r="D3" s="183" t="s">
        <v>232</v>
      </c>
    </row>
    <row r="4" spans="1:5" ht="15.75" customHeight="1">
      <c r="A4" s="183">
        <v>3</v>
      </c>
      <c r="B4" s="184" t="s">
        <v>202</v>
      </c>
      <c r="C4" s="185" t="s">
        <v>254</v>
      </c>
      <c r="D4" s="183" t="s">
        <v>233</v>
      </c>
    </row>
    <row r="5" spans="1:5" ht="15.75" customHeight="1">
      <c r="A5" s="183">
        <v>4</v>
      </c>
      <c r="B5" s="184" t="s">
        <v>203</v>
      </c>
      <c r="C5" s="185" t="s">
        <v>282</v>
      </c>
      <c r="D5" s="183"/>
    </row>
    <row r="6" spans="1:5" ht="15.75" customHeight="1">
      <c r="A6" s="183">
        <v>5</v>
      </c>
      <c r="B6" s="184" t="s">
        <v>204</v>
      </c>
      <c r="C6" s="185" t="s">
        <v>255</v>
      </c>
      <c r="D6" s="183"/>
    </row>
    <row r="7" spans="1:5" ht="15.75" customHeight="1">
      <c r="A7" s="183">
        <v>6</v>
      </c>
      <c r="B7" s="183" t="s">
        <v>205</v>
      </c>
      <c r="C7" s="186" t="s">
        <v>169</v>
      </c>
      <c r="D7" s="183"/>
    </row>
    <row r="8" spans="1:5" ht="15.75" customHeight="1">
      <c r="A8" s="183">
        <v>7</v>
      </c>
      <c r="B8" s="184" t="s">
        <v>206</v>
      </c>
      <c r="C8" s="188" t="s">
        <v>256</v>
      </c>
      <c r="D8" s="183"/>
    </row>
    <row r="9" spans="1:5" ht="15.75" customHeight="1">
      <c r="A9" s="183">
        <v>8</v>
      </c>
      <c r="B9" s="183" t="s">
        <v>207</v>
      </c>
      <c r="C9" s="188" t="s">
        <v>234</v>
      </c>
      <c r="D9" s="183"/>
    </row>
    <row r="10" spans="1:5" ht="15.75" customHeight="1">
      <c r="A10" s="183">
        <v>9</v>
      </c>
      <c r="B10" s="183" t="s">
        <v>208</v>
      </c>
      <c r="C10" s="188" t="s">
        <v>257</v>
      </c>
      <c r="D10" s="183"/>
    </row>
    <row r="11" spans="1:5" ht="15.75" customHeight="1">
      <c r="A11" s="183">
        <v>10</v>
      </c>
      <c r="B11" s="183" t="s">
        <v>209</v>
      </c>
      <c r="C11" s="188" t="s">
        <v>283</v>
      </c>
      <c r="D11" s="183" t="s">
        <v>235</v>
      </c>
      <c r="E11" s="159"/>
    </row>
    <row r="12" spans="1:5" ht="15.75" customHeight="1">
      <c r="A12" s="183">
        <v>11</v>
      </c>
      <c r="B12" s="183" t="s">
        <v>210</v>
      </c>
      <c r="C12" s="188" t="s">
        <v>234</v>
      </c>
      <c r="D12" s="183"/>
    </row>
    <row r="13" spans="1:5" ht="15.75" customHeight="1">
      <c r="A13" s="183">
        <v>12</v>
      </c>
      <c r="B13" s="184" t="s">
        <v>236</v>
      </c>
      <c r="C13" s="188" t="s">
        <v>258</v>
      </c>
      <c r="D13" s="183"/>
    </row>
    <row r="14" spans="1:5" ht="15.75" customHeight="1">
      <c r="A14" s="183">
        <v>13</v>
      </c>
      <c r="B14" s="184" t="s">
        <v>237</v>
      </c>
      <c r="C14" s="188" t="s">
        <v>275</v>
      </c>
      <c r="D14" s="183"/>
    </row>
    <row r="15" spans="1:5" ht="15.75" customHeight="1">
      <c r="A15" s="183">
        <v>14</v>
      </c>
      <c r="B15" s="184" t="s">
        <v>238</v>
      </c>
      <c r="C15" s="188" t="s">
        <v>259</v>
      </c>
      <c r="D15" s="183"/>
    </row>
    <row r="16" spans="1:5" ht="15.75" customHeight="1">
      <c r="A16" s="183">
        <v>15</v>
      </c>
      <c r="B16" s="183" t="s">
        <v>124</v>
      </c>
      <c r="C16" s="183"/>
      <c r="D16" s="183"/>
    </row>
    <row r="17" spans="1:4" ht="16.5">
      <c r="A17" s="187"/>
      <c r="B17" s="182" t="s">
        <v>239</v>
      </c>
      <c r="C17" s="187"/>
      <c r="D17" s="187"/>
    </row>
  </sheetData>
  <phoneticPr fontId="38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78"/>
  <sheetViews>
    <sheetView workbookViewId="0">
      <selection activeCell="J5" sqref="J5"/>
    </sheetView>
  </sheetViews>
  <sheetFormatPr defaultColWidth="9" defaultRowHeight="13.5"/>
  <cols>
    <col min="1" max="2" width="9" style="67"/>
    <col min="3" max="3" width="15.75" style="67" customWidth="1"/>
    <col min="4" max="4" width="13.625" style="67" customWidth="1"/>
    <col min="5" max="7" width="11.125" style="67" customWidth="1"/>
    <col min="8" max="8" width="12.875" style="147" customWidth="1"/>
    <col min="9" max="16384" width="9" style="67"/>
  </cols>
  <sheetData>
    <row r="1" spans="1:11" s="144" customFormat="1" ht="18.75" customHeight="1">
      <c r="F1" s="270" t="s">
        <v>211</v>
      </c>
      <c r="G1" s="270"/>
      <c r="H1" s="145"/>
    </row>
    <row r="2" spans="1:11" ht="19.5" customHeight="1">
      <c r="A2" s="271" t="s">
        <v>212</v>
      </c>
      <c r="B2" s="271"/>
      <c r="C2" s="272" t="s">
        <v>261</v>
      </c>
      <c r="D2" s="272"/>
      <c r="E2" s="272"/>
      <c r="F2" s="272"/>
      <c r="G2" s="266"/>
      <c r="H2" s="146" t="s">
        <v>219</v>
      </c>
      <c r="J2" s="163"/>
      <c r="K2" s="163"/>
    </row>
    <row r="3" spans="1:11" ht="34.5" customHeight="1">
      <c r="A3" s="271"/>
      <c r="B3" s="271"/>
      <c r="C3" s="154" t="s">
        <v>222</v>
      </c>
      <c r="D3" s="154" t="s">
        <v>221</v>
      </c>
      <c r="E3" s="155" t="s">
        <v>225</v>
      </c>
      <c r="F3" s="155" t="s">
        <v>224</v>
      </c>
      <c r="G3" s="155" t="s">
        <v>223</v>
      </c>
      <c r="H3" s="158">
        <f>'销量 附加值'!C8</f>
        <v>3265</v>
      </c>
    </row>
    <row r="4" spans="1:11" ht="24" customHeight="1">
      <c r="A4" s="267" t="s">
        <v>213</v>
      </c>
      <c r="B4" s="267"/>
      <c r="C4" s="148"/>
      <c r="D4" s="149">
        <f>$H$3*E4</f>
        <v>51.260499999999993</v>
      </c>
      <c r="E4" s="153">
        <v>1.5699999999999999E-2</v>
      </c>
      <c r="F4" s="149"/>
      <c r="G4" s="150">
        <v>4.48E-2</v>
      </c>
      <c r="I4" s="161"/>
      <c r="J4" s="68"/>
      <c r="K4" s="68"/>
    </row>
    <row r="5" spans="1:11" ht="24" customHeight="1">
      <c r="A5" s="267" t="s">
        <v>214</v>
      </c>
      <c r="B5" s="151" t="s">
        <v>215</v>
      </c>
      <c r="C5" s="148"/>
      <c r="D5" s="149">
        <f t="shared" ref="D5:D6" si="0">$H$3*E5</f>
        <v>155.41400000000002</v>
      </c>
      <c r="E5" s="150">
        <v>4.7600000000000003E-2</v>
      </c>
      <c r="F5" s="150"/>
      <c r="G5" s="150">
        <v>4.0399999999999998E-2</v>
      </c>
      <c r="I5" s="162"/>
      <c r="J5" s="68"/>
      <c r="K5" s="68"/>
    </row>
    <row r="6" spans="1:11" ht="24" customHeight="1">
      <c r="A6" s="267"/>
      <c r="B6" s="151" t="s">
        <v>216</v>
      </c>
      <c r="C6" s="148"/>
      <c r="D6" s="149">
        <f t="shared" si="0"/>
        <v>12.407</v>
      </c>
      <c r="E6" s="153">
        <v>3.8E-3</v>
      </c>
      <c r="F6" s="149"/>
      <c r="G6" s="150">
        <v>1.66E-2</v>
      </c>
      <c r="I6" s="161"/>
      <c r="J6" s="68"/>
      <c r="K6" s="68"/>
    </row>
    <row r="7" spans="1:11" ht="24" customHeight="1">
      <c r="A7" s="265" t="s">
        <v>217</v>
      </c>
      <c r="B7" s="266"/>
      <c r="C7" s="152"/>
      <c r="D7" s="149">
        <f>$H$3*E7</f>
        <v>219.08149999999998</v>
      </c>
      <c r="E7" s="153">
        <f>SUM(E4:E6)</f>
        <v>6.7099999999999993E-2</v>
      </c>
      <c r="F7" s="149"/>
      <c r="G7" s="153">
        <f>SUM(G4:G6)</f>
        <v>0.1018</v>
      </c>
      <c r="I7" s="161"/>
      <c r="J7" s="68"/>
      <c r="K7" s="68"/>
    </row>
    <row r="8" spans="1:11" ht="24" customHeight="1">
      <c r="A8" s="267" t="s">
        <v>44</v>
      </c>
      <c r="B8" s="267"/>
      <c r="C8" s="148"/>
      <c r="D8" s="149">
        <f>$H$3*E8</f>
        <v>98.276499999999999</v>
      </c>
      <c r="E8" s="150">
        <v>3.0099999999999998E-2</v>
      </c>
      <c r="F8" s="149"/>
      <c r="G8" s="150">
        <f>1.97%+0.75%</f>
        <v>2.7199999999999998E-2</v>
      </c>
      <c r="I8" s="162"/>
      <c r="J8" s="68"/>
      <c r="K8" s="68"/>
    </row>
    <row r="9" spans="1:11" ht="24" customHeight="1">
      <c r="A9" s="268" t="s">
        <v>218</v>
      </c>
      <c r="B9" s="151" t="s">
        <v>215</v>
      </c>
      <c r="C9" s="148"/>
      <c r="D9" s="149">
        <f>$H$3*E9</f>
        <v>24.487500000000001</v>
      </c>
      <c r="E9" s="150">
        <v>7.4999999999999997E-3</v>
      </c>
      <c r="F9" s="149"/>
      <c r="G9" s="150">
        <v>5.3E-3</v>
      </c>
      <c r="I9" s="147"/>
      <c r="J9" s="68"/>
      <c r="K9" s="68"/>
    </row>
    <row r="10" spans="1:11" ht="24" customHeight="1">
      <c r="A10" s="269"/>
      <c r="B10" s="151" t="s">
        <v>216</v>
      </c>
      <c r="C10" s="148"/>
      <c r="D10" s="149">
        <f>$H$3*E10</f>
        <v>83.910499999999999</v>
      </c>
      <c r="E10" s="147">
        <v>2.5700000000000001E-2</v>
      </c>
      <c r="F10" s="149"/>
      <c r="G10" s="150">
        <v>3.4099999999999998E-2</v>
      </c>
      <c r="I10" s="147"/>
      <c r="J10" s="68"/>
      <c r="K10" s="68"/>
    </row>
    <row r="11" spans="1:11" ht="24" customHeight="1">
      <c r="A11" s="267" t="s">
        <v>47</v>
      </c>
      <c r="B11" s="267"/>
      <c r="C11" s="148"/>
      <c r="D11" s="149">
        <f t="shared" ref="D11" si="1">$H$3*E11</f>
        <v>163.25</v>
      </c>
      <c r="E11" s="150">
        <v>0.05</v>
      </c>
      <c r="F11" s="149"/>
      <c r="G11" s="150">
        <v>1.0999999999999999E-2</v>
      </c>
      <c r="I11" s="147"/>
      <c r="J11" s="68"/>
      <c r="K11" s="68"/>
    </row>
    <row r="15" spans="1:11">
      <c r="A15" s="144"/>
      <c r="B15" s="144"/>
      <c r="C15" s="144"/>
      <c r="D15" s="144"/>
      <c r="E15" s="144"/>
      <c r="F15" s="270" t="s">
        <v>211</v>
      </c>
      <c r="G15" s="270"/>
      <c r="H15" s="145"/>
    </row>
    <row r="16" spans="1:11" ht="26.25" customHeight="1">
      <c r="A16" s="271" t="s">
        <v>212</v>
      </c>
      <c r="B16" s="271"/>
      <c r="C16" s="272" t="str">
        <f>C2</f>
        <v>按长春2023年预算+财务费用按集团</v>
      </c>
      <c r="D16" s="272"/>
      <c r="E16" s="272"/>
      <c r="F16" s="272"/>
      <c r="G16" s="266"/>
      <c r="H16" s="146" t="s">
        <v>219</v>
      </c>
    </row>
    <row r="17" spans="1:8" ht="27">
      <c r="A17" s="271"/>
      <c r="B17" s="271"/>
      <c r="C17" s="154" t="s">
        <v>222</v>
      </c>
      <c r="D17" s="154" t="s">
        <v>220</v>
      </c>
      <c r="E17" s="155" t="s">
        <v>225</v>
      </c>
      <c r="F17" s="155" t="s">
        <v>224</v>
      </c>
      <c r="G17" s="155" t="s">
        <v>223</v>
      </c>
      <c r="H17" s="158">
        <f>'销量 附加值'!D8</f>
        <v>2565</v>
      </c>
    </row>
    <row r="18" spans="1:8">
      <c r="A18" s="267" t="s">
        <v>213</v>
      </c>
      <c r="B18" s="267"/>
      <c r="C18" s="148"/>
      <c r="D18" s="149">
        <f>$H$17*E18</f>
        <v>40.270499999999998</v>
      </c>
      <c r="E18" s="153">
        <f t="shared" ref="E18:E25" si="2">E4</f>
        <v>1.5699999999999999E-2</v>
      </c>
      <c r="F18" s="149"/>
      <c r="G18" s="150">
        <v>4.48E-2</v>
      </c>
    </row>
    <row r="19" spans="1:8">
      <c r="A19" s="267" t="s">
        <v>214</v>
      </c>
      <c r="B19" s="171" t="s">
        <v>215</v>
      </c>
      <c r="C19" s="148"/>
      <c r="D19" s="149">
        <f t="shared" ref="D19:D25" si="3">$H$17*E19</f>
        <v>122.09400000000001</v>
      </c>
      <c r="E19" s="150">
        <f t="shared" si="2"/>
        <v>4.7600000000000003E-2</v>
      </c>
      <c r="F19" s="149"/>
      <c r="G19" s="150">
        <v>4.0399999999999998E-2</v>
      </c>
    </row>
    <row r="20" spans="1:8">
      <c r="A20" s="267"/>
      <c r="B20" s="171" t="s">
        <v>216</v>
      </c>
      <c r="C20" s="148"/>
      <c r="D20" s="149">
        <f t="shared" si="3"/>
        <v>9.7469999999999999</v>
      </c>
      <c r="E20" s="153">
        <f t="shared" si="2"/>
        <v>3.8E-3</v>
      </c>
      <c r="F20" s="149"/>
      <c r="G20" s="150">
        <v>1.66E-2</v>
      </c>
    </row>
    <row r="21" spans="1:8">
      <c r="A21" s="265" t="s">
        <v>217</v>
      </c>
      <c r="B21" s="266"/>
      <c r="C21" s="152"/>
      <c r="D21" s="149">
        <f t="shared" si="3"/>
        <v>172.11149999999998</v>
      </c>
      <c r="E21" s="153">
        <f t="shared" si="2"/>
        <v>6.7099999999999993E-2</v>
      </c>
      <c r="F21" s="149"/>
      <c r="G21" s="153">
        <f>SUM(G18:G20)</f>
        <v>0.1018</v>
      </c>
    </row>
    <row r="22" spans="1:8">
      <c r="A22" s="267" t="s">
        <v>44</v>
      </c>
      <c r="B22" s="267"/>
      <c r="C22" s="148"/>
      <c r="D22" s="149">
        <f t="shared" si="3"/>
        <v>77.206499999999991</v>
      </c>
      <c r="E22" s="150">
        <f t="shared" si="2"/>
        <v>3.0099999999999998E-2</v>
      </c>
      <c r="F22" s="149"/>
      <c r="G22" s="150">
        <f>1.97%+0.75%</f>
        <v>2.7199999999999998E-2</v>
      </c>
    </row>
    <row r="23" spans="1:8">
      <c r="A23" s="268" t="s">
        <v>218</v>
      </c>
      <c r="B23" s="171" t="s">
        <v>215</v>
      </c>
      <c r="C23" s="148"/>
      <c r="D23" s="149">
        <f t="shared" si="3"/>
        <v>19.237500000000001</v>
      </c>
      <c r="E23" s="150">
        <f t="shared" si="2"/>
        <v>7.4999999999999997E-3</v>
      </c>
      <c r="F23" s="149"/>
      <c r="G23" s="150">
        <v>5.3E-3</v>
      </c>
    </row>
    <row r="24" spans="1:8">
      <c r="A24" s="269"/>
      <c r="B24" s="171" t="s">
        <v>216</v>
      </c>
      <c r="C24" s="148"/>
      <c r="D24" s="149">
        <f t="shared" si="3"/>
        <v>65.920500000000004</v>
      </c>
      <c r="E24" s="147">
        <f t="shared" si="2"/>
        <v>2.5700000000000001E-2</v>
      </c>
      <c r="F24" s="149"/>
      <c r="G24" s="150">
        <v>3.4099999999999998E-2</v>
      </c>
    </row>
    <row r="25" spans="1:8">
      <c r="A25" s="267" t="s">
        <v>47</v>
      </c>
      <c r="B25" s="267"/>
      <c r="C25" s="148"/>
      <c r="D25" s="149">
        <f t="shared" si="3"/>
        <v>128.25</v>
      </c>
      <c r="E25" s="150">
        <f t="shared" si="2"/>
        <v>0.05</v>
      </c>
      <c r="F25" s="149"/>
      <c r="G25" s="150">
        <v>1.0999999999999999E-2</v>
      </c>
    </row>
    <row r="29" spans="1:8">
      <c r="A29" s="144"/>
      <c r="B29" s="144"/>
      <c r="C29" s="144"/>
      <c r="D29" s="144"/>
      <c r="E29" s="144"/>
      <c r="F29" s="270" t="s">
        <v>211</v>
      </c>
      <c r="G29" s="270"/>
      <c r="H29" s="145"/>
    </row>
    <row r="30" spans="1:8" ht="24" customHeight="1">
      <c r="A30" s="271" t="s">
        <v>212</v>
      </c>
      <c r="B30" s="271"/>
      <c r="C30" s="272" t="str">
        <f>C2</f>
        <v>按长春2023年预算+财务费用按集团</v>
      </c>
      <c r="D30" s="272"/>
      <c r="E30" s="272"/>
      <c r="F30" s="272"/>
      <c r="G30" s="266"/>
      <c r="H30" s="146" t="s">
        <v>219</v>
      </c>
    </row>
    <row r="31" spans="1:8" ht="27">
      <c r="A31" s="271"/>
      <c r="B31" s="271"/>
      <c r="C31" s="154" t="s">
        <v>222</v>
      </c>
      <c r="D31" s="154" t="s">
        <v>220</v>
      </c>
      <c r="E31" s="155" t="s">
        <v>225</v>
      </c>
      <c r="F31" s="155" t="s">
        <v>224</v>
      </c>
      <c r="G31" s="155" t="s">
        <v>223</v>
      </c>
      <c r="H31" s="158">
        <f>'销量 附加值'!E8</f>
        <v>880</v>
      </c>
    </row>
    <row r="32" spans="1:8">
      <c r="A32" s="267" t="s">
        <v>213</v>
      </c>
      <c r="B32" s="267"/>
      <c r="C32" s="148"/>
      <c r="D32" s="149">
        <f>$H$31*E32</f>
        <v>13.815999999999999</v>
      </c>
      <c r="E32" s="153">
        <f t="shared" ref="E32:E39" si="4">E4</f>
        <v>1.5699999999999999E-2</v>
      </c>
      <c r="F32" s="149"/>
      <c r="G32" s="150">
        <v>4.48E-2</v>
      </c>
    </row>
    <row r="33" spans="1:8">
      <c r="A33" s="267" t="s">
        <v>214</v>
      </c>
      <c r="B33" s="171" t="s">
        <v>215</v>
      </c>
      <c r="C33" s="148"/>
      <c r="D33" s="149">
        <f t="shared" ref="D33:D39" si="5">$H$31*E33</f>
        <v>41.888000000000005</v>
      </c>
      <c r="E33" s="150">
        <f t="shared" si="4"/>
        <v>4.7600000000000003E-2</v>
      </c>
      <c r="F33" s="149"/>
      <c r="G33" s="150">
        <v>4.0399999999999998E-2</v>
      </c>
    </row>
    <row r="34" spans="1:8">
      <c r="A34" s="267"/>
      <c r="B34" s="171" t="s">
        <v>216</v>
      </c>
      <c r="C34" s="148"/>
      <c r="D34" s="149">
        <f t="shared" si="5"/>
        <v>3.3439999999999999</v>
      </c>
      <c r="E34" s="153">
        <f t="shared" si="4"/>
        <v>3.8E-3</v>
      </c>
      <c r="F34" s="149"/>
      <c r="G34" s="150">
        <v>1.66E-2</v>
      </c>
    </row>
    <row r="35" spans="1:8">
      <c r="A35" s="265" t="s">
        <v>217</v>
      </c>
      <c r="B35" s="266"/>
      <c r="C35" s="152"/>
      <c r="D35" s="149">
        <f t="shared" si="5"/>
        <v>59.047999999999995</v>
      </c>
      <c r="E35" s="153">
        <f t="shared" si="4"/>
        <v>6.7099999999999993E-2</v>
      </c>
      <c r="F35" s="153"/>
      <c r="G35" s="153">
        <f>SUM(G32:G34)</f>
        <v>0.1018</v>
      </c>
    </row>
    <row r="36" spans="1:8">
      <c r="A36" s="267" t="s">
        <v>44</v>
      </c>
      <c r="B36" s="267"/>
      <c r="C36" s="148"/>
      <c r="D36" s="149">
        <f t="shared" si="5"/>
        <v>26.488</v>
      </c>
      <c r="E36" s="150">
        <f t="shared" si="4"/>
        <v>3.0099999999999998E-2</v>
      </c>
      <c r="F36" s="149"/>
      <c r="G36" s="150">
        <f>1.97%+0.75%</f>
        <v>2.7199999999999998E-2</v>
      </c>
    </row>
    <row r="37" spans="1:8">
      <c r="A37" s="268" t="s">
        <v>218</v>
      </c>
      <c r="B37" s="171" t="s">
        <v>215</v>
      </c>
      <c r="C37" s="148"/>
      <c r="D37" s="149">
        <f t="shared" si="5"/>
        <v>6.6</v>
      </c>
      <c r="E37" s="150">
        <f t="shared" si="4"/>
        <v>7.4999999999999997E-3</v>
      </c>
      <c r="F37" s="149"/>
      <c r="G37" s="150">
        <v>5.3E-3</v>
      </c>
    </row>
    <row r="38" spans="1:8">
      <c r="A38" s="269"/>
      <c r="B38" s="171" t="s">
        <v>216</v>
      </c>
      <c r="C38" s="148"/>
      <c r="D38" s="149">
        <f t="shared" si="5"/>
        <v>22.616</v>
      </c>
      <c r="E38" s="147">
        <f t="shared" si="4"/>
        <v>2.5700000000000001E-2</v>
      </c>
      <c r="F38" s="149"/>
      <c r="G38" s="150">
        <v>3.4099999999999998E-2</v>
      </c>
    </row>
    <row r="39" spans="1:8">
      <c r="A39" s="267" t="s">
        <v>47</v>
      </c>
      <c r="B39" s="267"/>
      <c r="C39" s="148"/>
      <c r="D39" s="149">
        <f t="shared" si="5"/>
        <v>44</v>
      </c>
      <c r="E39" s="150">
        <f t="shared" si="4"/>
        <v>0.05</v>
      </c>
      <c r="F39" s="149"/>
      <c r="G39" s="150">
        <v>1.0999999999999999E-2</v>
      </c>
    </row>
    <row r="42" spans="1:8">
      <c r="A42" s="144"/>
      <c r="B42" s="144"/>
      <c r="C42" s="144"/>
      <c r="D42" s="144"/>
      <c r="E42" s="144"/>
      <c r="F42" s="270" t="s">
        <v>211</v>
      </c>
      <c r="G42" s="270"/>
      <c r="H42" s="145"/>
    </row>
    <row r="43" spans="1:8">
      <c r="A43" s="271" t="s">
        <v>212</v>
      </c>
      <c r="B43" s="271"/>
      <c r="C43" s="272" t="str">
        <f>C2</f>
        <v>按长春2023年预算+财务费用按集团</v>
      </c>
      <c r="D43" s="272"/>
      <c r="E43" s="272"/>
      <c r="F43" s="272"/>
      <c r="G43" s="266"/>
      <c r="H43" s="146" t="s">
        <v>219</v>
      </c>
    </row>
    <row r="44" spans="1:8" ht="27">
      <c r="A44" s="271"/>
      <c r="B44" s="271"/>
      <c r="C44" s="154" t="s">
        <v>222</v>
      </c>
      <c r="D44" s="154" t="s">
        <v>220</v>
      </c>
      <c r="E44" s="155" t="s">
        <v>225</v>
      </c>
      <c r="F44" s="155" t="s">
        <v>224</v>
      </c>
      <c r="G44" s="155" t="s">
        <v>223</v>
      </c>
      <c r="H44" s="158">
        <f>'销量 附加值'!F8</f>
        <v>780</v>
      </c>
    </row>
    <row r="45" spans="1:8">
      <c r="A45" s="267" t="s">
        <v>213</v>
      </c>
      <c r="B45" s="267"/>
      <c r="C45" s="148"/>
      <c r="D45" s="149">
        <f>$H$44*E45</f>
        <v>12.245999999999999</v>
      </c>
      <c r="E45" s="153">
        <f t="shared" ref="E45:E52" si="6">E4</f>
        <v>1.5699999999999999E-2</v>
      </c>
      <c r="F45" s="149"/>
      <c r="G45" s="150">
        <v>4.48E-2</v>
      </c>
    </row>
    <row r="46" spans="1:8">
      <c r="A46" s="267" t="s">
        <v>214</v>
      </c>
      <c r="B46" s="171" t="s">
        <v>215</v>
      </c>
      <c r="C46" s="148"/>
      <c r="D46" s="149">
        <f t="shared" ref="D46:D52" si="7">$H$44*E46</f>
        <v>37.128</v>
      </c>
      <c r="E46" s="150">
        <f t="shared" si="6"/>
        <v>4.7600000000000003E-2</v>
      </c>
      <c r="F46" s="149"/>
      <c r="G46" s="150">
        <v>4.0399999999999998E-2</v>
      </c>
    </row>
    <row r="47" spans="1:8">
      <c r="A47" s="267"/>
      <c r="B47" s="171" t="s">
        <v>216</v>
      </c>
      <c r="C47" s="148"/>
      <c r="D47" s="149">
        <f t="shared" si="7"/>
        <v>2.964</v>
      </c>
      <c r="E47" s="153">
        <f t="shared" si="6"/>
        <v>3.8E-3</v>
      </c>
      <c r="F47" s="149"/>
      <c r="G47" s="150">
        <v>1.66E-2</v>
      </c>
    </row>
    <row r="48" spans="1:8">
      <c r="A48" s="265" t="s">
        <v>217</v>
      </c>
      <c r="B48" s="266"/>
      <c r="C48" s="152"/>
      <c r="D48" s="149">
        <f t="shared" si="7"/>
        <v>52.337999999999994</v>
      </c>
      <c r="E48" s="153">
        <f t="shared" si="6"/>
        <v>6.7099999999999993E-2</v>
      </c>
      <c r="F48" s="153"/>
      <c r="G48" s="153">
        <f>SUM(G45:G47)</f>
        <v>0.1018</v>
      </c>
    </row>
    <row r="49" spans="1:8">
      <c r="A49" s="267" t="s">
        <v>44</v>
      </c>
      <c r="B49" s="267"/>
      <c r="C49" s="148"/>
      <c r="D49" s="149">
        <f t="shared" si="7"/>
        <v>23.477999999999998</v>
      </c>
      <c r="E49" s="150">
        <f t="shared" si="6"/>
        <v>3.0099999999999998E-2</v>
      </c>
      <c r="F49" s="149"/>
      <c r="G49" s="150">
        <f>1.97%+0.75%</f>
        <v>2.7199999999999998E-2</v>
      </c>
    </row>
    <row r="50" spans="1:8">
      <c r="A50" s="268" t="s">
        <v>218</v>
      </c>
      <c r="B50" s="171" t="s">
        <v>215</v>
      </c>
      <c r="C50" s="148"/>
      <c r="D50" s="149">
        <f t="shared" si="7"/>
        <v>5.85</v>
      </c>
      <c r="E50" s="150">
        <f t="shared" si="6"/>
        <v>7.4999999999999997E-3</v>
      </c>
      <c r="F50" s="149"/>
      <c r="G50" s="150">
        <v>5.3E-3</v>
      </c>
    </row>
    <row r="51" spans="1:8">
      <c r="A51" s="269"/>
      <c r="B51" s="171" t="s">
        <v>216</v>
      </c>
      <c r="C51" s="148"/>
      <c r="D51" s="149">
        <f t="shared" si="7"/>
        <v>20.045999999999999</v>
      </c>
      <c r="E51" s="147">
        <f t="shared" si="6"/>
        <v>2.5700000000000001E-2</v>
      </c>
      <c r="F51" s="149"/>
      <c r="G51" s="150">
        <v>3.4099999999999998E-2</v>
      </c>
    </row>
    <row r="52" spans="1:8">
      <c r="A52" s="267" t="s">
        <v>47</v>
      </c>
      <c r="B52" s="267"/>
      <c r="C52" s="148"/>
      <c r="D52" s="149">
        <f t="shared" si="7"/>
        <v>39</v>
      </c>
      <c r="E52" s="150">
        <f t="shared" si="6"/>
        <v>0.05</v>
      </c>
      <c r="F52" s="149"/>
      <c r="G52" s="150">
        <v>1.0999999999999999E-2</v>
      </c>
    </row>
    <row r="55" spans="1:8">
      <c r="A55" s="144"/>
      <c r="B55" s="144"/>
      <c r="C55" s="144"/>
      <c r="D55" s="144"/>
      <c r="E55" s="144"/>
      <c r="F55" s="270" t="s">
        <v>211</v>
      </c>
      <c r="G55" s="270"/>
      <c r="H55" s="145"/>
    </row>
    <row r="56" spans="1:8">
      <c r="A56" s="271" t="s">
        <v>212</v>
      </c>
      <c r="B56" s="271"/>
      <c r="C56" s="272" t="str">
        <f>C2</f>
        <v>按长春2023年预算+财务费用按集团</v>
      </c>
      <c r="D56" s="272"/>
      <c r="E56" s="272"/>
      <c r="F56" s="272"/>
      <c r="G56" s="266"/>
      <c r="H56" s="146" t="s">
        <v>219</v>
      </c>
    </row>
    <row r="57" spans="1:8" ht="27">
      <c r="A57" s="271"/>
      <c r="B57" s="271"/>
      <c r="C57" s="154" t="s">
        <v>222</v>
      </c>
      <c r="D57" s="154" t="s">
        <v>220</v>
      </c>
      <c r="E57" s="155" t="s">
        <v>225</v>
      </c>
      <c r="F57" s="155" t="s">
        <v>224</v>
      </c>
      <c r="G57" s="155" t="s">
        <v>223</v>
      </c>
      <c r="H57" s="158">
        <f>'销量 附加值'!G8</f>
        <v>0</v>
      </c>
    </row>
    <row r="58" spans="1:8">
      <c r="A58" s="267" t="s">
        <v>213</v>
      </c>
      <c r="B58" s="267"/>
      <c r="C58" s="148"/>
      <c r="D58" s="149">
        <f>$H$57*E58</f>
        <v>0</v>
      </c>
      <c r="E58" s="153">
        <f t="shared" ref="E58:E65" si="8">E4</f>
        <v>1.5699999999999999E-2</v>
      </c>
      <c r="F58" s="149"/>
      <c r="G58" s="150">
        <v>4.48E-2</v>
      </c>
    </row>
    <row r="59" spans="1:8">
      <c r="A59" s="267" t="s">
        <v>214</v>
      </c>
      <c r="B59" s="171" t="s">
        <v>215</v>
      </c>
      <c r="C59" s="148"/>
      <c r="D59" s="149">
        <f t="shared" ref="D59:D65" si="9">$H$57*E59</f>
        <v>0</v>
      </c>
      <c r="E59" s="150">
        <f t="shared" si="8"/>
        <v>4.7600000000000003E-2</v>
      </c>
      <c r="F59" s="149"/>
      <c r="G59" s="150">
        <v>4.0399999999999998E-2</v>
      </c>
    </row>
    <row r="60" spans="1:8">
      <c r="A60" s="267"/>
      <c r="B60" s="171" t="s">
        <v>216</v>
      </c>
      <c r="C60" s="148"/>
      <c r="D60" s="149">
        <f t="shared" si="9"/>
        <v>0</v>
      </c>
      <c r="E60" s="153">
        <f t="shared" si="8"/>
        <v>3.8E-3</v>
      </c>
      <c r="F60" s="149"/>
      <c r="G60" s="150">
        <v>1.66E-2</v>
      </c>
    </row>
    <row r="61" spans="1:8">
      <c r="A61" s="265" t="s">
        <v>217</v>
      </c>
      <c r="B61" s="266"/>
      <c r="C61" s="152"/>
      <c r="D61" s="149">
        <f t="shared" si="9"/>
        <v>0</v>
      </c>
      <c r="E61" s="153">
        <f t="shared" si="8"/>
        <v>6.7099999999999993E-2</v>
      </c>
      <c r="F61" s="153"/>
      <c r="G61" s="153">
        <f>SUM(G58:G60)</f>
        <v>0.1018</v>
      </c>
    </row>
    <row r="62" spans="1:8">
      <c r="A62" s="267" t="s">
        <v>44</v>
      </c>
      <c r="B62" s="267"/>
      <c r="C62" s="148"/>
      <c r="D62" s="149">
        <f t="shared" si="9"/>
        <v>0</v>
      </c>
      <c r="E62" s="150">
        <f t="shared" si="8"/>
        <v>3.0099999999999998E-2</v>
      </c>
      <c r="F62" s="149"/>
      <c r="G62" s="150">
        <f>1.97%+0.75%</f>
        <v>2.7199999999999998E-2</v>
      </c>
    </row>
    <row r="63" spans="1:8">
      <c r="A63" s="268" t="s">
        <v>218</v>
      </c>
      <c r="B63" s="171" t="s">
        <v>215</v>
      </c>
      <c r="C63" s="148"/>
      <c r="D63" s="149">
        <f t="shared" si="9"/>
        <v>0</v>
      </c>
      <c r="E63" s="150">
        <f t="shared" si="8"/>
        <v>7.4999999999999997E-3</v>
      </c>
      <c r="F63" s="149"/>
      <c r="G63" s="150">
        <v>5.3E-3</v>
      </c>
    </row>
    <row r="64" spans="1:8">
      <c r="A64" s="269"/>
      <c r="B64" s="171" t="s">
        <v>216</v>
      </c>
      <c r="C64" s="148"/>
      <c r="D64" s="149">
        <f t="shared" si="9"/>
        <v>0</v>
      </c>
      <c r="E64" s="147">
        <f t="shared" si="8"/>
        <v>2.5700000000000001E-2</v>
      </c>
      <c r="F64" s="149"/>
      <c r="G64" s="150">
        <v>3.4099999999999998E-2</v>
      </c>
    </row>
    <row r="65" spans="1:8">
      <c r="A65" s="267" t="s">
        <v>47</v>
      </c>
      <c r="B65" s="267"/>
      <c r="C65" s="148"/>
      <c r="D65" s="149">
        <f t="shared" si="9"/>
        <v>0</v>
      </c>
      <c r="E65" s="150">
        <f t="shared" si="8"/>
        <v>0.05</v>
      </c>
      <c r="F65" s="149"/>
      <c r="G65" s="150">
        <v>1.0999999999999999E-2</v>
      </c>
    </row>
    <row r="68" spans="1:8">
      <c r="A68" s="144"/>
      <c r="B68" s="144"/>
      <c r="C68" s="144"/>
      <c r="D68" s="144"/>
      <c r="E68" s="144"/>
      <c r="F68" s="270" t="s">
        <v>211</v>
      </c>
      <c r="G68" s="270"/>
      <c r="H68" s="145"/>
    </row>
    <row r="69" spans="1:8">
      <c r="A69" s="271" t="s">
        <v>212</v>
      </c>
      <c r="B69" s="271"/>
      <c r="C69" s="272" t="str">
        <f>C2</f>
        <v>按长春2023年预算+财务费用按集团</v>
      </c>
      <c r="D69" s="272"/>
      <c r="E69" s="272"/>
      <c r="F69" s="272"/>
      <c r="G69" s="266"/>
      <c r="H69" s="146" t="s">
        <v>219</v>
      </c>
    </row>
    <row r="70" spans="1:8" ht="27">
      <c r="A70" s="271"/>
      <c r="B70" s="271"/>
      <c r="C70" s="154" t="s">
        <v>222</v>
      </c>
      <c r="D70" s="154" t="s">
        <v>220</v>
      </c>
      <c r="E70" s="155" t="s">
        <v>225</v>
      </c>
      <c r="F70" s="155" t="s">
        <v>224</v>
      </c>
      <c r="G70" s="155" t="s">
        <v>223</v>
      </c>
      <c r="H70" s="158">
        <f>'销量 附加值'!H8</f>
        <v>0</v>
      </c>
    </row>
    <row r="71" spans="1:8">
      <c r="A71" s="267" t="s">
        <v>213</v>
      </c>
      <c r="B71" s="267"/>
      <c r="C71" s="148"/>
      <c r="D71" s="149">
        <f>$H$70*E71</f>
        <v>0</v>
      </c>
      <c r="E71" s="153">
        <f t="shared" ref="E71:E78" si="10">E4</f>
        <v>1.5699999999999999E-2</v>
      </c>
      <c r="F71" s="149"/>
      <c r="G71" s="150">
        <v>4.48E-2</v>
      </c>
    </row>
    <row r="72" spans="1:8">
      <c r="A72" s="267" t="s">
        <v>214</v>
      </c>
      <c r="B72" s="171" t="s">
        <v>215</v>
      </c>
      <c r="C72" s="148"/>
      <c r="D72" s="149">
        <f t="shared" ref="D72:D78" si="11">$H$70*E72</f>
        <v>0</v>
      </c>
      <c r="E72" s="150">
        <f t="shared" si="10"/>
        <v>4.7600000000000003E-2</v>
      </c>
      <c r="F72" s="149"/>
      <c r="G72" s="150">
        <v>4.0399999999999998E-2</v>
      </c>
    </row>
    <row r="73" spans="1:8">
      <c r="A73" s="267"/>
      <c r="B73" s="171" t="s">
        <v>216</v>
      </c>
      <c r="C73" s="148"/>
      <c r="D73" s="149">
        <f t="shared" si="11"/>
        <v>0</v>
      </c>
      <c r="E73" s="153">
        <f t="shared" si="10"/>
        <v>3.8E-3</v>
      </c>
      <c r="F73" s="149"/>
      <c r="G73" s="150">
        <v>1.66E-2</v>
      </c>
    </row>
    <row r="74" spans="1:8">
      <c r="A74" s="265" t="s">
        <v>217</v>
      </c>
      <c r="B74" s="266"/>
      <c r="C74" s="152"/>
      <c r="D74" s="149">
        <f t="shared" si="11"/>
        <v>0</v>
      </c>
      <c r="E74" s="153">
        <f t="shared" si="10"/>
        <v>6.7099999999999993E-2</v>
      </c>
      <c r="F74" s="153"/>
      <c r="G74" s="153">
        <f>SUM(G71:G73)</f>
        <v>0.1018</v>
      </c>
    </row>
    <row r="75" spans="1:8">
      <c r="A75" s="267" t="s">
        <v>44</v>
      </c>
      <c r="B75" s="267"/>
      <c r="C75" s="148"/>
      <c r="D75" s="149">
        <f t="shared" si="11"/>
        <v>0</v>
      </c>
      <c r="E75" s="150">
        <f t="shared" si="10"/>
        <v>3.0099999999999998E-2</v>
      </c>
      <c r="F75" s="149"/>
      <c r="G75" s="150">
        <f>1.97%+0.75%</f>
        <v>2.7199999999999998E-2</v>
      </c>
    </row>
    <row r="76" spans="1:8">
      <c r="A76" s="268" t="s">
        <v>218</v>
      </c>
      <c r="B76" s="171" t="s">
        <v>215</v>
      </c>
      <c r="C76" s="148"/>
      <c r="D76" s="149">
        <f t="shared" si="11"/>
        <v>0</v>
      </c>
      <c r="E76" s="150">
        <f t="shared" si="10"/>
        <v>7.4999999999999997E-3</v>
      </c>
      <c r="F76" s="149"/>
      <c r="G76" s="150">
        <v>5.3E-3</v>
      </c>
    </row>
    <row r="77" spans="1:8">
      <c r="A77" s="269"/>
      <c r="B77" s="171" t="s">
        <v>216</v>
      </c>
      <c r="C77" s="148"/>
      <c r="D77" s="149">
        <f t="shared" si="11"/>
        <v>0</v>
      </c>
      <c r="E77" s="147">
        <f t="shared" si="10"/>
        <v>2.5700000000000001E-2</v>
      </c>
      <c r="F77" s="149"/>
      <c r="G77" s="150">
        <v>3.4099999999999998E-2</v>
      </c>
    </row>
    <row r="78" spans="1:8">
      <c r="A78" s="267" t="s">
        <v>47</v>
      </c>
      <c r="B78" s="267"/>
      <c r="C78" s="148"/>
      <c r="D78" s="149">
        <f t="shared" si="11"/>
        <v>0</v>
      </c>
      <c r="E78" s="150">
        <f t="shared" si="10"/>
        <v>0.05</v>
      </c>
      <c r="F78" s="149"/>
      <c r="G78" s="150">
        <v>1.0999999999999999E-2</v>
      </c>
    </row>
  </sheetData>
  <mergeCells count="54">
    <mergeCell ref="F1:G1"/>
    <mergeCell ref="A4:B4"/>
    <mergeCell ref="A7:B7"/>
    <mergeCell ref="A8:B8"/>
    <mergeCell ref="A11:B11"/>
    <mergeCell ref="A5:A6"/>
    <mergeCell ref="A9:A10"/>
    <mergeCell ref="A2:B3"/>
    <mergeCell ref="C2:G2"/>
    <mergeCell ref="F15:G15"/>
    <mergeCell ref="A16:B17"/>
    <mergeCell ref="C16:G16"/>
    <mergeCell ref="A18:B18"/>
    <mergeCell ref="A19:A20"/>
    <mergeCell ref="A21:B21"/>
    <mergeCell ref="A22:B22"/>
    <mergeCell ref="A23:A24"/>
    <mergeCell ref="A25:B25"/>
    <mergeCell ref="F29:G29"/>
    <mergeCell ref="A30:B31"/>
    <mergeCell ref="C30:G30"/>
    <mergeCell ref="A32:B32"/>
    <mergeCell ref="A33:A34"/>
    <mergeCell ref="A35:B35"/>
    <mergeCell ref="A36:B36"/>
    <mergeCell ref="A37:A38"/>
    <mergeCell ref="A39:B39"/>
    <mergeCell ref="F42:G42"/>
    <mergeCell ref="A43:B44"/>
    <mergeCell ref="C43:G43"/>
    <mergeCell ref="A45:B45"/>
    <mergeCell ref="A46:A47"/>
    <mergeCell ref="A48:B48"/>
    <mergeCell ref="A49:B49"/>
    <mergeCell ref="A50:A51"/>
    <mergeCell ref="A52:B52"/>
    <mergeCell ref="F55:G55"/>
    <mergeCell ref="A56:B57"/>
    <mergeCell ref="C56:G56"/>
    <mergeCell ref="A58:B58"/>
    <mergeCell ref="A59:A60"/>
    <mergeCell ref="A61:B61"/>
    <mergeCell ref="A62:B62"/>
    <mergeCell ref="A63:A64"/>
    <mergeCell ref="A65:B65"/>
    <mergeCell ref="A74:B74"/>
    <mergeCell ref="A75:B75"/>
    <mergeCell ref="A76:A77"/>
    <mergeCell ref="A78:B78"/>
    <mergeCell ref="F68:G68"/>
    <mergeCell ref="A69:B70"/>
    <mergeCell ref="C69:G69"/>
    <mergeCell ref="A71:B71"/>
    <mergeCell ref="A72:A73"/>
  </mergeCells>
  <phoneticPr fontId="38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4"/>
  <sheetViews>
    <sheetView tabSelected="1" workbookViewId="0">
      <pane xSplit="3" ySplit="7" topLeftCell="D17" activePane="bottomRight" state="frozen"/>
      <selection pane="topRight"/>
      <selection pane="bottomLeft"/>
      <selection pane="bottomRight" activeCell="H25" sqref="H25"/>
    </sheetView>
  </sheetViews>
  <sheetFormatPr defaultColWidth="9" defaultRowHeight="16.5"/>
  <cols>
    <col min="1" max="1" width="5.125" style="110" customWidth="1"/>
    <col min="2" max="2" width="32.625" style="110" bestFit="1" customWidth="1"/>
    <col min="3" max="8" width="12.875" style="111" customWidth="1"/>
    <col min="9" max="9" width="12.75" style="111" customWidth="1"/>
    <col min="10" max="10" width="9" style="110" customWidth="1"/>
    <col min="11" max="36" width="9" style="110"/>
    <col min="37" max="37" width="4.375" style="110" customWidth="1"/>
    <col min="38" max="38" width="13.875" style="110" customWidth="1"/>
    <col min="39" max="16384" width="9" style="110"/>
  </cols>
  <sheetData>
    <row r="1" spans="1:39" ht="27" customHeight="1">
      <c r="A1" s="212" t="s">
        <v>278</v>
      </c>
      <c r="B1" s="212"/>
      <c r="C1" s="212"/>
      <c r="D1" s="212"/>
      <c r="E1" s="212"/>
      <c r="F1" s="212"/>
      <c r="G1" s="212"/>
      <c r="H1" s="212"/>
      <c r="I1" s="212"/>
    </row>
    <row r="2" spans="1:39" ht="19.5" customHeight="1">
      <c r="A2" s="200"/>
      <c r="B2" s="201"/>
      <c r="C2" s="215" t="s">
        <v>274</v>
      </c>
      <c r="D2" s="215"/>
      <c r="E2" s="215"/>
      <c r="F2" s="215"/>
      <c r="G2" s="201"/>
      <c r="H2" s="201" t="s">
        <v>273</v>
      </c>
      <c r="I2" s="201"/>
    </row>
    <row r="3" spans="1:39" ht="15.75" customHeight="1">
      <c r="A3" s="213" t="s">
        <v>13</v>
      </c>
      <c r="B3" s="112" t="s">
        <v>1</v>
      </c>
      <c r="C3" s="112" t="s">
        <v>240</v>
      </c>
      <c r="D3" s="112" t="s">
        <v>241</v>
      </c>
      <c r="E3" s="112" t="s">
        <v>242</v>
      </c>
      <c r="F3" s="112" t="s">
        <v>243</v>
      </c>
      <c r="G3" s="112" t="s">
        <v>244</v>
      </c>
      <c r="H3" s="112" t="s">
        <v>266</v>
      </c>
      <c r="I3" s="51" t="s">
        <v>14</v>
      </c>
      <c r="AM3" s="110" t="s">
        <v>15</v>
      </c>
    </row>
    <row r="4" spans="1:39" s="48" customFormat="1" ht="15.75" customHeight="1">
      <c r="A4" s="214"/>
      <c r="B4" s="53" t="s">
        <v>3</v>
      </c>
      <c r="C4" s="113">
        <f>'2023年'!I6</f>
        <v>250</v>
      </c>
      <c r="D4" s="113">
        <f>'2024年'!I6</f>
        <v>2500</v>
      </c>
      <c r="E4" s="113">
        <f>'2025年'!I6</f>
        <v>3750</v>
      </c>
      <c r="F4" s="113">
        <f>'2026年'!I6</f>
        <v>3750</v>
      </c>
      <c r="G4" s="113">
        <f>'2027年'!I6</f>
        <v>3750</v>
      </c>
      <c r="H4" s="113">
        <f>'2028年'!I6</f>
        <v>6250</v>
      </c>
      <c r="I4" s="113">
        <f>SUM(C4:H4)</f>
        <v>20250</v>
      </c>
      <c r="J4" s="69"/>
      <c r="AK4" s="52" t="s">
        <v>13</v>
      </c>
      <c r="AL4" s="53" t="s">
        <v>3</v>
      </c>
      <c r="AM4" s="48" t="s">
        <v>16</v>
      </c>
    </row>
    <row r="5" spans="1:39" s="48" customFormat="1" ht="15.75" customHeight="1">
      <c r="A5" s="62">
        <v>1</v>
      </c>
      <c r="B5" s="53" t="s">
        <v>17</v>
      </c>
      <c r="C5" s="113">
        <f>'2023年'!I7</f>
        <v>600000</v>
      </c>
      <c r="D5" s="113">
        <f>'2024年'!I7</f>
        <v>6000000</v>
      </c>
      <c r="E5" s="113">
        <f>'2025年'!I7</f>
        <v>9017500</v>
      </c>
      <c r="F5" s="113">
        <f>'2026年'!I7</f>
        <v>9017500</v>
      </c>
      <c r="G5" s="113">
        <f>'2027年'!I7</f>
        <v>9017500</v>
      </c>
      <c r="H5" s="113">
        <f>'2028年'!I7</f>
        <v>15017500</v>
      </c>
      <c r="I5" s="113">
        <f t="shared" ref="I5:I11" si="0">SUM(C5:H5)</f>
        <v>48670000</v>
      </c>
      <c r="J5" s="69"/>
      <c r="AK5" s="52" t="s">
        <v>18</v>
      </c>
      <c r="AL5" s="53" t="s">
        <v>17</v>
      </c>
      <c r="AM5" s="48" t="s">
        <v>16</v>
      </c>
    </row>
    <row r="6" spans="1:39" s="48" customFormat="1" ht="15.75" customHeight="1">
      <c r="A6" s="62">
        <v>2</v>
      </c>
      <c r="B6" s="50" t="s">
        <v>19</v>
      </c>
      <c r="C6" s="113">
        <f>'2023年'!I8</f>
        <v>0</v>
      </c>
      <c r="D6" s="113">
        <f>'2024年'!I8</f>
        <v>180000.00000000015</v>
      </c>
      <c r="E6" s="113">
        <f>'2025年'!I8</f>
        <v>532934.24999999942</v>
      </c>
      <c r="F6" s="113">
        <f>'2026年'!I8</f>
        <v>787471.22249999945</v>
      </c>
      <c r="G6" s="113">
        <f>'2027年'!I8</f>
        <v>1034372.0858250008</v>
      </c>
      <c r="H6" s="113">
        <f>'2028年'!I8</f>
        <v>2121461.7690502498</v>
      </c>
      <c r="I6" s="113">
        <f t="shared" si="0"/>
        <v>4656239.3273752499</v>
      </c>
      <c r="J6" s="69"/>
      <c r="AK6" s="52" t="s">
        <v>20</v>
      </c>
      <c r="AL6" s="50" t="s">
        <v>21</v>
      </c>
      <c r="AM6" s="48" t="s">
        <v>16</v>
      </c>
    </row>
    <row r="7" spans="1:39" s="48" customFormat="1" ht="15.75" customHeight="1">
      <c r="A7" s="62">
        <v>3</v>
      </c>
      <c r="B7" s="53" t="s">
        <v>22</v>
      </c>
      <c r="C7" s="114">
        <f>+C5-C6</f>
        <v>600000</v>
      </c>
      <c r="D7" s="114">
        <f>'2024年'!I9</f>
        <v>5820000</v>
      </c>
      <c r="E7" s="114">
        <f>'2025年'!I9</f>
        <v>8484565.75</v>
      </c>
      <c r="F7" s="114">
        <f>'2026年'!I9</f>
        <v>8230028.7775000008</v>
      </c>
      <c r="G7" s="114">
        <f>'2027年'!I9</f>
        <v>7983127.9141749991</v>
      </c>
      <c r="H7" s="114">
        <f>'2028年'!I9</f>
        <v>12896038.23094975</v>
      </c>
      <c r="I7" s="113">
        <f t="shared" si="0"/>
        <v>44013760.672624752</v>
      </c>
      <c r="J7" s="69"/>
      <c r="AK7" s="52" t="s">
        <v>23</v>
      </c>
      <c r="AL7" s="53" t="s">
        <v>22</v>
      </c>
      <c r="AM7" s="48" t="s">
        <v>24</v>
      </c>
    </row>
    <row r="8" spans="1:39" s="48" customFormat="1" ht="15.75" customHeight="1">
      <c r="A8" s="62">
        <v>4</v>
      </c>
      <c r="B8" s="52" t="s">
        <v>25</v>
      </c>
      <c r="C8" s="113">
        <f>'2023年'!I10</f>
        <v>434695.19765469554</v>
      </c>
      <c r="D8" s="113">
        <f>'2024年'!I10</f>
        <v>4216543.4172505457</v>
      </c>
      <c r="E8" s="113">
        <f>'2025年'!I10</f>
        <v>6143614.9379545441</v>
      </c>
      <c r="F8" s="113">
        <f>'2026年'!I10</f>
        <v>5959306.4898159076</v>
      </c>
      <c r="G8" s="113">
        <f>'2027年'!I10</f>
        <v>5780527.2951214314</v>
      </c>
      <c r="H8" s="113">
        <f>'2028年'!I10</f>
        <v>9339987.0466125272</v>
      </c>
      <c r="I8" s="113">
        <f t="shared" si="0"/>
        <v>31874674.384409651</v>
      </c>
      <c r="J8" s="69"/>
      <c r="AK8" s="52" t="s">
        <v>26</v>
      </c>
      <c r="AL8" s="52" t="s">
        <v>25</v>
      </c>
      <c r="AM8" s="48" t="s">
        <v>27</v>
      </c>
    </row>
    <row r="9" spans="1:39" s="48" customFormat="1" ht="15.75" customHeight="1">
      <c r="A9" s="62">
        <v>5</v>
      </c>
      <c r="B9" s="52" t="s">
        <v>28</v>
      </c>
      <c r="C9" s="113">
        <f>'2023年'!I11</f>
        <v>9419.9999999999982</v>
      </c>
      <c r="D9" s="113">
        <f>'2024年'!I11</f>
        <v>94200</v>
      </c>
      <c r="E9" s="113">
        <f>'2025年'!I11</f>
        <v>141574.75</v>
      </c>
      <c r="F9" s="113">
        <f>'2026年'!I11</f>
        <v>141574.75</v>
      </c>
      <c r="G9" s="113">
        <f>'2027年'!I11</f>
        <v>141574.75</v>
      </c>
      <c r="H9" s="113">
        <f>'2028年'!I11</f>
        <v>235774.74999999997</v>
      </c>
      <c r="I9" s="113">
        <f t="shared" si="0"/>
        <v>764119</v>
      </c>
      <c r="J9" s="69"/>
      <c r="AK9" s="52" t="s">
        <v>29</v>
      </c>
      <c r="AL9" s="52" t="s">
        <v>28</v>
      </c>
    </row>
    <row r="10" spans="1:39" s="48" customFormat="1" ht="15.75" customHeight="1">
      <c r="A10" s="62">
        <v>6</v>
      </c>
      <c r="B10" s="52" t="s">
        <v>30</v>
      </c>
      <c r="C10" s="113">
        <f>'2023年'!I12</f>
        <v>2280</v>
      </c>
      <c r="D10" s="113">
        <f>'2024年'!I12</f>
        <v>22800</v>
      </c>
      <c r="E10" s="113">
        <f>'2025年'!I12</f>
        <v>34266.5</v>
      </c>
      <c r="F10" s="113">
        <f>'2026年'!I12</f>
        <v>34266.5</v>
      </c>
      <c r="G10" s="113">
        <f>'2027年'!I12</f>
        <v>34266.5</v>
      </c>
      <c r="H10" s="113">
        <f>'2028年'!I12</f>
        <v>57066.5</v>
      </c>
      <c r="I10" s="113">
        <f t="shared" si="0"/>
        <v>184946</v>
      </c>
      <c r="J10" s="69"/>
      <c r="AK10" s="52" t="s">
        <v>31</v>
      </c>
      <c r="AL10" s="52" t="s">
        <v>30</v>
      </c>
    </row>
    <row r="11" spans="1:39" s="48" customFormat="1" ht="15.75" customHeight="1">
      <c r="A11" s="62">
        <v>7</v>
      </c>
      <c r="B11" s="115" t="s">
        <v>32</v>
      </c>
      <c r="C11" s="113">
        <f>'2023年'!I13</f>
        <v>15420</v>
      </c>
      <c r="D11" s="113">
        <f>'2024年'!I13</f>
        <v>154200</v>
      </c>
      <c r="E11" s="113">
        <f>'2025年'!I13</f>
        <v>231749.75</v>
      </c>
      <c r="F11" s="113">
        <f>'2026年'!I13</f>
        <v>231749.75</v>
      </c>
      <c r="G11" s="113">
        <f>'2027年'!I13</f>
        <v>231749.75</v>
      </c>
      <c r="H11" s="113">
        <f>'2028年'!I13</f>
        <v>385949.75</v>
      </c>
      <c r="I11" s="113">
        <f t="shared" si="0"/>
        <v>1250819</v>
      </c>
      <c r="J11" s="69"/>
      <c r="AK11" s="52" t="s">
        <v>33</v>
      </c>
      <c r="AL11" s="52" t="s">
        <v>32</v>
      </c>
      <c r="AM11" s="48" t="s">
        <v>16</v>
      </c>
    </row>
    <row r="12" spans="1:39" s="48" customFormat="1" ht="15.75" customHeight="1">
      <c r="A12" s="205">
        <v>8</v>
      </c>
      <c r="B12" s="208" t="s">
        <v>34</v>
      </c>
      <c r="C12" s="207">
        <f>'2023年'!I14</f>
        <v>27120.000000000004</v>
      </c>
      <c r="D12" s="207">
        <f>'2024年'!I14</f>
        <v>271200</v>
      </c>
      <c r="E12" s="207">
        <f>'2025年'!I14</f>
        <v>407591</v>
      </c>
      <c r="F12" s="207">
        <f>'2026年'!I14</f>
        <v>407591</v>
      </c>
      <c r="G12" s="207">
        <f>'2027年'!I14</f>
        <v>407591</v>
      </c>
      <c r="H12" s="207">
        <f>'2028年'!I14</f>
        <v>678791</v>
      </c>
      <c r="I12" s="207">
        <f>SUM(C12:H12)</f>
        <v>2199884</v>
      </c>
      <c r="J12" s="69"/>
      <c r="AK12" s="52" t="s">
        <v>35</v>
      </c>
      <c r="AL12" s="55" t="s">
        <v>34</v>
      </c>
    </row>
    <row r="13" spans="1:39" s="48" customFormat="1" ht="15.75" customHeight="1">
      <c r="A13" s="62">
        <v>9</v>
      </c>
      <c r="B13" s="116" t="s">
        <v>36</v>
      </c>
      <c r="C13" s="113">
        <f>'2023年'!I15</f>
        <v>138184.80234530449</v>
      </c>
      <c r="D13" s="113">
        <f>'2024年'!I15</f>
        <v>1332256.5827494538</v>
      </c>
      <c r="E13" s="113">
        <f>'2025年'!I15</f>
        <v>1933359.8120454552</v>
      </c>
      <c r="F13" s="113">
        <f>'2026年'!I15</f>
        <v>1863131.2876840925</v>
      </c>
      <c r="G13" s="113">
        <f>'2027年'!I15</f>
        <v>1795009.6190535682</v>
      </c>
      <c r="H13" s="113">
        <f>'2028年'!I15</f>
        <v>2877260.1843372234</v>
      </c>
      <c r="I13" s="113">
        <f>I7-I8-I12</f>
        <v>9939202.2882151008</v>
      </c>
      <c r="J13" s="69"/>
      <c r="L13" s="110"/>
      <c r="M13" s="110"/>
      <c r="N13" s="110"/>
      <c r="O13" s="110"/>
      <c r="P13" s="110"/>
      <c r="Q13" s="110"/>
      <c r="AK13" s="52" t="s">
        <v>37</v>
      </c>
      <c r="AL13" s="55" t="s">
        <v>36</v>
      </c>
    </row>
    <row r="14" spans="1:39" ht="15.75" customHeight="1">
      <c r="A14" s="62">
        <v>10</v>
      </c>
      <c r="B14" s="117" t="s">
        <v>38</v>
      </c>
      <c r="C14" s="118">
        <f>+C13/C7</f>
        <v>0.23030800390884082</v>
      </c>
      <c r="D14" s="118">
        <f>'2024年'!I16</f>
        <v>0.22891006576451098</v>
      </c>
      <c r="E14" s="118">
        <f>'2025年'!I16</f>
        <v>0.22786785664846257</v>
      </c>
      <c r="F14" s="118">
        <f>'2026年'!I16</f>
        <v>0.22638211093230801</v>
      </c>
      <c r="G14" s="118">
        <f>'2027年'!I16</f>
        <v>0.22485041431771546</v>
      </c>
      <c r="H14" s="118">
        <f>'2028年'!I16</f>
        <v>0.22311194591777531</v>
      </c>
      <c r="I14" s="118">
        <f>+I13/I7</f>
        <v>0.225820337465437</v>
      </c>
      <c r="J14" s="69"/>
      <c r="AK14" s="117" t="s">
        <v>39</v>
      </c>
      <c r="AL14" s="117" t="s">
        <v>38</v>
      </c>
    </row>
    <row r="15" spans="1:39" ht="15.75" customHeight="1">
      <c r="A15" s="62">
        <v>11</v>
      </c>
      <c r="B15" s="117" t="s">
        <v>40</v>
      </c>
      <c r="C15" s="113">
        <f>'2023年'!I17</f>
        <v>203280.83333333331</v>
      </c>
      <c r="D15" s="113">
        <f>'2024年'!I17</f>
        <v>460320.83333333331</v>
      </c>
      <c r="E15" s="113">
        <f>'2025年'!I17</f>
        <v>603953.83333333349</v>
      </c>
      <c r="F15" s="113">
        <f>'2026年'!I17</f>
        <v>603953.83333333349</v>
      </c>
      <c r="G15" s="113">
        <f>'2027年'!I17</f>
        <v>603953.83333333349</v>
      </c>
      <c r="H15" s="113">
        <f>'2028年'!I17</f>
        <v>889553.83333333349</v>
      </c>
      <c r="I15" s="113">
        <f t="shared" ref="I15" si="1">SUM(C15:H15)</f>
        <v>3365017.0000000005</v>
      </c>
      <c r="J15" s="69"/>
      <c r="AK15" s="117" t="s">
        <v>41</v>
      </c>
      <c r="AL15" s="117" t="s">
        <v>40</v>
      </c>
    </row>
    <row r="16" spans="1:39" ht="15.75" hidden="1" customHeight="1">
      <c r="A16" s="156"/>
      <c r="B16" s="117"/>
      <c r="C16" s="113"/>
      <c r="D16" s="113"/>
      <c r="E16" s="113"/>
      <c r="F16" s="113"/>
      <c r="G16" s="113"/>
      <c r="H16" s="113"/>
      <c r="I16" s="113"/>
      <c r="J16" s="69"/>
      <c r="AK16" s="117"/>
      <c r="AL16" s="117"/>
    </row>
    <row r="17" spans="1:39" ht="15.75" customHeight="1">
      <c r="A17" s="62">
        <v>12</v>
      </c>
      <c r="B17" s="117" t="s">
        <v>42</v>
      </c>
      <c r="C17" s="119">
        <f>'2023年'!I19</f>
        <v>4500</v>
      </c>
      <c r="D17" s="119">
        <f>'2024年'!I19</f>
        <v>45000</v>
      </c>
      <c r="E17" s="119">
        <f>'2025年'!I19</f>
        <v>67631.25</v>
      </c>
      <c r="F17" s="119">
        <f>'2026年'!I19</f>
        <v>67631.25</v>
      </c>
      <c r="G17" s="119">
        <f>'2027年'!I19</f>
        <v>67631.25</v>
      </c>
      <c r="H17" s="119">
        <f>'2028年'!I19</f>
        <v>112631.25</v>
      </c>
      <c r="I17" s="113">
        <f t="shared" ref="I17" si="2">SUM(C17:E17)</f>
        <v>117131.25</v>
      </c>
      <c r="J17" s="69"/>
      <c r="R17" s="69"/>
      <c r="AK17" s="117" t="s">
        <v>43</v>
      </c>
      <c r="AL17" s="117" t="s">
        <v>42</v>
      </c>
      <c r="AM17" s="110" t="s">
        <v>16</v>
      </c>
    </row>
    <row r="18" spans="1:39" ht="15.75" customHeight="1">
      <c r="A18" s="62">
        <v>13</v>
      </c>
      <c r="B18" s="117" t="s">
        <v>44</v>
      </c>
      <c r="C18" s="119">
        <f>'2023年'!I20</f>
        <v>18060</v>
      </c>
      <c r="D18" s="119">
        <f>'2024年'!I20</f>
        <v>180600</v>
      </c>
      <c r="E18" s="119">
        <f>'2025年'!I20</f>
        <v>271426.75</v>
      </c>
      <c r="F18" s="119">
        <f>'2026年'!I20</f>
        <v>271426.75</v>
      </c>
      <c r="G18" s="119">
        <f>'2027年'!I20</f>
        <v>271426.75</v>
      </c>
      <c r="H18" s="119">
        <f>'2028年'!I20</f>
        <v>452026.75</v>
      </c>
      <c r="I18" s="113">
        <f t="shared" ref="I18:I20" si="3">SUM(C18:H18)</f>
        <v>1464967</v>
      </c>
      <c r="J18" s="69"/>
      <c r="AK18" s="117" t="s">
        <v>45</v>
      </c>
      <c r="AL18" s="117" t="s">
        <v>44</v>
      </c>
    </row>
    <row r="19" spans="1:39" s="47" customFormat="1" ht="15.75" customHeight="1">
      <c r="A19" s="62">
        <v>14</v>
      </c>
      <c r="B19" s="60" t="s">
        <v>46</v>
      </c>
      <c r="C19" s="120">
        <f>'2023年'!I21</f>
        <v>36416.666666666664</v>
      </c>
      <c r="D19" s="120">
        <f>'2024年'!I21</f>
        <v>36416.666666666664</v>
      </c>
      <c r="E19" s="120">
        <f>'2025年'!I21</f>
        <v>36416.666666666664</v>
      </c>
      <c r="F19" s="120">
        <f>'2026年'!I21</f>
        <v>36416.666666666664</v>
      </c>
      <c r="G19" s="120">
        <f>'2027年'!I21</f>
        <v>36416.666666666664</v>
      </c>
      <c r="H19" s="120">
        <f>'2028年'!I21</f>
        <v>36416.666666666664</v>
      </c>
      <c r="I19" s="113">
        <f t="shared" si="3"/>
        <v>218499.99999999997</v>
      </c>
      <c r="J19" s="69"/>
      <c r="AK19" s="60"/>
      <c r="AL19" s="60"/>
    </row>
    <row r="20" spans="1:39" s="48" customFormat="1" ht="15.75" customHeight="1">
      <c r="A20" s="62">
        <v>15</v>
      </c>
      <c r="B20" s="52" t="s">
        <v>47</v>
      </c>
      <c r="C20" s="119">
        <f>'2023年'!I22</f>
        <v>30000</v>
      </c>
      <c r="D20" s="119">
        <f>'2024年'!I22</f>
        <v>300000</v>
      </c>
      <c r="E20" s="119">
        <f>'2025年'!I22</f>
        <v>450875</v>
      </c>
      <c r="F20" s="119">
        <f>'2026年'!I22</f>
        <v>450875</v>
      </c>
      <c r="G20" s="119">
        <f>'2027年'!I22</f>
        <v>450875</v>
      </c>
      <c r="H20" s="119">
        <f>'2028年'!I22</f>
        <v>750875</v>
      </c>
      <c r="I20" s="113">
        <f t="shared" si="3"/>
        <v>2433500</v>
      </c>
      <c r="J20" s="69"/>
      <c r="AK20" s="52" t="s">
        <v>48</v>
      </c>
      <c r="AL20" s="52" t="s">
        <v>47</v>
      </c>
    </row>
    <row r="21" spans="1:39" s="108" customFormat="1" ht="15.75" customHeight="1">
      <c r="A21" s="205">
        <v>16</v>
      </c>
      <c r="B21" s="206" t="s">
        <v>49</v>
      </c>
      <c r="C21" s="207">
        <f t="shared" ref="C21" si="4">+C20+C19+C18+C17+C15</f>
        <v>292257.5</v>
      </c>
      <c r="D21" s="207">
        <f>'2024年'!I23</f>
        <v>1022337.5</v>
      </c>
      <c r="E21" s="207">
        <f>'2025年'!I23</f>
        <v>1430303.5000000002</v>
      </c>
      <c r="F21" s="207">
        <f>'2026年'!I23</f>
        <v>1430303.5000000002</v>
      </c>
      <c r="G21" s="207">
        <f>'2027年'!I23</f>
        <v>1430303.5000000002</v>
      </c>
      <c r="H21" s="207">
        <f>'2028年'!I23</f>
        <v>2241503.5</v>
      </c>
      <c r="I21" s="207">
        <f>SUM(C21:H21)</f>
        <v>7847009</v>
      </c>
      <c r="J21" s="69"/>
      <c r="AK21" s="133" t="s">
        <v>50</v>
      </c>
      <c r="AL21" s="134" t="s">
        <v>49</v>
      </c>
    </row>
    <row r="22" spans="1:39" ht="15.75" customHeight="1">
      <c r="A22" s="62">
        <v>17</v>
      </c>
      <c r="B22" s="117" t="s">
        <v>51</v>
      </c>
      <c r="C22" s="121">
        <f>+C13-C21</f>
        <v>-154072.69765469551</v>
      </c>
      <c r="D22" s="121">
        <f>'2024年'!I24</f>
        <v>309919.08274945384</v>
      </c>
      <c r="E22" s="121">
        <f>'2025年'!I24</f>
        <v>503056.31204545498</v>
      </c>
      <c r="F22" s="121">
        <f>'2026年'!I24</f>
        <v>432827.7876840923</v>
      </c>
      <c r="G22" s="121">
        <f>'2027年'!I24</f>
        <v>364706.11905356799</v>
      </c>
      <c r="H22" s="121">
        <f>'2028年'!I24</f>
        <v>635756.68433722341</v>
      </c>
      <c r="I22" s="121">
        <f>+I13-I21</f>
        <v>2092193.2882151008</v>
      </c>
      <c r="J22" s="69"/>
      <c r="AK22" s="117" t="s">
        <v>52</v>
      </c>
      <c r="AL22" s="117" t="s">
        <v>51</v>
      </c>
    </row>
    <row r="23" spans="1:39" ht="15.75" customHeight="1">
      <c r="A23" s="62">
        <v>18</v>
      </c>
      <c r="B23" s="117" t="s">
        <v>53</v>
      </c>
      <c r="C23" s="121">
        <f>IF(C22&lt;0,0,C22*0.25)</f>
        <v>0</v>
      </c>
      <c r="D23" s="121">
        <f>'2024年'!I25</f>
        <v>77479.77068736346</v>
      </c>
      <c r="E23" s="121">
        <f>'2025年'!I25</f>
        <v>125764.07801136374</v>
      </c>
      <c r="F23" s="121">
        <f>'2026年'!I25</f>
        <v>108206.94692102307</v>
      </c>
      <c r="G23" s="121">
        <f>'2027年'!I25</f>
        <v>91176.529763391998</v>
      </c>
      <c r="H23" s="121">
        <f>'2028年'!I25</f>
        <v>158939.17108430585</v>
      </c>
      <c r="I23" s="121">
        <f>IF(I22&lt;0,0,I22*0.25)</f>
        <v>523048.32205377519</v>
      </c>
      <c r="J23" s="69"/>
      <c r="AK23" s="117" t="s">
        <v>54</v>
      </c>
      <c r="AL23" s="117" t="s">
        <v>53</v>
      </c>
    </row>
    <row r="24" spans="1:39" ht="15.75" customHeight="1">
      <c r="A24" s="62">
        <v>19</v>
      </c>
      <c r="B24" s="117" t="s">
        <v>55</v>
      </c>
      <c r="C24" s="121">
        <f>C22-C23</f>
        <v>-154072.69765469551</v>
      </c>
      <c r="D24" s="121">
        <f>'2024年'!I26</f>
        <v>233183.46466232301</v>
      </c>
      <c r="E24" s="121">
        <f>'2025年'!I26</f>
        <v>384389.87417917408</v>
      </c>
      <c r="F24" s="121">
        <f>'2026年'!I26</f>
        <v>305295.34894514759</v>
      </c>
      <c r="G24" s="121">
        <f>'2027年'!I26</f>
        <v>271789.70314518444</v>
      </c>
      <c r="H24" s="121">
        <f>'2028年'!I26</f>
        <v>481586.26665166731</v>
      </c>
      <c r="I24" s="121">
        <f>I22-I23</f>
        <v>1569144.9661613256</v>
      </c>
      <c r="J24" s="69"/>
      <c r="AK24" s="117" t="s">
        <v>56</v>
      </c>
      <c r="AL24" s="117" t="s">
        <v>55</v>
      </c>
    </row>
    <row r="25" spans="1:39" ht="15.75" customHeight="1">
      <c r="A25" s="62">
        <v>20</v>
      </c>
      <c r="B25" s="117" t="s">
        <v>57</v>
      </c>
      <c r="C25" s="122">
        <f>(C24/C5)*100%</f>
        <v>-0.25678782942449252</v>
      </c>
      <c r="D25" s="122">
        <f>'2024年'!I27</f>
        <v>3.8863910777053833E-2</v>
      </c>
      <c r="E25" s="122">
        <f>'2025年'!I27</f>
        <v>4.2627099992145728E-2</v>
      </c>
      <c r="F25" s="122">
        <f>'2026年'!I27</f>
        <v>3.3855874571128097E-2</v>
      </c>
      <c r="G25" s="122">
        <f>'2027年'!I27</f>
        <v>3.0140249863619011E-2</v>
      </c>
      <c r="H25" s="122">
        <f>'2028年'!I27</f>
        <v>3.2068338049053922E-2</v>
      </c>
      <c r="I25" s="122">
        <f>(I24/I5)*100%</f>
        <v>3.2240496530949778E-2</v>
      </c>
      <c r="J25" s="69"/>
      <c r="AK25" s="135" t="s">
        <v>58</v>
      </c>
      <c r="AL25" s="135" t="s">
        <v>59</v>
      </c>
    </row>
    <row r="26" spans="1:39" s="109" customFormat="1" ht="15.75" customHeight="1">
      <c r="C26" s="123"/>
      <c r="D26" s="123"/>
      <c r="E26" s="123"/>
      <c r="F26" s="123"/>
      <c r="G26" s="123"/>
      <c r="H26" s="123"/>
      <c r="I26" s="123"/>
      <c r="J26" s="132"/>
    </row>
    <row r="27" spans="1:39" s="109" customFormat="1" ht="15.75" customHeight="1">
      <c r="A27" s="109" t="s">
        <v>60</v>
      </c>
      <c r="C27" s="124"/>
      <c r="D27" s="124"/>
      <c r="E27" s="124"/>
      <c r="F27" s="124"/>
      <c r="G27" s="124"/>
      <c r="H27" s="124"/>
      <c r="I27" s="124"/>
      <c r="J27" s="132"/>
      <c r="AK27" s="109" t="s">
        <v>60</v>
      </c>
    </row>
    <row r="28" spans="1:39" ht="15.75" customHeight="1">
      <c r="A28" s="117" t="s">
        <v>13</v>
      </c>
      <c r="B28" s="125" t="s">
        <v>1</v>
      </c>
      <c r="C28" s="112" t="s">
        <v>240</v>
      </c>
      <c r="D28" s="112" t="s">
        <v>241</v>
      </c>
      <c r="E28" s="112" t="s">
        <v>242</v>
      </c>
      <c r="F28" s="112" t="s">
        <v>243</v>
      </c>
      <c r="G28" s="112" t="s">
        <v>266</v>
      </c>
      <c r="H28" s="112" t="s">
        <v>266</v>
      </c>
      <c r="I28" s="51" t="s">
        <v>14</v>
      </c>
      <c r="AM28" s="110" t="s">
        <v>15</v>
      </c>
    </row>
    <row r="29" spans="1:39" s="48" customFormat="1" ht="15.75" customHeight="1">
      <c r="A29" s="52" t="s">
        <v>61</v>
      </c>
      <c r="B29" s="55" t="s">
        <v>62</v>
      </c>
      <c r="C29" s="59"/>
      <c r="D29" s="59"/>
      <c r="E29" s="59"/>
      <c r="F29" s="59"/>
      <c r="G29" s="59"/>
      <c r="H29" s="59"/>
      <c r="I29" s="59"/>
      <c r="J29" s="69"/>
      <c r="AK29" s="52" t="s">
        <v>63</v>
      </c>
      <c r="AL29" s="55" t="s">
        <v>62</v>
      </c>
    </row>
    <row r="30" spans="1:39" s="48" customFormat="1" ht="15.75" customHeight="1">
      <c r="A30" s="52" t="s">
        <v>18</v>
      </c>
      <c r="B30" s="52" t="s">
        <v>64</v>
      </c>
      <c r="C30" s="54">
        <f>+C7/C4</f>
        <v>2400</v>
      </c>
      <c r="D30" s="54">
        <f t="shared" ref="D30:H30" si="5">+D7/D4</f>
        <v>2328</v>
      </c>
      <c r="E30" s="54">
        <f t="shared" si="5"/>
        <v>2262.5508666666665</v>
      </c>
      <c r="F30" s="54">
        <f t="shared" si="5"/>
        <v>2194.6743406666669</v>
      </c>
      <c r="G30" s="54">
        <f t="shared" ref="G30" si="6">+G7/G4</f>
        <v>2128.8341104466663</v>
      </c>
      <c r="H30" s="54">
        <f t="shared" si="5"/>
        <v>2063.3661169519601</v>
      </c>
      <c r="I30" s="54">
        <f>+I7/I4</f>
        <v>2173.5190455617162</v>
      </c>
      <c r="J30" s="69"/>
      <c r="AK30" s="52" t="s">
        <v>18</v>
      </c>
      <c r="AL30" s="52" t="s">
        <v>64</v>
      </c>
    </row>
    <row r="31" spans="1:39" s="48" customFormat="1" ht="15.75" customHeight="1">
      <c r="A31" s="52" t="s">
        <v>20</v>
      </c>
      <c r="B31" s="52" t="s">
        <v>65</v>
      </c>
      <c r="C31" s="54">
        <f>+C8/C4</f>
        <v>1738.7807906187822</v>
      </c>
      <c r="D31" s="54">
        <f t="shared" ref="D31:H31" si="7">+D8/D4</f>
        <v>1686.6173669002183</v>
      </c>
      <c r="E31" s="54">
        <f t="shared" si="7"/>
        <v>1638.2973167878783</v>
      </c>
      <c r="F31" s="54">
        <f t="shared" si="7"/>
        <v>1589.148397284242</v>
      </c>
      <c r="G31" s="54">
        <f t="shared" ref="G31" si="8">+G8/G4</f>
        <v>1541.4739453657151</v>
      </c>
      <c r="H31" s="54">
        <f t="shared" si="7"/>
        <v>1494.3979274580045</v>
      </c>
      <c r="I31" s="54">
        <f>+I8/I4</f>
        <v>1574.0579942918346</v>
      </c>
      <c r="J31" s="69"/>
      <c r="AK31" s="52" t="s">
        <v>20</v>
      </c>
      <c r="AL31" s="52" t="s">
        <v>65</v>
      </c>
    </row>
    <row r="32" spans="1:39" s="48" customFormat="1" ht="15.75" customHeight="1">
      <c r="A32" s="52" t="s">
        <v>66</v>
      </c>
      <c r="B32" s="52" t="s">
        <v>67</v>
      </c>
      <c r="C32" s="59">
        <f t="shared" ref="C32:I32" si="9">C30-C31</f>
        <v>661.21920938121775</v>
      </c>
      <c r="D32" s="59">
        <f t="shared" si="9"/>
        <v>641.38263309978174</v>
      </c>
      <c r="E32" s="59">
        <f t="shared" si="9"/>
        <v>624.25354987878814</v>
      </c>
      <c r="F32" s="59">
        <f t="shared" si="9"/>
        <v>605.52594338242488</v>
      </c>
      <c r="G32" s="59">
        <f t="shared" ref="G32" si="10">G30-G31</f>
        <v>587.36016508095122</v>
      </c>
      <c r="H32" s="59">
        <f t="shared" si="9"/>
        <v>568.96818949395561</v>
      </c>
      <c r="I32" s="59">
        <f t="shared" si="9"/>
        <v>599.46105126988164</v>
      </c>
      <c r="J32" s="69"/>
      <c r="AK32" s="52" t="s">
        <v>66</v>
      </c>
      <c r="AL32" s="52" t="s">
        <v>67</v>
      </c>
    </row>
    <row r="33" spans="1:38" s="48" customFormat="1" ht="15.75" customHeight="1">
      <c r="A33" s="52">
        <v>3.1</v>
      </c>
      <c r="B33" s="52" t="s">
        <v>68</v>
      </c>
      <c r="C33" s="126">
        <f t="shared" ref="C33:I33" si="11">C32/C30</f>
        <v>0.27550800390884073</v>
      </c>
      <c r="D33" s="126">
        <f t="shared" si="11"/>
        <v>0.27550800390884095</v>
      </c>
      <c r="E33" s="126">
        <f t="shared" si="11"/>
        <v>0.27590696813746252</v>
      </c>
      <c r="F33" s="126">
        <f t="shared" si="11"/>
        <v>0.27590696813746263</v>
      </c>
      <c r="G33" s="126">
        <f t="shared" ref="G33" si="12">G32/G30</f>
        <v>0.27590696813746229</v>
      </c>
      <c r="H33" s="126">
        <f t="shared" si="11"/>
        <v>0.2757475684123597</v>
      </c>
      <c r="I33" s="126">
        <f t="shared" si="11"/>
        <v>0.27580206968692983</v>
      </c>
      <c r="J33" s="69"/>
      <c r="AK33" s="52"/>
      <c r="AL33" s="52"/>
    </row>
    <row r="34" spans="1:38" s="48" customFormat="1" ht="15.75" customHeight="1">
      <c r="A34" s="52" t="s">
        <v>63</v>
      </c>
      <c r="B34" s="55" t="s">
        <v>8</v>
      </c>
      <c r="C34" s="59"/>
      <c r="D34" s="59"/>
      <c r="E34" s="59"/>
      <c r="F34" s="59"/>
      <c r="G34" s="59"/>
      <c r="H34" s="59"/>
      <c r="I34" s="59"/>
      <c r="J34" s="69"/>
      <c r="AK34" s="52" t="s">
        <v>69</v>
      </c>
      <c r="AL34" s="55" t="s">
        <v>8</v>
      </c>
    </row>
    <row r="35" spans="1:38" s="48" customFormat="1" ht="15.75" customHeight="1">
      <c r="A35" s="52" t="s">
        <v>18</v>
      </c>
      <c r="B35" s="60" t="s">
        <v>70</v>
      </c>
      <c r="C35" s="54">
        <f>+C9/C4</f>
        <v>37.679999999999993</v>
      </c>
      <c r="D35" s="54">
        <f t="shared" ref="D35:H35" si="13">+D9/D4</f>
        <v>37.68</v>
      </c>
      <c r="E35" s="54">
        <f t="shared" si="13"/>
        <v>37.753266666666669</v>
      </c>
      <c r="F35" s="54">
        <f t="shared" si="13"/>
        <v>37.753266666666669</v>
      </c>
      <c r="G35" s="54">
        <f t="shared" ref="G35" si="14">+G9/G4</f>
        <v>37.753266666666669</v>
      </c>
      <c r="H35" s="54">
        <f t="shared" si="13"/>
        <v>37.723959999999998</v>
      </c>
      <c r="I35" s="54">
        <f>+I9/I4</f>
        <v>37.734271604938272</v>
      </c>
      <c r="J35" s="69"/>
      <c r="AK35" s="52" t="s">
        <v>66</v>
      </c>
      <c r="AL35" s="52" t="s">
        <v>70</v>
      </c>
    </row>
    <row r="36" spans="1:38" s="48" customFormat="1" ht="15.75" customHeight="1">
      <c r="A36" s="52" t="s">
        <v>20</v>
      </c>
      <c r="B36" s="60" t="s">
        <v>71</v>
      </c>
      <c r="C36" s="54">
        <f>+C10/C4</f>
        <v>9.1199999999999992</v>
      </c>
      <c r="D36" s="54">
        <f t="shared" ref="D36:H36" si="15">+D10/D4</f>
        <v>9.1199999999999992</v>
      </c>
      <c r="E36" s="54">
        <f t="shared" si="15"/>
        <v>9.1377333333333333</v>
      </c>
      <c r="F36" s="54">
        <f t="shared" si="15"/>
        <v>9.1377333333333333</v>
      </c>
      <c r="G36" s="54">
        <f t="shared" ref="G36" si="16">+G10/G4</f>
        <v>9.1377333333333333</v>
      </c>
      <c r="H36" s="54">
        <f t="shared" si="15"/>
        <v>9.1306399999999996</v>
      </c>
      <c r="I36" s="54">
        <f>+I10/I4</f>
        <v>9.1331358024691358</v>
      </c>
      <c r="J36" s="69"/>
      <c r="AK36" s="52" t="s">
        <v>23</v>
      </c>
      <c r="AL36" s="52" t="s">
        <v>71</v>
      </c>
    </row>
    <row r="37" spans="1:38" s="48" customFormat="1" ht="15.75" customHeight="1">
      <c r="A37" s="52" t="s">
        <v>66</v>
      </c>
      <c r="B37" s="60" t="s">
        <v>72</v>
      </c>
      <c r="C37" s="54">
        <f>+C11/C4</f>
        <v>61.68</v>
      </c>
      <c r="D37" s="54">
        <f t="shared" ref="D37:H37" si="17">+D11/D4</f>
        <v>61.68</v>
      </c>
      <c r="E37" s="54">
        <f t="shared" si="17"/>
        <v>61.799933333333335</v>
      </c>
      <c r="F37" s="54">
        <f t="shared" si="17"/>
        <v>61.799933333333335</v>
      </c>
      <c r="G37" s="54">
        <f t="shared" ref="G37" si="18">+G11/G4</f>
        <v>61.799933333333335</v>
      </c>
      <c r="H37" s="54">
        <f t="shared" si="17"/>
        <v>61.751959999999997</v>
      </c>
      <c r="I37" s="54">
        <f>+I11/I4</f>
        <v>61.768839506172839</v>
      </c>
      <c r="J37" s="69"/>
      <c r="AK37" s="52" t="s">
        <v>29</v>
      </c>
      <c r="AL37" s="52" t="s">
        <v>72</v>
      </c>
    </row>
    <row r="38" spans="1:38" s="48" customFormat="1" ht="15.75" customHeight="1">
      <c r="A38" s="52" t="s">
        <v>73</v>
      </c>
      <c r="B38" s="116" t="s">
        <v>74</v>
      </c>
      <c r="C38" s="54"/>
      <c r="D38" s="54"/>
      <c r="E38" s="54"/>
      <c r="F38" s="54"/>
      <c r="G38" s="54"/>
      <c r="H38" s="54"/>
      <c r="I38" s="54"/>
      <c r="J38" s="69"/>
      <c r="AK38" s="52" t="s">
        <v>73</v>
      </c>
      <c r="AL38" s="55" t="s">
        <v>74</v>
      </c>
    </row>
    <row r="39" spans="1:38" s="48" customFormat="1">
      <c r="A39" s="52" t="s">
        <v>18</v>
      </c>
      <c r="B39" s="60" t="s">
        <v>75</v>
      </c>
      <c r="C39" s="54">
        <f>+C13/C4</f>
        <v>552.73920938121796</v>
      </c>
      <c r="D39" s="54">
        <f t="shared" ref="D39:H39" si="19">+D13/D4</f>
        <v>532.9026330997815</v>
      </c>
      <c r="E39" s="54">
        <f t="shared" si="19"/>
        <v>515.56261654545472</v>
      </c>
      <c r="F39" s="54">
        <f t="shared" si="19"/>
        <v>496.83501004909135</v>
      </c>
      <c r="G39" s="54">
        <f t="shared" ref="G39" si="20">+G13/G4</f>
        <v>478.6692317476182</v>
      </c>
      <c r="H39" s="54">
        <f t="shared" si="19"/>
        <v>460.36162949395577</v>
      </c>
      <c r="I39" s="54">
        <f>+I13/I4</f>
        <v>490.82480435630129</v>
      </c>
      <c r="J39" s="69"/>
      <c r="AK39" s="52" t="s">
        <v>18</v>
      </c>
      <c r="AL39" s="52" t="s">
        <v>76</v>
      </c>
    </row>
    <row r="40" spans="1:38" s="48" customFormat="1" ht="15.75" customHeight="1">
      <c r="A40" s="52" t="s">
        <v>20</v>
      </c>
      <c r="B40" s="60" t="s">
        <v>77</v>
      </c>
      <c r="C40" s="113">
        <f t="shared" ref="C40:H40" si="21">+C21/C39</f>
        <v>528.74392668321332</v>
      </c>
      <c r="D40" s="113">
        <f t="shared" si="21"/>
        <v>1918.4320671363168</v>
      </c>
      <c r="E40" s="113">
        <f t="shared" si="21"/>
        <v>2774.2575859820845</v>
      </c>
      <c r="F40" s="113">
        <f t="shared" si="21"/>
        <v>2878.8299356333091</v>
      </c>
      <c r="G40" s="113">
        <f t="shared" ref="G40" si="22">+G21/G39</f>
        <v>2988.0832214303218</v>
      </c>
      <c r="H40" s="113">
        <f t="shared" si="21"/>
        <v>4869.0059214186294</v>
      </c>
      <c r="I40" s="175">
        <f t="shared" ref="I40" si="23">+I21/I39</f>
        <v>15987.392915667871</v>
      </c>
      <c r="J40" s="69"/>
      <c r="AK40" s="52" t="s">
        <v>20</v>
      </c>
      <c r="AL40" s="52" t="s">
        <v>77</v>
      </c>
    </row>
    <row r="41" spans="1:38" s="48" customFormat="1" ht="15.75" customHeight="1">
      <c r="A41" s="52" t="s">
        <v>78</v>
      </c>
      <c r="B41" s="55" t="s">
        <v>79</v>
      </c>
      <c r="C41" s="59"/>
      <c r="D41" s="59"/>
      <c r="E41" s="59"/>
      <c r="F41" s="59"/>
      <c r="G41" s="59"/>
      <c r="H41" s="59"/>
      <c r="I41" s="59"/>
      <c r="J41" s="69"/>
      <c r="AK41" s="52" t="s">
        <v>78</v>
      </c>
      <c r="AL41" s="55" t="s">
        <v>79</v>
      </c>
    </row>
    <row r="42" spans="1:38" s="48" customFormat="1" ht="15.75" customHeight="1">
      <c r="A42" s="52" t="s">
        <v>18</v>
      </c>
      <c r="B42" s="52" t="s">
        <v>80</v>
      </c>
      <c r="C42" s="59">
        <f>+C15/C4</f>
        <v>813.12333333333322</v>
      </c>
      <c r="D42" s="59">
        <f t="shared" ref="D42:H42" si="24">+D15/D4</f>
        <v>184.12833333333333</v>
      </c>
      <c r="E42" s="59">
        <f t="shared" si="24"/>
        <v>161.05435555555559</v>
      </c>
      <c r="F42" s="59">
        <f t="shared" si="24"/>
        <v>161.05435555555559</v>
      </c>
      <c r="G42" s="59">
        <f t="shared" ref="G42" si="25">+G15/G4</f>
        <v>161.05435555555559</v>
      </c>
      <c r="H42" s="59">
        <f t="shared" si="24"/>
        <v>142.32861333333335</v>
      </c>
      <c r="I42" s="59">
        <f>+I15/I4</f>
        <v>166.1736790123457</v>
      </c>
      <c r="J42" s="69"/>
      <c r="AK42" s="52" t="s">
        <v>18</v>
      </c>
      <c r="AL42" s="52" t="s">
        <v>80</v>
      </c>
    </row>
    <row r="43" spans="1:38" s="48" customFormat="1" ht="15.75" customHeight="1">
      <c r="A43" s="52" t="s">
        <v>20</v>
      </c>
      <c r="B43" s="52" t="s">
        <v>81</v>
      </c>
      <c r="C43" s="59">
        <f>+C17/C4</f>
        <v>18</v>
      </c>
      <c r="D43" s="59">
        <f t="shared" ref="D43:H43" si="26">+D17/D4</f>
        <v>18</v>
      </c>
      <c r="E43" s="59">
        <f t="shared" si="26"/>
        <v>18.035</v>
      </c>
      <c r="F43" s="59">
        <f t="shared" si="26"/>
        <v>18.035</v>
      </c>
      <c r="G43" s="59">
        <f t="shared" ref="G43" si="27">+G17/G4</f>
        <v>18.035</v>
      </c>
      <c r="H43" s="59">
        <f t="shared" si="26"/>
        <v>18.021000000000001</v>
      </c>
      <c r="I43" s="59">
        <f>+I17/I4</f>
        <v>5.784259259259259</v>
      </c>
      <c r="J43" s="69"/>
      <c r="AK43" s="52" t="s">
        <v>20</v>
      </c>
      <c r="AL43" s="52" t="s">
        <v>81</v>
      </c>
    </row>
    <row r="44" spans="1:38" s="48" customFormat="1" ht="15.75" customHeight="1">
      <c r="A44" s="52" t="s">
        <v>66</v>
      </c>
      <c r="B44" s="52" t="s">
        <v>82</v>
      </c>
      <c r="C44" s="59">
        <f>+C18/C4</f>
        <v>72.239999999999995</v>
      </c>
      <c r="D44" s="59">
        <f t="shared" ref="D44:H44" si="28">+D18/D4</f>
        <v>72.239999999999995</v>
      </c>
      <c r="E44" s="59">
        <f t="shared" si="28"/>
        <v>72.380466666666663</v>
      </c>
      <c r="F44" s="59">
        <f t="shared" si="28"/>
        <v>72.380466666666663</v>
      </c>
      <c r="G44" s="59">
        <f t="shared" ref="G44" si="29">+G18/G4</f>
        <v>72.380466666666663</v>
      </c>
      <c r="H44" s="59">
        <f t="shared" si="28"/>
        <v>72.324280000000002</v>
      </c>
      <c r="I44" s="59">
        <f>+I18/I4</f>
        <v>72.344049382716051</v>
      </c>
      <c r="J44" s="69"/>
      <c r="AK44" s="52" t="s">
        <v>66</v>
      </c>
      <c r="AL44" s="52" t="s">
        <v>82</v>
      </c>
    </row>
    <row r="45" spans="1:38" s="48" customFormat="1" ht="15.75" customHeight="1">
      <c r="A45" s="52" t="s">
        <v>23</v>
      </c>
      <c r="B45" s="52" t="s">
        <v>83</v>
      </c>
      <c r="C45" s="59"/>
      <c r="D45" s="59"/>
      <c r="E45" s="59"/>
      <c r="F45" s="59"/>
      <c r="G45" s="59"/>
      <c r="H45" s="59"/>
      <c r="I45" s="59"/>
      <c r="J45" s="69"/>
      <c r="AK45" s="52" t="s">
        <v>23</v>
      </c>
      <c r="AL45" s="52" t="s">
        <v>84</v>
      </c>
    </row>
    <row r="46" spans="1:38" s="48" customFormat="1" ht="15.75" customHeight="1">
      <c r="A46" s="52" t="s">
        <v>26</v>
      </c>
      <c r="B46" s="52" t="s">
        <v>85</v>
      </c>
      <c r="C46" s="59"/>
      <c r="D46" s="59"/>
      <c r="E46" s="59"/>
      <c r="F46" s="59"/>
      <c r="G46" s="59"/>
      <c r="H46" s="59"/>
      <c r="I46" s="59"/>
      <c r="J46" s="69"/>
      <c r="AK46" s="52" t="s">
        <v>26</v>
      </c>
      <c r="AL46" s="52" t="s">
        <v>85</v>
      </c>
    </row>
    <row r="47" spans="1:38" s="48" customFormat="1" ht="15.75" customHeight="1">
      <c r="A47" s="52" t="s">
        <v>86</v>
      </c>
      <c r="B47" s="55" t="s">
        <v>87</v>
      </c>
      <c r="C47" s="59"/>
      <c r="D47" s="59"/>
      <c r="E47" s="59"/>
      <c r="F47" s="59"/>
      <c r="G47" s="59"/>
      <c r="H47" s="59"/>
      <c r="I47" s="59"/>
      <c r="J47" s="69"/>
      <c r="AK47" s="52" t="s">
        <v>86</v>
      </c>
      <c r="AL47" s="55" t="s">
        <v>87</v>
      </c>
    </row>
    <row r="48" spans="1:38" s="48" customFormat="1" ht="15.75" customHeight="1">
      <c r="A48" s="52" t="s">
        <v>18</v>
      </c>
      <c r="B48" s="52" t="s">
        <v>88</v>
      </c>
      <c r="C48" s="127">
        <f>+(C11+C17)/C7</f>
        <v>3.32E-2</v>
      </c>
      <c r="D48" s="127">
        <f t="shared" ref="D48:H48" si="30">+(D11+D17)/D7</f>
        <v>3.4226804123711339E-2</v>
      </c>
      <c r="E48" s="127">
        <f t="shared" si="30"/>
        <v>3.5285365075991074E-2</v>
      </c>
      <c r="F48" s="127">
        <f t="shared" si="30"/>
        <v>3.6376665026794916E-2</v>
      </c>
      <c r="G48" s="127">
        <f t="shared" ref="G48" si="31">+(G11+G17)/G7</f>
        <v>3.7501716522468996E-2</v>
      </c>
      <c r="H48" s="127">
        <f t="shared" si="30"/>
        <v>3.866156342522576E-2</v>
      </c>
      <c r="I48" s="127">
        <f>+(I11+I17)/I7</f>
        <v>3.10800583520877E-2</v>
      </c>
      <c r="J48" s="69"/>
      <c r="AK48" s="52" t="s">
        <v>18</v>
      </c>
      <c r="AL48" s="52" t="s">
        <v>88</v>
      </c>
    </row>
    <row r="49" spans="1:38" s="48" customFormat="1" ht="15.75" customHeight="1">
      <c r="A49" s="52" t="s">
        <v>20</v>
      </c>
      <c r="B49" s="52" t="s">
        <v>89</v>
      </c>
      <c r="C49" s="127">
        <f>+(C9+C10+C15)/C7</f>
        <v>0.35830138888888885</v>
      </c>
      <c r="D49" s="127">
        <f t="shared" ref="D49:H49" si="32">+(D9+D10+D15)/D7</f>
        <v>9.9196019473081321E-2</v>
      </c>
      <c r="E49" s="127">
        <f t="shared" si="32"/>
        <v>9.1907483106408061E-2</v>
      </c>
      <c r="F49" s="127">
        <f t="shared" si="32"/>
        <v>9.4749982583925835E-2</v>
      </c>
      <c r="G49" s="127">
        <f t="shared" ref="G49" si="33">+(G9+G10+G15)/G7</f>
        <v>9.7680394416418403E-2</v>
      </c>
      <c r="H49" s="127">
        <f t="shared" si="32"/>
        <v>9.1686691847396459E-2</v>
      </c>
      <c r="I49" s="127">
        <f>+(I9+I10+I15)/I7</f>
        <v>9.8016664199367776E-2</v>
      </c>
      <c r="J49" s="69"/>
      <c r="AK49" s="52" t="s">
        <v>20</v>
      </c>
      <c r="AL49" s="52" t="s">
        <v>89</v>
      </c>
    </row>
    <row r="50" spans="1:38" s="48" customFormat="1" ht="15.75" customHeight="1">
      <c r="A50" s="52" t="s">
        <v>66</v>
      </c>
      <c r="B50" s="52" t="s">
        <v>90</v>
      </c>
      <c r="C50" s="127">
        <f>+C18/C7</f>
        <v>3.0099999999999998E-2</v>
      </c>
      <c r="D50" s="127">
        <f t="shared" ref="D50:H50" si="34">+D18/D7</f>
        <v>3.1030927835051545E-2</v>
      </c>
      <c r="E50" s="127">
        <f t="shared" si="34"/>
        <v>3.1990647252630462E-2</v>
      </c>
      <c r="F50" s="127">
        <f t="shared" si="34"/>
        <v>3.2980048714052017E-2</v>
      </c>
      <c r="G50" s="127">
        <f t="shared" ref="G50" si="35">+G18/G7</f>
        <v>3.4000050220672193E-2</v>
      </c>
      <c r="H50" s="127">
        <f t="shared" si="34"/>
        <v>3.5051598165641427E-2</v>
      </c>
      <c r="I50" s="127">
        <f>+I18/I7</f>
        <v>3.3284295129799392E-2</v>
      </c>
      <c r="J50" s="69"/>
      <c r="AK50" s="52" t="s">
        <v>66</v>
      </c>
      <c r="AL50" s="52" t="s">
        <v>90</v>
      </c>
    </row>
    <row r="51" spans="1:38" s="48" customFormat="1" ht="15.75" customHeight="1">
      <c r="A51" s="52" t="s">
        <v>23</v>
      </c>
      <c r="B51" s="52" t="s">
        <v>91</v>
      </c>
      <c r="C51" s="127">
        <f>+C19/C7</f>
        <v>6.069444444444444E-2</v>
      </c>
      <c r="D51" s="127">
        <f t="shared" ref="D51:H51" si="36">+D19/D7</f>
        <v>6.2571592210767463E-3</v>
      </c>
      <c r="E51" s="127">
        <f t="shared" si="36"/>
        <v>4.2921073086936313E-3</v>
      </c>
      <c r="F51" s="127">
        <f t="shared" si="36"/>
        <v>4.4248528955604443E-3</v>
      </c>
      <c r="G51" s="127">
        <f t="shared" ref="G51" si="37">+G19/G7</f>
        <v>4.5617040160416964E-3</v>
      </c>
      <c r="H51" s="127">
        <f t="shared" si="36"/>
        <v>2.8238646640538611E-3</v>
      </c>
      <c r="I51" s="127">
        <f>+I19/I7</f>
        <v>4.9643565253423222E-3</v>
      </c>
      <c r="J51" s="69"/>
      <c r="AK51" s="52" t="s">
        <v>23</v>
      </c>
      <c r="AL51" s="52" t="s">
        <v>91</v>
      </c>
    </row>
    <row r="52" spans="1:38" s="48" customFormat="1" ht="15.75" customHeight="1">
      <c r="A52" s="52" t="s">
        <v>26</v>
      </c>
      <c r="B52" s="52" t="s">
        <v>92</v>
      </c>
      <c r="C52" s="127">
        <f>+C20/C7</f>
        <v>0.05</v>
      </c>
      <c r="D52" s="127">
        <f t="shared" ref="D52:H52" si="38">+D20/D7</f>
        <v>5.1546391752577317E-2</v>
      </c>
      <c r="E52" s="127">
        <f t="shared" si="38"/>
        <v>5.3140610054203424E-2</v>
      </c>
      <c r="F52" s="127">
        <f t="shared" si="38"/>
        <v>5.4784134076498368E-2</v>
      </c>
      <c r="G52" s="127">
        <f t="shared" ref="G52" si="39">+G20/G7</f>
        <v>5.6478488738658121E-2</v>
      </c>
      <c r="H52" s="127">
        <f t="shared" si="38"/>
        <v>5.8225246122327955E-2</v>
      </c>
      <c r="I52" s="127">
        <f>+I20/I7</f>
        <v>5.5289526793686698E-2</v>
      </c>
      <c r="J52" s="69"/>
      <c r="AK52" s="52" t="s">
        <v>26</v>
      </c>
      <c r="AL52" s="52" t="s">
        <v>92</v>
      </c>
    </row>
    <row r="53" spans="1:38" s="48" customFormat="1" ht="15.75" customHeight="1">
      <c r="A53" s="52" t="s">
        <v>29</v>
      </c>
      <c r="B53" s="52" t="s">
        <v>93</v>
      </c>
      <c r="C53" s="127">
        <f>+C24/C7</f>
        <v>-0.25678782942449252</v>
      </c>
      <c r="D53" s="127">
        <f t="shared" ref="D53:H53" si="40">+D24/D7</f>
        <v>4.0065887399024572E-2</v>
      </c>
      <c r="E53" s="127">
        <f t="shared" si="40"/>
        <v>4.5304601968483071E-2</v>
      </c>
      <c r="F53" s="127">
        <f t="shared" si="40"/>
        <v>3.7095295435635861E-2</v>
      </c>
      <c r="G53" s="127">
        <f t="shared" ref="G53" si="41">+G24/G7</f>
        <v>3.4045515250054968E-2</v>
      </c>
      <c r="H53" s="127">
        <f t="shared" si="40"/>
        <v>3.7343737512803579E-2</v>
      </c>
      <c r="I53" s="127">
        <f>+I24/I7</f>
        <v>3.5651235935794209E-2</v>
      </c>
      <c r="J53" s="69"/>
      <c r="AK53" s="52" t="s">
        <v>29</v>
      </c>
      <c r="AL53" s="52" t="s">
        <v>94</v>
      </c>
    </row>
    <row r="54" spans="1:38" s="48" customFormat="1" ht="15.75" customHeight="1">
      <c r="A54" s="52" t="s">
        <v>95</v>
      </c>
      <c r="B54" s="55" t="s">
        <v>96</v>
      </c>
      <c r="C54" s="59">
        <f>+C22/C4</f>
        <v>-616.29079061878201</v>
      </c>
      <c r="D54" s="59">
        <f t="shared" ref="D54:H54" si="42">+D22/D4</f>
        <v>123.96763309978154</v>
      </c>
      <c r="E54" s="59">
        <f t="shared" si="42"/>
        <v>134.148349878788</v>
      </c>
      <c r="F54" s="59">
        <f t="shared" si="42"/>
        <v>115.42074338242462</v>
      </c>
      <c r="G54" s="59">
        <f t="shared" ref="G54" si="43">+G22/G4</f>
        <v>97.254965080951465</v>
      </c>
      <c r="H54" s="59">
        <f t="shared" si="42"/>
        <v>101.72106949395575</v>
      </c>
      <c r="I54" s="59">
        <f>+I22/I4</f>
        <v>103.31818707235065</v>
      </c>
      <c r="J54" s="69"/>
      <c r="AK54" s="52" t="s">
        <v>95</v>
      </c>
      <c r="AL54" s="55" t="s">
        <v>96</v>
      </c>
    </row>
    <row r="55" spans="1:38" s="48" customFormat="1" ht="15.75" customHeight="1">
      <c r="A55" s="52" t="s">
        <v>97</v>
      </c>
      <c r="B55" s="128" t="s">
        <v>98</v>
      </c>
      <c r="C55" s="59"/>
      <c r="D55" s="59"/>
      <c r="E55" s="59"/>
      <c r="F55" s="59"/>
      <c r="G55" s="59"/>
      <c r="H55" s="59"/>
      <c r="I55" s="59"/>
      <c r="J55" s="69"/>
      <c r="AK55" s="52"/>
      <c r="AL55" s="55"/>
    </row>
    <row r="56" spans="1:38" s="48" customFormat="1" ht="15.75" customHeight="1">
      <c r="A56" s="52" t="s">
        <v>18</v>
      </c>
      <c r="B56" s="52" t="s">
        <v>99</v>
      </c>
      <c r="C56" s="59">
        <f>C57+C58</f>
        <v>1322000</v>
      </c>
      <c r="D56" s="59"/>
      <c r="E56" s="59"/>
      <c r="F56" s="59"/>
      <c r="G56" s="59"/>
      <c r="H56" s="59"/>
      <c r="I56" s="59"/>
      <c r="J56" s="69"/>
    </row>
    <row r="57" spans="1:38" s="48" customFormat="1" ht="15.75" customHeight="1">
      <c r="A57" s="52">
        <v>1.1000000000000001</v>
      </c>
      <c r="B57" s="129" t="s">
        <v>100</v>
      </c>
      <c r="C57" s="59">
        <f>项目投资!B27</f>
        <v>218500</v>
      </c>
      <c r="D57" s="59"/>
      <c r="E57" s="59"/>
      <c r="F57" s="59"/>
      <c r="G57" s="59"/>
      <c r="H57" s="59"/>
      <c r="I57" s="59"/>
      <c r="J57" s="69"/>
    </row>
    <row r="58" spans="1:38" s="48" customFormat="1" ht="15.75" customHeight="1">
      <c r="A58" s="52">
        <v>1.2</v>
      </c>
      <c r="B58" s="52" t="s">
        <v>101</v>
      </c>
      <c r="C58" s="59">
        <f>项目投资!B26</f>
        <v>1103500</v>
      </c>
      <c r="D58" s="59"/>
      <c r="E58" s="59"/>
      <c r="F58" s="59"/>
      <c r="G58" s="59"/>
      <c r="H58" s="59"/>
      <c r="I58" s="59"/>
      <c r="J58" s="69"/>
    </row>
    <row r="59" spans="1:38" ht="15.75" customHeight="1">
      <c r="A59" s="117" t="s">
        <v>20</v>
      </c>
      <c r="B59" s="117" t="s">
        <v>102</v>
      </c>
      <c r="C59" s="130">
        <f t="shared" ref="C59:H59" si="44">C60+C61</f>
        <v>20648.135678637831</v>
      </c>
      <c r="D59" s="130">
        <f t="shared" si="44"/>
        <v>407904.29799565638</v>
      </c>
      <c r="E59" s="130">
        <f t="shared" si="44"/>
        <v>559110.70751250745</v>
      </c>
      <c r="F59" s="130">
        <f t="shared" si="44"/>
        <v>480016.18227848096</v>
      </c>
      <c r="G59" s="130">
        <f t="shared" ref="G59" si="45">G60+G61</f>
        <v>446510.53647851781</v>
      </c>
      <c r="H59" s="130">
        <f t="shared" si="44"/>
        <v>656307.09998500068</v>
      </c>
      <c r="I59" s="130">
        <f t="shared" ref="I59" si="46">I60+I61</f>
        <v>2617469.9661613256</v>
      </c>
      <c r="J59" s="69"/>
    </row>
    <row r="60" spans="1:38" ht="15.75" customHeight="1">
      <c r="A60" s="117" t="s">
        <v>66</v>
      </c>
      <c r="B60" s="117" t="s">
        <v>103</v>
      </c>
      <c r="C60" s="130">
        <f t="shared" ref="C60:H60" si="47">C24</f>
        <v>-154072.69765469551</v>
      </c>
      <c r="D60" s="130">
        <f t="shared" si="47"/>
        <v>233183.46466232301</v>
      </c>
      <c r="E60" s="130">
        <f t="shared" si="47"/>
        <v>384389.87417917408</v>
      </c>
      <c r="F60" s="130">
        <f t="shared" si="47"/>
        <v>305295.34894514759</v>
      </c>
      <c r="G60" s="130">
        <f t="shared" ref="G60" si="48">G24</f>
        <v>271789.70314518444</v>
      </c>
      <c r="H60" s="130">
        <f t="shared" si="47"/>
        <v>481586.26665166731</v>
      </c>
      <c r="I60" s="130">
        <f t="shared" ref="I60" si="49">I24</f>
        <v>1569144.9661613256</v>
      </c>
      <c r="J60" s="69"/>
    </row>
    <row r="61" spans="1:38" ht="15.75" customHeight="1">
      <c r="A61" s="117" t="s">
        <v>23</v>
      </c>
      <c r="B61" s="117" t="s">
        <v>104</v>
      </c>
      <c r="C61" s="130">
        <f>'2023年'!I18</f>
        <v>174720.83333333334</v>
      </c>
      <c r="D61" s="130">
        <f>'2024年'!I18</f>
        <v>174720.83333333334</v>
      </c>
      <c r="E61" s="130">
        <f>'2025年'!I18</f>
        <v>174720.83333333334</v>
      </c>
      <c r="F61" s="130">
        <f>'2026年'!I18</f>
        <v>174720.83333333334</v>
      </c>
      <c r="G61" s="130">
        <f>'2027年'!I18</f>
        <v>174720.83333333334</v>
      </c>
      <c r="H61" s="130">
        <f>'2028年'!I18</f>
        <v>174720.83333333334</v>
      </c>
      <c r="I61" s="130">
        <f>项目投资!J26</f>
        <v>1048325.0000000001</v>
      </c>
      <c r="J61" s="69"/>
    </row>
    <row r="62" spans="1:38" ht="15.75" customHeight="1">
      <c r="A62" s="117" t="s">
        <v>26</v>
      </c>
      <c r="B62" s="117" t="s">
        <v>105</v>
      </c>
      <c r="C62" s="131"/>
      <c r="D62" s="131"/>
      <c r="E62" s="131"/>
      <c r="F62" s="131"/>
      <c r="G62" s="131"/>
      <c r="H62" s="131"/>
      <c r="I62" s="130"/>
      <c r="J62" s="69"/>
    </row>
    <row r="64" spans="1:38">
      <c r="B64"/>
    </row>
  </sheetData>
  <mergeCells count="3">
    <mergeCell ref="A1:I1"/>
    <mergeCell ref="A3:A4"/>
    <mergeCell ref="C2:F2"/>
  </mergeCells>
  <phoneticPr fontId="38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73" customWidth="1"/>
    <col min="2" max="2" width="28.5" style="73" customWidth="1"/>
    <col min="3" max="4" width="9.125" style="73"/>
    <col min="5" max="5" width="13.875" style="73" customWidth="1"/>
    <col min="6" max="12" width="16.125" style="73" customWidth="1"/>
    <col min="13" max="13" width="10.625" style="73" customWidth="1"/>
    <col min="14" max="254" width="9.125" style="73"/>
    <col min="255" max="255" width="8" style="73" customWidth="1"/>
    <col min="256" max="256" width="28.5" style="73" customWidth="1"/>
    <col min="257" max="268" width="9.125" style="73"/>
    <col min="269" max="269" width="10.625" style="73" customWidth="1"/>
    <col min="270" max="510" width="9.125" style="73"/>
    <col min="511" max="511" width="8" style="73" customWidth="1"/>
    <col min="512" max="512" width="28.5" style="73" customWidth="1"/>
    <col min="513" max="524" width="9.125" style="73"/>
    <col min="525" max="525" width="10.625" style="73" customWidth="1"/>
    <col min="526" max="766" width="9.125" style="73"/>
    <col min="767" max="767" width="8" style="73" customWidth="1"/>
    <col min="768" max="768" width="28.5" style="73" customWidth="1"/>
    <col min="769" max="780" width="9.125" style="73"/>
    <col min="781" max="781" width="10.625" style="73" customWidth="1"/>
    <col min="782" max="1022" width="9.125" style="73"/>
    <col min="1023" max="1023" width="8" style="73" customWidth="1"/>
    <col min="1024" max="1024" width="28.5" style="73" customWidth="1"/>
    <col min="1025" max="1036" width="9.125" style="73"/>
    <col min="1037" max="1037" width="10.625" style="73" customWidth="1"/>
    <col min="1038" max="1278" width="9.125" style="73"/>
    <col min="1279" max="1279" width="8" style="73" customWidth="1"/>
    <col min="1280" max="1280" width="28.5" style="73" customWidth="1"/>
    <col min="1281" max="1292" width="9.125" style="73"/>
    <col min="1293" max="1293" width="10.625" style="73" customWidth="1"/>
    <col min="1294" max="1534" width="9.125" style="73"/>
    <col min="1535" max="1535" width="8" style="73" customWidth="1"/>
    <col min="1536" max="1536" width="28.5" style="73" customWidth="1"/>
    <col min="1537" max="1548" width="9.125" style="73"/>
    <col min="1549" max="1549" width="10.625" style="73" customWidth="1"/>
    <col min="1550" max="1790" width="9.125" style="73"/>
    <col min="1791" max="1791" width="8" style="73" customWidth="1"/>
    <col min="1792" max="1792" width="28.5" style="73" customWidth="1"/>
    <col min="1793" max="1804" width="9.125" style="73"/>
    <col min="1805" max="1805" width="10.625" style="73" customWidth="1"/>
    <col min="1806" max="2046" width="9.125" style="73"/>
    <col min="2047" max="2047" width="8" style="73" customWidth="1"/>
    <col min="2048" max="2048" width="28.5" style="73" customWidth="1"/>
    <col min="2049" max="2060" width="9.125" style="73"/>
    <col min="2061" max="2061" width="10.625" style="73" customWidth="1"/>
    <col min="2062" max="2302" width="9.125" style="73"/>
    <col min="2303" max="2303" width="8" style="73" customWidth="1"/>
    <col min="2304" max="2304" width="28.5" style="73" customWidth="1"/>
    <col min="2305" max="2316" width="9.125" style="73"/>
    <col min="2317" max="2317" width="10.625" style="73" customWidth="1"/>
    <col min="2318" max="2558" width="9.125" style="73"/>
    <col min="2559" max="2559" width="8" style="73" customWidth="1"/>
    <col min="2560" max="2560" width="28.5" style="73" customWidth="1"/>
    <col min="2561" max="2572" width="9.125" style="73"/>
    <col min="2573" max="2573" width="10.625" style="73" customWidth="1"/>
    <col min="2574" max="2814" width="9.125" style="73"/>
    <col min="2815" max="2815" width="8" style="73" customWidth="1"/>
    <col min="2816" max="2816" width="28.5" style="73" customWidth="1"/>
    <col min="2817" max="2828" width="9.125" style="73"/>
    <col min="2829" max="2829" width="10.625" style="73" customWidth="1"/>
    <col min="2830" max="3070" width="9.125" style="73"/>
    <col min="3071" max="3071" width="8" style="73" customWidth="1"/>
    <col min="3072" max="3072" width="28.5" style="73" customWidth="1"/>
    <col min="3073" max="3084" width="9.125" style="73"/>
    <col min="3085" max="3085" width="10.625" style="73" customWidth="1"/>
    <col min="3086" max="3326" width="9.125" style="73"/>
    <col min="3327" max="3327" width="8" style="73" customWidth="1"/>
    <col min="3328" max="3328" width="28.5" style="73" customWidth="1"/>
    <col min="3329" max="3340" width="9.125" style="73"/>
    <col min="3341" max="3341" width="10.625" style="73" customWidth="1"/>
    <col min="3342" max="3582" width="9.125" style="73"/>
    <col min="3583" max="3583" width="8" style="73" customWidth="1"/>
    <col min="3584" max="3584" width="28.5" style="73" customWidth="1"/>
    <col min="3585" max="3596" width="9.125" style="73"/>
    <col min="3597" max="3597" width="10.625" style="73" customWidth="1"/>
    <col min="3598" max="3838" width="9.125" style="73"/>
    <col min="3839" max="3839" width="8" style="73" customWidth="1"/>
    <col min="3840" max="3840" width="28.5" style="73" customWidth="1"/>
    <col min="3841" max="3852" width="9.125" style="73"/>
    <col min="3853" max="3853" width="10.625" style="73" customWidth="1"/>
    <col min="3854" max="4094" width="9.125" style="73"/>
    <col min="4095" max="4095" width="8" style="73" customWidth="1"/>
    <col min="4096" max="4096" width="28.5" style="73" customWidth="1"/>
    <col min="4097" max="4108" width="9.125" style="73"/>
    <col min="4109" max="4109" width="10.625" style="73" customWidth="1"/>
    <col min="4110" max="4350" width="9.125" style="73"/>
    <col min="4351" max="4351" width="8" style="73" customWidth="1"/>
    <col min="4352" max="4352" width="28.5" style="73" customWidth="1"/>
    <col min="4353" max="4364" width="9.125" style="73"/>
    <col min="4365" max="4365" width="10.625" style="73" customWidth="1"/>
    <col min="4366" max="4606" width="9.125" style="73"/>
    <col min="4607" max="4607" width="8" style="73" customWidth="1"/>
    <col min="4608" max="4608" width="28.5" style="73" customWidth="1"/>
    <col min="4609" max="4620" width="9.125" style="73"/>
    <col min="4621" max="4621" width="10.625" style="73" customWidth="1"/>
    <col min="4622" max="4862" width="9.125" style="73"/>
    <col min="4863" max="4863" width="8" style="73" customWidth="1"/>
    <col min="4864" max="4864" width="28.5" style="73" customWidth="1"/>
    <col min="4865" max="4876" width="9.125" style="73"/>
    <col min="4877" max="4877" width="10.625" style="73" customWidth="1"/>
    <col min="4878" max="5118" width="9.125" style="73"/>
    <col min="5119" max="5119" width="8" style="73" customWidth="1"/>
    <col min="5120" max="5120" width="28.5" style="73" customWidth="1"/>
    <col min="5121" max="5132" width="9.125" style="73"/>
    <col min="5133" max="5133" width="10.625" style="73" customWidth="1"/>
    <col min="5134" max="5374" width="9.125" style="73"/>
    <col min="5375" max="5375" width="8" style="73" customWidth="1"/>
    <col min="5376" max="5376" width="28.5" style="73" customWidth="1"/>
    <col min="5377" max="5388" width="9.125" style="73"/>
    <col min="5389" max="5389" width="10.625" style="73" customWidth="1"/>
    <col min="5390" max="5630" width="9.125" style="73"/>
    <col min="5631" max="5631" width="8" style="73" customWidth="1"/>
    <col min="5632" max="5632" width="28.5" style="73" customWidth="1"/>
    <col min="5633" max="5644" width="9.125" style="73"/>
    <col min="5645" max="5645" width="10.625" style="73" customWidth="1"/>
    <col min="5646" max="5886" width="9.125" style="73"/>
    <col min="5887" max="5887" width="8" style="73" customWidth="1"/>
    <col min="5888" max="5888" width="28.5" style="73" customWidth="1"/>
    <col min="5889" max="5900" width="9.125" style="73"/>
    <col min="5901" max="5901" width="10.625" style="73" customWidth="1"/>
    <col min="5902" max="6142" width="9.125" style="73"/>
    <col min="6143" max="6143" width="8" style="73" customWidth="1"/>
    <col min="6144" max="6144" width="28.5" style="73" customWidth="1"/>
    <col min="6145" max="6156" width="9.125" style="73"/>
    <col min="6157" max="6157" width="10.625" style="73" customWidth="1"/>
    <col min="6158" max="6398" width="9.125" style="73"/>
    <col min="6399" max="6399" width="8" style="73" customWidth="1"/>
    <col min="6400" max="6400" width="28.5" style="73" customWidth="1"/>
    <col min="6401" max="6412" width="9.125" style="73"/>
    <col min="6413" max="6413" width="10.625" style="73" customWidth="1"/>
    <col min="6414" max="6654" width="9.125" style="73"/>
    <col min="6655" max="6655" width="8" style="73" customWidth="1"/>
    <col min="6656" max="6656" width="28.5" style="73" customWidth="1"/>
    <col min="6657" max="6668" width="9.125" style="73"/>
    <col min="6669" max="6669" width="10.625" style="73" customWidth="1"/>
    <col min="6670" max="6910" width="9.125" style="73"/>
    <col min="6911" max="6911" width="8" style="73" customWidth="1"/>
    <col min="6912" max="6912" width="28.5" style="73" customWidth="1"/>
    <col min="6913" max="6924" width="9.125" style="73"/>
    <col min="6925" max="6925" width="10.625" style="73" customWidth="1"/>
    <col min="6926" max="7166" width="9.125" style="73"/>
    <col min="7167" max="7167" width="8" style="73" customWidth="1"/>
    <col min="7168" max="7168" width="28.5" style="73" customWidth="1"/>
    <col min="7169" max="7180" width="9.125" style="73"/>
    <col min="7181" max="7181" width="10.625" style="73" customWidth="1"/>
    <col min="7182" max="7422" width="9.125" style="73"/>
    <col min="7423" max="7423" width="8" style="73" customWidth="1"/>
    <col min="7424" max="7424" width="28.5" style="73" customWidth="1"/>
    <col min="7425" max="7436" width="9.125" style="73"/>
    <col min="7437" max="7437" width="10.625" style="73" customWidth="1"/>
    <col min="7438" max="7678" width="9.125" style="73"/>
    <col min="7679" max="7679" width="8" style="73" customWidth="1"/>
    <col min="7680" max="7680" width="28.5" style="73" customWidth="1"/>
    <col min="7681" max="7692" width="9.125" style="73"/>
    <col min="7693" max="7693" width="10.625" style="73" customWidth="1"/>
    <col min="7694" max="7934" width="9.125" style="73"/>
    <col min="7935" max="7935" width="8" style="73" customWidth="1"/>
    <col min="7936" max="7936" width="28.5" style="73" customWidth="1"/>
    <col min="7937" max="7948" width="9.125" style="73"/>
    <col min="7949" max="7949" width="10.625" style="73" customWidth="1"/>
    <col min="7950" max="8190" width="9.125" style="73"/>
    <col min="8191" max="8191" width="8" style="73" customWidth="1"/>
    <col min="8192" max="8192" width="28.5" style="73" customWidth="1"/>
    <col min="8193" max="8204" width="9.125" style="73"/>
    <col min="8205" max="8205" width="10.625" style="73" customWidth="1"/>
    <col min="8206" max="8446" width="9.125" style="73"/>
    <col min="8447" max="8447" width="8" style="73" customWidth="1"/>
    <col min="8448" max="8448" width="28.5" style="73" customWidth="1"/>
    <col min="8449" max="8460" width="9.125" style="73"/>
    <col min="8461" max="8461" width="10.625" style="73" customWidth="1"/>
    <col min="8462" max="8702" width="9.125" style="73"/>
    <col min="8703" max="8703" width="8" style="73" customWidth="1"/>
    <col min="8704" max="8704" width="28.5" style="73" customWidth="1"/>
    <col min="8705" max="8716" width="9.125" style="73"/>
    <col min="8717" max="8717" width="10.625" style="73" customWidth="1"/>
    <col min="8718" max="8958" width="9.125" style="73"/>
    <col min="8959" max="8959" width="8" style="73" customWidth="1"/>
    <col min="8960" max="8960" width="28.5" style="73" customWidth="1"/>
    <col min="8961" max="8972" width="9.125" style="73"/>
    <col min="8973" max="8973" width="10.625" style="73" customWidth="1"/>
    <col min="8974" max="9214" width="9.125" style="73"/>
    <col min="9215" max="9215" width="8" style="73" customWidth="1"/>
    <col min="9216" max="9216" width="28.5" style="73" customWidth="1"/>
    <col min="9217" max="9228" width="9.125" style="73"/>
    <col min="9229" max="9229" width="10.625" style="73" customWidth="1"/>
    <col min="9230" max="9470" width="9.125" style="73"/>
    <col min="9471" max="9471" width="8" style="73" customWidth="1"/>
    <col min="9472" max="9472" width="28.5" style="73" customWidth="1"/>
    <col min="9473" max="9484" width="9.125" style="73"/>
    <col min="9485" max="9485" width="10.625" style="73" customWidth="1"/>
    <col min="9486" max="9726" width="9.125" style="73"/>
    <col min="9727" max="9727" width="8" style="73" customWidth="1"/>
    <col min="9728" max="9728" width="28.5" style="73" customWidth="1"/>
    <col min="9729" max="9740" width="9.125" style="73"/>
    <col min="9741" max="9741" width="10.625" style="73" customWidth="1"/>
    <col min="9742" max="9982" width="9.125" style="73"/>
    <col min="9983" max="9983" width="8" style="73" customWidth="1"/>
    <col min="9984" max="9984" width="28.5" style="73" customWidth="1"/>
    <col min="9985" max="9996" width="9.125" style="73"/>
    <col min="9997" max="9997" width="10.625" style="73" customWidth="1"/>
    <col min="9998" max="10238" width="9.125" style="73"/>
    <col min="10239" max="10239" width="8" style="73" customWidth="1"/>
    <col min="10240" max="10240" width="28.5" style="73" customWidth="1"/>
    <col min="10241" max="10252" width="9.125" style="73"/>
    <col min="10253" max="10253" width="10.625" style="73" customWidth="1"/>
    <col min="10254" max="10494" width="9.125" style="73"/>
    <col min="10495" max="10495" width="8" style="73" customWidth="1"/>
    <col min="10496" max="10496" width="28.5" style="73" customWidth="1"/>
    <col min="10497" max="10508" width="9.125" style="73"/>
    <col min="10509" max="10509" width="10.625" style="73" customWidth="1"/>
    <col min="10510" max="10750" width="9.125" style="73"/>
    <col min="10751" max="10751" width="8" style="73" customWidth="1"/>
    <col min="10752" max="10752" width="28.5" style="73" customWidth="1"/>
    <col min="10753" max="10764" width="9.125" style="73"/>
    <col min="10765" max="10765" width="10.625" style="73" customWidth="1"/>
    <col min="10766" max="11006" width="9.125" style="73"/>
    <col min="11007" max="11007" width="8" style="73" customWidth="1"/>
    <col min="11008" max="11008" width="28.5" style="73" customWidth="1"/>
    <col min="11009" max="11020" width="9.125" style="73"/>
    <col min="11021" max="11021" width="10.625" style="73" customWidth="1"/>
    <col min="11022" max="11262" width="9.125" style="73"/>
    <col min="11263" max="11263" width="8" style="73" customWidth="1"/>
    <col min="11264" max="11264" width="28.5" style="73" customWidth="1"/>
    <col min="11265" max="11276" width="9.125" style="73"/>
    <col min="11277" max="11277" width="10.625" style="73" customWidth="1"/>
    <col min="11278" max="11518" width="9.125" style="73"/>
    <col min="11519" max="11519" width="8" style="73" customWidth="1"/>
    <col min="11520" max="11520" width="28.5" style="73" customWidth="1"/>
    <col min="11521" max="11532" width="9.125" style="73"/>
    <col min="11533" max="11533" width="10.625" style="73" customWidth="1"/>
    <col min="11534" max="11774" width="9.125" style="73"/>
    <col min="11775" max="11775" width="8" style="73" customWidth="1"/>
    <col min="11776" max="11776" width="28.5" style="73" customWidth="1"/>
    <col min="11777" max="11788" width="9.125" style="73"/>
    <col min="11789" max="11789" width="10.625" style="73" customWidth="1"/>
    <col min="11790" max="12030" width="9.125" style="73"/>
    <col min="12031" max="12031" width="8" style="73" customWidth="1"/>
    <col min="12032" max="12032" width="28.5" style="73" customWidth="1"/>
    <col min="12033" max="12044" width="9.125" style="73"/>
    <col min="12045" max="12045" width="10.625" style="73" customWidth="1"/>
    <col min="12046" max="12286" width="9.125" style="73"/>
    <col min="12287" max="12287" width="8" style="73" customWidth="1"/>
    <col min="12288" max="12288" width="28.5" style="73" customWidth="1"/>
    <col min="12289" max="12300" width="9.125" style="73"/>
    <col min="12301" max="12301" width="10.625" style="73" customWidth="1"/>
    <col min="12302" max="12542" width="9.125" style="73"/>
    <col min="12543" max="12543" width="8" style="73" customWidth="1"/>
    <col min="12544" max="12544" width="28.5" style="73" customWidth="1"/>
    <col min="12545" max="12556" width="9.125" style="73"/>
    <col min="12557" max="12557" width="10.625" style="73" customWidth="1"/>
    <col min="12558" max="12798" width="9.125" style="73"/>
    <col min="12799" max="12799" width="8" style="73" customWidth="1"/>
    <col min="12800" max="12800" width="28.5" style="73" customWidth="1"/>
    <col min="12801" max="12812" width="9.125" style="73"/>
    <col min="12813" max="12813" width="10.625" style="73" customWidth="1"/>
    <col min="12814" max="13054" width="9.125" style="73"/>
    <col min="13055" max="13055" width="8" style="73" customWidth="1"/>
    <col min="13056" max="13056" width="28.5" style="73" customWidth="1"/>
    <col min="13057" max="13068" width="9.125" style="73"/>
    <col min="13069" max="13069" width="10.625" style="73" customWidth="1"/>
    <col min="13070" max="13310" width="9.125" style="73"/>
    <col min="13311" max="13311" width="8" style="73" customWidth="1"/>
    <col min="13312" max="13312" width="28.5" style="73" customWidth="1"/>
    <col min="13313" max="13324" width="9.125" style="73"/>
    <col min="13325" max="13325" width="10.625" style="73" customWidth="1"/>
    <col min="13326" max="13566" width="9.125" style="73"/>
    <col min="13567" max="13567" width="8" style="73" customWidth="1"/>
    <col min="13568" max="13568" width="28.5" style="73" customWidth="1"/>
    <col min="13569" max="13580" width="9.125" style="73"/>
    <col min="13581" max="13581" width="10.625" style="73" customWidth="1"/>
    <col min="13582" max="13822" width="9.125" style="73"/>
    <col min="13823" max="13823" width="8" style="73" customWidth="1"/>
    <col min="13824" max="13824" width="28.5" style="73" customWidth="1"/>
    <col min="13825" max="13836" width="9.125" style="73"/>
    <col min="13837" max="13837" width="10.625" style="73" customWidth="1"/>
    <col min="13838" max="14078" width="9.125" style="73"/>
    <col min="14079" max="14079" width="8" style="73" customWidth="1"/>
    <col min="14080" max="14080" width="28.5" style="73" customWidth="1"/>
    <col min="14081" max="14092" width="9.125" style="73"/>
    <col min="14093" max="14093" width="10.625" style="73" customWidth="1"/>
    <col min="14094" max="14334" width="9.125" style="73"/>
    <col min="14335" max="14335" width="8" style="73" customWidth="1"/>
    <col min="14336" max="14336" width="28.5" style="73" customWidth="1"/>
    <col min="14337" max="14348" width="9.125" style="73"/>
    <col min="14349" max="14349" width="10.625" style="73" customWidth="1"/>
    <col min="14350" max="14590" width="9.125" style="73"/>
    <col min="14591" max="14591" width="8" style="73" customWidth="1"/>
    <col min="14592" max="14592" width="28.5" style="73" customWidth="1"/>
    <col min="14593" max="14604" width="9.125" style="73"/>
    <col min="14605" max="14605" width="10.625" style="73" customWidth="1"/>
    <col min="14606" max="14846" width="9.125" style="73"/>
    <col min="14847" max="14847" width="8" style="73" customWidth="1"/>
    <col min="14848" max="14848" width="28.5" style="73" customWidth="1"/>
    <col min="14849" max="14860" width="9.125" style="73"/>
    <col min="14861" max="14861" width="10.625" style="73" customWidth="1"/>
    <col min="14862" max="15102" width="9.125" style="73"/>
    <col min="15103" max="15103" width="8" style="73" customWidth="1"/>
    <col min="15104" max="15104" width="28.5" style="73" customWidth="1"/>
    <col min="15105" max="15116" width="9.125" style="73"/>
    <col min="15117" max="15117" width="10.625" style="73" customWidth="1"/>
    <col min="15118" max="15358" width="9.125" style="73"/>
    <col min="15359" max="15359" width="8" style="73" customWidth="1"/>
    <col min="15360" max="15360" width="28.5" style="73" customWidth="1"/>
    <col min="15361" max="15372" width="9.125" style="73"/>
    <col min="15373" max="15373" width="10.625" style="73" customWidth="1"/>
    <col min="15374" max="15614" width="9.125" style="73"/>
    <col min="15615" max="15615" width="8" style="73" customWidth="1"/>
    <col min="15616" max="15616" width="28.5" style="73" customWidth="1"/>
    <col min="15617" max="15628" width="9.125" style="73"/>
    <col min="15629" max="15629" width="10.625" style="73" customWidth="1"/>
    <col min="15630" max="15870" width="9.125" style="73"/>
    <col min="15871" max="15871" width="8" style="73" customWidth="1"/>
    <col min="15872" max="15872" width="28.5" style="73" customWidth="1"/>
    <col min="15873" max="15884" width="9.125" style="73"/>
    <col min="15885" max="15885" width="10.625" style="73" customWidth="1"/>
    <col min="15886" max="16126" width="9.125" style="73"/>
    <col min="16127" max="16127" width="8" style="73" customWidth="1"/>
    <col min="16128" max="16128" width="28.5" style="73" customWidth="1"/>
    <col min="16129" max="16140" width="9.125" style="73"/>
    <col min="16141" max="16141" width="10.625" style="73" customWidth="1"/>
    <col min="16142" max="16384" width="9.125" style="73"/>
  </cols>
  <sheetData>
    <row r="1" spans="1:13" ht="18.75">
      <c r="A1" s="74" t="s">
        <v>106</v>
      </c>
      <c r="B1" s="75"/>
      <c r="C1" s="76"/>
      <c r="D1" s="76"/>
      <c r="E1" s="75"/>
      <c r="F1" s="76"/>
      <c r="G1" s="76"/>
      <c r="H1" s="75"/>
      <c r="I1" s="76"/>
      <c r="J1" s="76"/>
      <c r="K1" s="76"/>
      <c r="L1" s="76"/>
      <c r="M1" s="76"/>
    </row>
    <row r="2" spans="1:13" ht="12">
      <c r="A2" s="73" t="s">
        <v>107</v>
      </c>
      <c r="B2" s="77"/>
    </row>
    <row r="3" spans="1:13" ht="16.899999999999999" customHeight="1">
      <c r="A3" s="78" t="s">
        <v>13</v>
      </c>
      <c r="B3" s="78" t="s">
        <v>108</v>
      </c>
      <c r="C3" s="216" t="s">
        <v>109</v>
      </c>
      <c r="D3" s="216"/>
      <c r="E3" s="216"/>
      <c r="F3" s="80"/>
      <c r="G3" s="81"/>
      <c r="H3" s="82"/>
      <c r="I3" s="82"/>
      <c r="J3" s="82" t="s">
        <v>110</v>
      </c>
      <c r="K3" s="82"/>
      <c r="L3" s="82"/>
      <c r="M3" s="103"/>
    </row>
    <row r="4" spans="1:13" ht="16.149999999999999" customHeight="1">
      <c r="A4" s="83"/>
      <c r="B4" s="83" t="s">
        <v>111</v>
      </c>
      <c r="C4" s="79">
        <v>2017</v>
      </c>
      <c r="D4" s="79">
        <f t="shared" ref="D4:L4" si="0">C4+1</f>
        <v>2018</v>
      </c>
      <c r="E4" s="79">
        <f t="shared" si="0"/>
        <v>2019</v>
      </c>
      <c r="F4" s="79">
        <f t="shared" si="0"/>
        <v>2020</v>
      </c>
      <c r="G4" s="79">
        <f t="shared" si="0"/>
        <v>2021</v>
      </c>
      <c r="H4" s="84">
        <f t="shared" si="0"/>
        <v>2022</v>
      </c>
      <c r="I4" s="84">
        <f t="shared" si="0"/>
        <v>2023</v>
      </c>
      <c r="J4" s="84">
        <f t="shared" si="0"/>
        <v>2024</v>
      </c>
      <c r="K4" s="84">
        <f t="shared" si="0"/>
        <v>2025</v>
      </c>
      <c r="L4" s="84">
        <f t="shared" si="0"/>
        <v>2026</v>
      </c>
      <c r="M4" s="104" t="s">
        <v>112</v>
      </c>
    </row>
    <row r="5" spans="1:13" ht="15.6" customHeight="1">
      <c r="A5" s="85">
        <v>1</v>
      </c>
      <c r="B5" s="86" t="s">
        <v>113</v>
      </c>
      <c r="C5" s="87">
        <f>SUM(C6:C9)</f>
        <v>0</v>
      </c>
      <c r="D5" s="87">
        <f t="shared" ref="D5:L5" si="1">SUM(D6:D9)</f>
        <v>0</v>
      </c>
      <c r="E5" s="87" t="e">
        <f t="shared" si="1"/>
        <v>#REF!</v>
      </c>
      <c r="F5" s="87">
        <f t="shared" si="1"/>
        <v>600000</v>
      </c>
      <c r="G5" s="87">
        <f t="shared" si="1"/>
        <v>6000000</v>
      </c>
      <c r="H5" s="87">
        <f t="shared" si="1"/>
        <v>9017500</v>
      </c>
      <c r="I5" s="87" t="e">
        <f t="shared" si="1"/>
        <v>#REF!</v>
      </c>
      <c r="J5" s="87" t="e">
        <f t="shared" si="1"/>
        <v>#REF!</v>
      </c>
      <c r="K5" s="87" t="e">
        <f t="shared" si="1"/>
        <v>#REF!</v>
      </c>
      <c r="L5" s="87">
        <f t="shared" si="1"/>
        <v>48670000</v>
      </c>
      <c r="M5" s="91" t="e">
        <f t="shared" ref="M5:M17" si="2">SUM(C5:L5)</f>
        <v>#REF!</v>
      </c>
    </row>
    <row r="6" spans="1:13" ht="15.6" customHeight="1">
      <c r="A6" s="85">
        <v>1.1000000000000001</v>
      </c>
      <c r="B6" s="88" t="s">
        <v>114</v>
      </c>
      <c r="C6" s="89"/>
      <c r="D6" s="89"/>
      <c r="E6" s="89" t="e">
        <f>损益表!#REF!</f>
        <v>#REF!</v>
      </c>
      <c r="F6" s="89">
        <f>损益表!C5</f>
        <v>600000</v>
      </c>
      <c r="G6" s="89">
        <f>损益表!D5</f>
        <v>6000000</v>
      </c>
      <c r="H6" s="89">
        <f>损益表!E5</f>
        <v>9017500</v>
      </c>
      <c r="I6" s="89" t="e">
        <f>损益表!#REF!</f>
        <v>#REF!</v>
      </c>
      <c r="J6" s="89" t="e">
        <f>损益表!#REF!</f>
        <v>#REF!</v>
      </c>
      <c r="K6" s="89" t="e">
        <f>损益表!#REF!</f>
        <v>#REF!</v>
      </c>
      <c r="L6" s="89">
        <f>损益表!I5</f>
        <v>48670000</v>
      </c>
      <c r="M6" s="91" t="e">
        <f t="shared" si="2"/>
        <v>#REF!</v>
      </c>
    </row>
    <row r="7" spans="1:13" ht="15.6" customHeight="1">
      <c r="A7" s="85">
        <v>1.2</v>
      </c>
      <c r="B7" s="88" t="s">
        <v>115</v>
      </c>
      <c r="C7" s="89"/>
      <c r="D7" s="89"/>
      <c r="E7" s="89">
        <f>[1]折、摊!G18</f>
        <v>0</v>
      </c>
      <c r="F7" s="89">
        <f>[1]折、摊!H18</f>
        <v>0</v>
      </c>
      <c r="G7" s="89">
        <f>[1]折、摊!I18</f>
        <v>0</v>
      </c>
      <c r="H7" s="89">
        <f>[1]折、摊!J18</f>
        <v>0</v>
      </c>
      <c r="I7" s="89">
        <f>[1]折、摊!K18</f>
        <v>0</v>
      </c>
      <c r="J7" s="89">
        <f>[1]折、摊!L18</f>
        <v>0</v>
      </c>
      <c r="K7" s="89">
        <f>[1]折、摊!M18</f>
        <v>0</v>
      </c>
      <c r="L7" s="89">
        <f>[1]折、摊!N18</f>
        <v>0</v>
      </c>
      <c r="M7" s="91">
        <f t="shared" si="2"/>
        <v>0</v>
      </c>
    </row>
    <row r="8" spans="1:13" ht="15.6" customHeight="1">
      <c r="A8" s="85">
        <v>1.3</v>
      </c>
      <c r="B8" s="88" t="s">
        <v>116</v>
      </c>
      <c r="C8" s="89" t="s">
        <v>117</v>
      </c>
      <c r="D8" s="89" t="s">
        <v>117</v>
      </c>
      <c r="E8" s="89" t="s">
        <v>117</v>
      </c>
      <c r="F8" s="89" t="s">
        <v>117</v>
      </c>
      <c r="G8" s="89" t="s">
        <v>117</v>
      </c>
      <c r="H8" s="89" t="s">
        <v>117</v>
      </c>
      <c r="I8" s="89" t="s">
        <v>117</v>
      </c>
      <c r="J8" s="89" t="s">
        <v>117</v>
      </c>
      <c r="K8" s="89" t="s">
        <v>117</v>
      </c>
      <c r="L8" s="89"/>
      <c r="M8" s="91">
        <f t="shared" si="2"/>
        <v>0</v>
      </c>
    </row>
    <row r="9" spans="1:13" s="72" customFormat="1" ht="15.6" customHeight="1">
      <c r="A9" s="90">
        <v>1.4</v>
      </c>
      <c r="B9" s="91" t="s">
        <v>118</v>
      </c>
      <c r="C9" s="89" t="s">
        <v>117</v>
      </c>
      <c r="D9" s="89" t="s">
        <v>117</v>
      </c>
      <c r="E9" s="89" t="s">
        <v>117</v>
      </c>
      <c r="F9" s="89" t="s">
        <v>117</v>
      </c>
      <c r="G9" s="89" t="s">
        <v>117</v>
      </c>
      <c r="H9" s="89" t="s">
        <v>117</v>
      </c>
      <c r="I9" s="89" t="s">
        <v>117</v>
      </c>
      <c r="J9" s="89" t="s">
        <v>117</v>
      </c>
      <c r="K9" s="89" t="s">
        <v>117</v>
      </c>
      <c r="L9" s="89" t="s">
        <v>117</v>
      </c>
      <c r="M9" s="91">
        <f t="shared" si="2"/>
        <v>0</v>
      </c>
    </row>
    <row r="10" spans="1:13" ht="15.6" customHeight="1">
      <c r="A10" s="90">
        <v>2</v>
      </c>
      <c r="B10" s="86" t="s">
        <v>119</v>
      </c>
      <c r="C10" s="87">
        <f t="shared" ref="C10:L10" si="3">SUM(C11:C16)</f>
        <v>0</v>
      </c>
      <c r="D10" s="87">
        <f t="shared" si="3"/>
        <v>0</v>
      </c>
      <c r="E10" s="87">
        <f t="shared" si="3"/>
        <v>0</v>
      </c>
      <c r="F10" s="87">
        <f t="shared" si="3"/>
        <v>0</v>
      </c>
      <c r="G10" s="87">
        <f t="shared" si="3"/>
        <v>0</v>
      </c>
      <c r="H10" s="87">
        <f t="shared" si="3"/>
        <v>0</v>
      </c>
      <c r="I10" s="87">
        <f t="shared" si="3"/>
        <v>0</v>
      </c>
      <c r="J10" s="87">
        <f t="shared" si="3"/>
        <v>0</v>
      </c>
      <c r="K10" s="87">
        <f t="shared" si="3"/>
        <v>0</v>
      </c>
      <c r="L10" s="87">
        <f t="shared" si="3"/>
        <v>0</v>
      </c>
      <c r="M10" s="91">
        <f t="shared" si="2"/>
        <v>0</v>
      </c>
    </row>
    <row r="11" spans="1:13" ht="15" customHeight="1">
      <c r="A11" s="85">
        <v>2.1</v>
      </c>
      <c r="B11" s="85" t="s">
        <v>120</v>
      </c>
      <c r="C11" s="89">
        <f>([1]计划!C6-[1]计划!C7)</f>
        <v>0</v>
      </c>
      <c r="D11" s="89">
        <f>([1]计划!D6-[1]计划!D7)</f>
        <v>0</v>
      </c>
      <c r="E11" s="89">
        <f>([1]计划!E6-[1]计划!E7)</f>
        <v>0</v>
      </c>
      <c r="F11" s="89">
        <f>([1]计划!F6-[1]计划!F7)</f>
        <v>0</v>
      </c>
      <c r="G11" s="89">
        <f>([1]计划!G6-[1]计划!G7)</f>
        <v>0</v>
      </c>
      <c r="H11" s="89">
        <f>([1]计划!H6-[1]计划!H7)</f>
        <v>0</v>
      </c>
      <c r="I11" s="89">
        <f>([1]计划!I6-[1]计划!I7)</f>
        <v>0</v>
      </c>
      <c r="J11" s="89">
        <f>([1]计划!J6-[1]计划!J7)</f>
        <v>0</v>
      </c>
      <c r="K11" s="89">
        <f>([1]计划!K6-[1]计划!K7)</f>
        <v>0</v>
      </c>
      <c r="L11" s="89">
        <f>([1]计划!L6-[1]计划!L7)</f>
        <v>0</v>
      </c>
      <c r="M11" s="91">
        <f t="shared" si="2"/>
        <v>0</v>
      </c>
    </row>
    <row r="12" spans="1:13" s="72" customFormat="1" ht="15" customHeight="1">
      <c r="A12" s="85">
        <v>2.2000000000000002</v>
      </c>
      <c r="B12" s="91" t="s">
        <v>121</v>
      </c>
      <c r="C12" s="89">
        <f>[1]计划!C8</f>
        <v>0</v>
      </c>
      <c r="D12" s="89">
        <f>[1]计划!D8</f>
        <v>0</v>
      </c>
      <c r="E12" s="89">
        <f>[1]计划!E8</f>
        <v>0</v>
      </c>
      <c r="F12" s="89">
        <f>[1]计划!F8</f>
        <v>0</v>
      </c>
      <c r="G12" s="89">
        <f>[1]计划!G8</f>
        <v>0</v>
      </c>
      <c r="H12" s="89">
        <f>[1]计划!H8</f>
        <v>0</v>
      </c>
      <c r="I12" s="89">
        <f>[1]计划!I8</f>
        <v>0</v>
      </c>
      <c r="J12" s="89">
        <f>[1]计划!J8</f>
        <v>0</v>
      </c>
      <c r="K12" s="89">
        <f>[1]计划!K8</f>
        <v>0</v>
      </c>
      <c r="L12" s="89">
        <f>[1]计划!L8</f>
        <v>0</v>
      </c>
      <c r="M12" s="91">
        <f t="shared" si="2"/>
        <v>0</v>
      </c>
    </row>
    <row r="13" spans="1:13" ht="15" customHeight="1">
      <c r="A13" s="85">
        <v>2.2999999999999998</v>
      </c>
      <c r="B13" s="88" t="s">
        <v>122</v>
      </c>
      <c r="C13" s="89">
        <f>[1]总成本!C22</f>
        <v>0</v>
      </c>
      <c r="D13" s="89">
        <f>[1]总成本!D22</f>
        <v>0</v>
      </c>
      <c r="E13" s="89">
        <f>[1]总成本!E22</f>
        <v>0</v>
      </c>
      <c r="F13" s="89">
        <f>[1]总成本!F22</f>
        <v>0</v>
      </c>
      <c r="G13" s="89">
        <f>[1]总成本!G22</f>
        <v>0</v>
      </c>
      <c r="H13" s="89">
        <f>[1]总成本!H22</f>
        <v>0</v>
      </c>
      <c r="I13" s="89">
        <f>[1]总成本!I22</f>
        <v>0</v>
      </c>
      <c r="J13" s="89">
        <f>[1]总成本!J22</f>
        <v>0</v>
      </c>
      <c r="K13" s="89">
        <f>[1]总成本!K22</f>
        <v>0</v>
      </c>
      <c r="L13" s="89">
        <f>[1]总成本!L22</f>
        <v>0</v>
      </c>
      <c r="M13" s="91">
        <f t="shared" si="2"/>
        <v>0</v>
      </c>
    </row>
    <row r="14" spans="1:13" ht="15" customHeight="1">
      <c r="A14" s="85">
        <v>2.4</v>
      </c>
      <c r="B14" s="88" t="s">
        <v>123</v>
      </c>
      <c r="C14" s="89">
        <f>[1]价格!D15</f>
        <v>0</v>
      </c>
      <c r="D14" s="89">
        <f>[1]价格!E15</f>
        <v>0</v>
      </c>
      <c r="E14" s="89">
        <f>[1]价格!F15</f>
        <v>0</v>
      </c>
      <c r="F14" s="89">
        <f>[1]价格!G15</f>
        <v>0</v>
      </c>
      <c r="G14" s="89">
        <f>[1]价格!H15</f>
        <v>0</v>
      </c>
      <c r="H14" s="89">
        <f>[1]价格!I15</f>
        <v>0</v>
      </c>
      <c r="I14" s="89">
        <f>[1]价格!J15</f>
        <v>0</v>
      </c>
      <c r="J14" s="89">
        <f>[1]价格!K15</f>
        <v>0</v>
      </c>
      <c r="K14" s="89">
        <f>[1]价格!L15</f>
        <v>0</v>
      </c>
      <c r="L14" s="89">
        <f>[1]价格!M15</f>
        <v>0</v>
      </c>
      <c r="M14" s="91">
        <f t="shared" si="2"/>
        <v>0</v>
      </c>
    </row>
    <row r="15" spans="1:13" ht="15" customHeight="1">
      <c r="A15" s="85">
        <v>2.5</v>
      </c>
      <c r="B15" s="88" t="s">
        <v>53</v>
      </c>
      <c r="C15" s="89">
        <f>[1]利润!C13</f>
        <v>0</v>
      </c>
      <c r="D15" s="89">
        <f>[1]利润!D13</f>
        <v>0</v>
      </c>
      <c r="E15" s="89">
        <f>[1]利润!E13</f>
        <v>0</v>
      </c>
      <c r="F15" s="89">
        <f>[1]利润!F13</f>
        <v>0</v>
      </c>
      <c r="G15" s="89">
        <f>[1]利润!G13</f>
        <v>0</v>
      </c>
      <c r="H15" s="89">
        <f>[1]利润!H13</f>
        <v>0</v>
      </c>
      <c r="I15" s="89">
        <f>[1]利润!I13</f>
        <v>0</v>
      </c>
      <c r="J15" s="89">
        <f>[1]利润!J13</f>
        <v>0</v>
      </c>
      <c r="K15" s="89">
        <f>[1]利润!K13</f>
        <v>0</v>
      </c>
      <c r="L15" s="89">
        <f>[1]利润!L13</f>
        <v>0</v>
      </c>
      <c r="M15" s="91">
        <f t="shared" si="2"/>
        <v>0</v>
      </c>
    </row>
    <row r="16" spans="1:13" ht="15" customHeight="1">
      <c r="A16" s="85">
        <v>2.6</v>
      </c>
      <c r="B16" s="88" t="s">
        <v>124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91">
        <f t="shared" si="2"/>
        <v>0</v>
      </c>
    </row>
    <row r="17" spans="1:18" ht="12">
      <c r="A17" s="85">
        <v>3</v>
      </c>
      <c r="B17" s="86" t="s">
        <v>125</v>
      </c>
      <c r="C17" s="87">
        <f t="shared" ref="C17:L17" si="4">C5-C10</f>
        <v>0</v>
      </c>
      <c r="D17" s="87">
        <f t="shared" si="4"/>
        <v>0</v>
      </c>
      <c r="E17" s="87" t="e">
        <f t="shared" si="4"/>
        <v>#REF!</v>
      </c>
      <c r="F17" s="87">
        <f t="shared" si="4"/>
        <v>600000</v>
      </c>
      <c r="G17" s="87">
        <f t="shared" si="4"/>
        <v>6000000</v>
      </c>
      <c r="H17" s="87">
        <f t="shared" si="4"/>
        <v>9017500</v>
      </c>
      <c r="I17" s="87" t="e">
        <f t="shared" si="4"/>
        <v>#REF!</v>
      </c>
      <c r="J17" s="87" t="e">
        <f t="shared" si="4"/>
        <v>#REF!</v>
      </c>
      <c r="K17" s="87" t="e">
        <f t="shared" si="4"/>
        <v>#REF!</v>
      </c>
      <c r="L17" s="87">
        <f t="shared" si="4"/>
        <v>48670000</v>
      </c>
      <c r="M17" s="91" t="e">
        <f t="shared" si="2"/>
        <v>#REF!</v>
      </c>
    </row>
    <row r="18" spans="1:18" ht="12">
      <c r="A18" s="92">
        <v>4</v>
      </c>
      <c r="B18" s="88" t="s">
        <v>126</v>
      </c>
      <c r="C18" s="89">
        <f>C17</f>
        <v>0</v>
      </c>
      <c r="D18" s="89">
        <f t="shared" ref="D18:L18" si="5">C18+D17</f>
        <v>0</v>
      </c>
      <c r="E18" s="89" t="e">
        <f t="shared" si="5"/>
        <v>#REF!</v>
      </c>
      <c r="F18" s="89" t="e">
        <f t="shared" si="5"/>
        <v>#REF!</v>
      </c>
      <c r="G18" s="89" t="e">
        <f t="shared" si="5"/>
        <v>#REF!</v>
      </c>
      <c r="H18" s="89" t="e">
        <f t="shared" si="5"/>
        <v>#REF!</v>
      </c>
      <c r="I18" s="89" t="e">
        <f t="shared" si="5"/>
        <v>#REF!</v>
      </c>
      <c r="J18" s="89" t="e">
        <f t="shared" si="5"/>
        <v>#REF!</v>
      </c>
      <c r="K18" s="89" t="e">
        <f t="shared" si="5"/>
        <v>#REF!</v>
      </c>
      <c r="L18" s="89" t="e">
        <f t="shared" si="5"/>
        <v>#REF!</v>
      </c>
      <c r="M18" s="88" t="s">
        <v>117</v>
      </c>
    </row>
    <row r="19" spans="1:18" s="72" customFormat="1" ht="12">
      <c r="A19" s="92">
        <v>5</v>
      </c>
      <c r="B19" s="88" t="s">
        <v>127</v>
      </c>
      <c r="C19" s="89">
        <f t="shared" ref="C19:L19" si="6">C17+C15</f>
        <v>0</v>
      </c>
      <c r="D19" s="89">
        <f t="shared" si="6"/>
        <v>0</v>
      </c>
      <c r="E19" s="89" t="e">
        <f t="shared" si="6"/>
        <v>#REF!</v>
      </c>
      <c r="F19" s="89">
        <f t="shared" si="6"/>
        <v>600000</v>
      </c>
      <c r="G19" s="89">
        <f t="shared" si="6"/>
        <v>6000000</v>
      </c>
      <c r="H19" s="89">
        <f t="shared" si="6"/>
        <v>9017500</v>
      </c>
      <c r="I19" s="89" t="e">
        <f t="shared" si="6"/>
        <v>#REF!</v>
      </c>
      <c r="J19" s="89" t="e">
        <f t="shared" si="6"/>
        <v>#REF!</v>
      </c>
      <c r="K19" s="89" t="e">
        <f t="shared" si="6"/>
        <v>#REF!</v>
      </c>
      <c r="L19" s="89">
        <f t="shared" si="6"/>
        <v>48670000</v>
      </c>
      <c r="M19" s="91" t="e">
        <f>SUM(C19:L19)</f>
        <v>#REF!</v>
      </c>
    </row>
    <row r="20" spans="1:18" s="72" customFormat="1" ht="12">
      <c r="A20" s="85">
        <v>6</v>
      </c>
      <c r="B20" s="88" t="s">
        <v>128</v>
      </c>
      <c r="C20" s="89">
        <f>C19</f>
        <v>0</v>
      </c>
      <c r="D20" s="89">
        <f t="shared" ref="D20:L20" si="7">C20+D19</f>
        <v>0</v>
      </c>
      <c r="E20" s="89" t="e">
        <f t="shared" si="7"/>
        <v>#REF!</v>
      </c>
      <c r="F20" s="89" t="e">
        <f t="shared" si="7"/>
        <v>#REF!</v>
      </c>
      <c r="G20" s="89" t="e">
        <f t="shared" si="7"/>
        <v>#REF!</v>
      </c>
      <c r="H20" s="89" t="e">
        <f t="shared" si="7"/>
        <v>#REF!</v>
      </c>
      <c r="I20" s="89" t="e">
        <f t="shared" si="7"/>
        <v>#REF!</v>
      </c>
      <c r="J20" s="89" t="e">
        <f t="shared" si="7"/>
        <v>#REF!</v>
      </c>
      <c r="K20" s="89" t="e">
        <f t="shared" si="7"/>
        <v>#REF!</v>
      </c>
      <c r="L20" s="89" t="e">
        <f t="shared" si="7"/>
        <v>#REF!</v>
      </c>
      <c r="M20" s="88" t="s">
        <v>117</v>
      </c>
    </row>
    <row r="21" spans="1:18" ht="12">
      <c r="A21" s="93"/>
      <c r="B21" s="94" t="s">
        <v>129</v>
      </c>
      <c r="C21" s="94"/>
      <c r="D21" s="94"/>
      <c r="E21" s="94" t="s">
        <v>130</v>
      </c>
      <c r="F21" s="94"/>
      <c r="G21" s="94"/>
      <c r="H21" s="94"/>
      <c r="I21" s="94" t="s">
        <v>131</v>
      </c>
      <c r="J21" s="94"/>
      <c r="K21" s="94"/>
      <c r="L21" s="94"/>
      <c r="M21" s="105"/>
    </row>
    <row r="22" spans="1:18" ht="12">
      <c r="A22" s="95"/>
      <c r="B22" s="96" t="s">
        <v>132</v>
      </c>
      <c r="C22" s="96"/>
      <c r="D22" s="97" t="s">
        <v>133</v>
      </c>
      <c r="E22" s="98" t="e">
        <f>IRR(C17:L17,0.15)</f>
        <v>#VALUE!</v>
      </c>
      <c r="F22" s="96"/>
      <c r="G22" s="96"/>
      <c r="H22" s="96"/>
      <c r="I22" s="98" t="e">
        <f>IRR(C19:L19,0.15)</f>
        <v>#VALUE!</v>
      </c>
      <c r="J22" s="96"/>
      <c r="K22" s="96"/>
      <c r="L22" s="96"/>
      <c r="M22" s="106"/>
    </row>
    <row r="23" spans="1:18" ht="12">
      <c r="A23" s="95"/>
      <c r="B23" s="96" t="s">
        <v>134</v>
      </c>
      <c r="C23" s="96"/>
      <c r="D23" s="96"/>
      <c r="E23" s="99" t="e">
        <f>NPV(0.12,C17:L17)</f>
        <v>#REF!</v>
      </c>
      <c r="F23" s="96"/>
      <c r="G23" s="96"/>
      <c r="H23" s="96"/>
      <c r="I23" s="99" t="e">
        <f>NPV(0.12,C19:L19)</f>
        <v>#REF!</v>
      </c>
      <c r="J23" s="96"/>
      <c r="K23" s="96"/>
      <c r="L23" s="96"/>
      <c r="M23" s="106"/>
      <c r="R23" s="73">
        <f>30.9-29.82</f>
        <v>1.0799999999999983</v>
      </c>
    </row>
    <row r="24" spans="1:18" ht="12">
      <c r="A24" s="100"/>
      <c r="B24" s="101" t="s">
        <v>135</v>
      </c>
      <c r="C24" s="101"/>
      <c r="D24" s="101"/>
      <c r="E24" s="102" t="e">
        <f>6-H18/I17</f>
        <v>#REF!</v>
      </c>
      <c r="F24" s="101"/>
      <c r="G24" s="101"/>
      <c r="H24" s="101"/>
      <c r="I24" s="102" t="e">
        <f>6-H20/I19</f>
        <v>#REF!</v>
      </c>
      <c r="J24" s="101"/>
      <c r="K24" s="101"/>
      <c r="L24" s="101"/>
      <c r="M24" s="107"/>
    </row>
  </sheetData>
  <mergeCells count="1">
    <mergeCell ref="C3:E3"/>
  </mergeCells>
  <phoneticPr fontId="3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D32" sqref="D32"/>
    </sheetView>
  </sheetViews>
  <sheetFormatPr defaultColWidth="9" defaultRowHeight="16.5"/>
  <cols>
    <col min="1" max="1" width="5.125" style="48" customWidth="1"/>
    <col min="2" max="2" width="17.5" style="48" customWidth="1"/>
    <col min="3" max="8" width="13.25" style="49" customWidth="1"/>
    <col min="9" max="9" width="18.75" style="49" customWidth="1"/>
    <col min="10" max="10" width="12.375" style="48" customWidth="1"/>
    <col min="11" max="11" width="10.125" style="48" customWidth="1"/>
    <col min="12" max="18" width="9" style="48" customWidth="1"/>
    <col min="19" max="35" width="9" style="48"/>
    <col min="36" max="36" width="4.375" style="48" customWidth="1"/>
    <col min="37" max="37" width="13.875" style="48" customWidth="1"/>
    <col min="38" max="16384" width="9" style="48"/>
  </cols>
  <sheetData>
    <row r="1" spans="1:38">
      <c r="A1" s="217" t="s">
        <v>136</v>
      </c>
      <c r="B1" s="217"/>
      <c r="C1" s="221" t="s">
        <v>248</v>
      </c>
      <c r="D1" s="222"/>
      <c r="E1" s="222"/>
      <c r="F1" s="222"/>
      <c r="G1" s="222"/>
      <c r="H1" s="222"/>
      <c r="I1" s="223"/>
    </row>
    <row r="2" spans="1:38">
      <c r="A2" s="217" t="s">
        <v>137</v>
      </c>
      <c r="B2" s="217"/>
      <c r="C2" s="224" t="s">
        <v>227</v>
      </c>
      <c r="D2" s="224"/>
      <c r="E2" s="224"/>
      <c r="F2" s="224"/>
      <c r="G2" s="224"/>
      <c r="H2" s="224"/>
      <c r="I2" s="224"/>
    </row>
    <row r="3" spans="1:38">
      <c r="A3" s="217" t="s">
        <v>138</v>
      </c>
      <c r="B3" s="217"/>
      <c r="C3" s="157" t="str">
        <f>'销量 附加值'!C5</f>
        <v>驾驶员座总成</v>
      </c>
      <c r="D3" s="157" t="str">
        <f>'销量 附加值'!D5</f>
        <v>驾驶员座总成</v>
      </c>
      <c r="E3" s="157" t="str">
        <f>'销量 附加值'!E5</f>
        <v>前座总成</v>
      </c>
      <c r="F3" s="157" t="str">
        <f>'销量 附加值'!F5</f>
        <v>前座总成</v>
      </c>
      <c r="G3" s="157">
        <f>'销量 附加值'!G5</f>
        <v>0</v>
      </c>
      <c r="H3" s="157">
        <f>'销量 附加值'!H5</f>
        <v>0</v>
      </c>
      <c r="I3" s="218" t="s">
        <v>14</v>
      </c>
    </row>
    <row r="4" spans="1:38">
      <c r="A4" s="217" t="s">
        <v>139</v>
      </c>
      <c r="B4" s="217"/>
      <c r="C4" s="157" t="str">
        <f>'销量 附加值'!C6</f>
        <v>/</v>
      </c>
      <c r="D4" s="157" t="str">
        <f>'销量 附加值'!D6</f>
        <v>/</v>
      </c>
      <c r="E4" s="157" t="str">
        <f>'销量 附加值'!E6</f>
        <v>/</v>
      </c>
      <c r="F4" s="157" t="str">
        <f>'销量 附加值'!F6</f>
        <v>/</v>
      </c>
      <c r="G4" s="157">
        <f>'销量 附加值'!G6</f>
        <v>0</v>
      </c>
      <c r="H4" s="157">
        <f>'销量 附加值'!H6</f>
        <v>0</v>
      </c>
      <c r="I4" s="219"/>
    </row>
    <row r="5" spans="1:38">
      <c r="A5" s="217" t="s">
        <v>140</v>
      </c>
      <c r="B5" s="217"/>
      <c r="C5" s="51"/>
      <c r="D5" s="51"/>
      <c r="E5" s="51"/>
      <c r="F5" s="51"/>
      <c r="G5" s="51"/>
      <c r="H5" s="51"/>
      <c r="I5" s="220"/>
      <c r="AL5" s="48" t="s">
        <v>15</v>
      </c>
    </row>
    <row r="6" spans="1:38" ht="17.25">
      <c r="A6" s="52" t="s">
        <v>13</v>
      </c>
      <c r="B6" s="53" t="s">
        <v>141</v>
      </c>
      <c r="C6" s="21">
        <f>'销量 附加值'!C9</f>
        <v>65</v>
      </c>
      <c r="D6" s="21">
        <f>'销量 附加值'!D9</f>
        <v>135</v>
      </c>
      <c r="E6" s="21">
        <f>'销量 附加值'!E9</f>
        <v>25</v>
      </c>
      <c r="F6" s="21">
        <f>'销量 附加值'!F9</f>
        <v>25</v>
      </c>
      <c r="G6" s="21">
        <f>'销量 附加值'!G9</f>
        <v>0</v>
      </c>
      <c r="H6" s="21">
        <f>'销量 附加值'!H9</f>
        <v>0</v>
      </c>
      <c r="I6" s="54">
        <f>SUM(C6:H6)</f>
        <v>250</v>
      </c>
      <c r="T6" s="53" t="s">
        <v>3</v>
      </c>
      <c r="AJ6" s="52" t="s">
        <v>13</v>
      </c>
      <c r="AK6" s="53" t="s">
        <v>3</v>
      </c>
      <c r="AL6" s="48" t="s">
        <v>16</v>
      </c>
    </row>
    <row r="7" spans="1:38">
      <c r="A7" s="50">
        <v>1</v>
      </c>
      <c r="B7" s="53" t="s">
        <v>17</v>
      </c>
      <c r="C7" s="54">
        <f>C6*'销量 附加值'!C8</f>
        <v>212225</v>
      </c>
      <c r="D7" s="54">
        <f>D6*'销量 附加值'!D8</f>
        <v>346275</v>
      </c>
      <c r="E7" s="54">
        <f>E6*'销量 附加值'!E8</f>
        <v>22000</v>
      </c>
      <c r="F7" s="54">
        <f>F6*'销量 附加值'!F8</f>
        <v>19500</v>
      </c>
      <c r="G7" s="54">
        <f>G6*'销量 附加值'!G8</f>
        <v>0</v>
      </c>
      <c r="H7" s="54">
        <f>H6*'销量 附加值'!H8</f>
        <v>0</v>
      </c>
      <c r="I7" s="54">
        <f>SUM(C7:H7)</f>
        <v>600000</v>
      </c>
      <c r="J7" s="49"/>
      <c r="T7" s="53" t="s">
        <v>17</v>
      </c>
      <c r="AJ7" s="52" t="s">
        <v>18</v>
      </c>
      <c r="AK7" s="53" t="s">
        <v>17</v>
      </c>
      <c r="AL7" s="48" t="s">
        <v>16</v>
      </c>
    </row>
    <row r="8" spans="1:38">
      <c r="A8" s="50">
        <v>2</v>
      </c>
      <c r="B8" s="50" t="s">
        <v>19</v>
      </c>
      <c r="C8" s="54"/>
      <c r="D8" s="54"/>
      <c r="E8" s="54"/>
      <c r="F8" s="54"/>
      <c r="G8" s="54"/>
      <c r="H8" s="54"/>
      <c r="I8" s="54">
        <f>SUM(C8:H8)</f>
        <v>0</v>
      </c>
      <c r="J8" s="69"/>
      <c r="T8" s="50" t="s">
        <v>21</v>
      </c>
      <c r="AJ8" s="52" t="s">
        <v>20</v>
      </c>
      <c r="AK8" s="50" t="s">
        <v>21</v>
      </c>
      <c r="AL8" s="48" t="s">
        <v>16</v>
      </c>
    </row>
    <row r="9" spans="1:38">
      <c r="A9" s="50">
        <v>3</v>
      </c>
      <c r="B9" s="53" t="s">
        <v>22</v>
      </c>
      <c r="C9" s="54">
        <f>+C7-C8</f>
        <v>212225</v>
      </c>
      <c r="D9" s="54">
        <f t="shared" ref="D9:H9" si="0">+D7-D8</f>
        <v>346275</v>
      </c>
      <c r="E9" s="54">
        <f t="shared" si="0"/>
        <v>22000</v>
      </c>
      <c r="F9" s="54">
        <f t="shared" si="0"/>
        <v>19500</v>
      </c>
      <c r="G9" s="54">
        <f t="shared" si="0"/>
        <v>0</v>
      </c>
      <c r="H9" s="54">
        <f t="shared" si="0"/>
        <v>0</v>
      </c>
      <c r="I9" s="54">
        <f>SUM(C9:H9)</f>
        <v>600000</v>
      </c>
      <c r="T9" s="53" t="s">
        <v>22</v>
      </c>
      <c r="AJ9" s="52" t="s">
        <v>23</v>
      </c>
      <c r="AK9" s="53" t="s">
        <v>22</v>
      </c>
      <c r="AL9" s="48" t="s">
        <v>24</v>
      </c>
    </row>
    <row r="10" spans="1:38">
      <c r="A10" s="50">
        <v>4</v>
      </c>
      <c r="B10" s="52" t="s">
        <v>25</v>
      </c>
      <c r="C10" s="54">
        <f>C6*C33</f>
        <v>145558.80078826862</v>
      </c>
      <c r="D10" s="54">
        <f t="shared" ref="D10:H10" si="1">D6*D33</f>
        <v>253277.30240640405</v>
      </c>
      <c r="E10" s="54">
        <f t="shared" si="1"/>
        <v>20992.522671901017</v>
      </c>
      <c r="F10" s="54">
        <f t="shared" si="1"/>
        <v>14866.571788121832</v>
      </c>
      <c r="G10" s="54">
        <f t="shared" si="1"/>
        <v>0</v>
      </c>
      <c r="H10" s="54">
        <f t="shared" si="1"/>
        <v>0</v>
      </c>
      <c r="I10" s="54">
        <f>SUM(C10:H10)</f>
        <v>434695.19765469554</v>
      </c>
      <c r="T10" s="52" t="s">
        <v>25</v>
      </c>
      <c r="AJ10" s="52" t="s">
        <v>26</v>
      </c>
      <c r="AK10" s="52" t="s">
        <v>25</v>
      </c>
      <c r="AL10" s="48" t="s">
        <v>27</v>
      </c>
    </row>
    <row r="11" spans="1:38">
      <c r="A11" s="50">
        <v>5</v>
      </c>
      <c r="B11" s="52" t="s">
        <v>28</v>
      </c>
      <c r="C11" s="54">
        <f>+C6*C36</f>
        <v>3331.9324999999994</v>
      </c>
      <c r="D11" s="54">
        <f t="shared" ref="D11:H11" si="2">+D6*D36</f>
        <v>5436.5174999999999</v>
      </c>
      <c r="E11" s="54">
        <f t="shared" si="2"/>
        <v>345.4</v>
      </c>
      <c r="F11" s="54">
        <f t="shared" si="2"/>
        <v>306.14999999999998</v>
      </c>
      <c r="G11" s="54">
        <f t="shared" si="2"/>
        <v>0</v>
      </c>
      <c r="H11" s="54">
        <f t="shared" si="2"/>
        <v>0</v>
      </c>
      <c r="I11" s="54">
        <f t="shared" ref="I11:I15" si="3">SUM(C11:H11)</f>
        <v>9419.9999999999982</v>
      </c>
      <c r="T11" s="52" t="s">
        <v>28</v>
      </c>
      <c r="AJ11" s="52" t="s">
        <v>29</v>
      </c>
      <c r="AK11" s="52" t="s">
        <v>28</v>
      </c>
    </row>
    <row r="12" spans="1:38">
      <c r="A12" s="50">
        <v>6</v>
      </c>
      <c r="B12" s="52" t="s">
        <v>30</v>
      </c>
      <c r="C12" s="54">
        <f>+C6*C37</f>
        <v>806.45500000000004</v>
      </c>
      <c r="D12" s="54">
        <f t="shared" ref="D12:H12" si="4">+D6*D37</f>
        <v>1315.845</v>
      </c>
      <c r="E12" s="54">
        <f t="shared" si="4"/>
        <v>83.6</v>
      </c>
      <c r="F12" s="54">
        <f t="shared" si="4"/>
        <v>74.099999999999994</v>
      </c>
      <c r="G12" s="54">
        <f t="shared" si="4"/>
        <v>0</v>
      </c>
      <c r="H12" s="54">
        <f t="shared" si="4"/>
        <v>0</v>
      </c>
      <c r="I12" s="54">
        <f t="shared" si="3"/>
        <v>2280</v>
      </c>
      <c r="T12" s="52" t="s">
        <v>30</v>
      </c>
      <c r="AJ12" s="52" t="s">
        <v>31</v>
      </c>
      <c r="AK12" s="52" t="s">
        <v>30</v>
      </c>
    </row>
    <row r="13" spans="1:38">
      <c r="A13" s="50">
        <v>7</v>
      </c>
      <c r="B13" s="52" t="s">
        <v>32</v>
      </c>
      <c r="C13" s="54">
        <f>+C6*C38</f>
        <v>5454.1824999999999</v>
      </c>
      <c r="D13" s="54">
        <f t="shared" ref="D13:H13" si="5">+D6*D38</f>
        <v>8899.2674999999999</v>
      </c>
      <c r="E13" s="54">
        <f t="shared" si="5"/>
        <v>565.4</v>
      </c>
      <c r="F13" s="54">
        <f t="shared" si="5"/>
        <v>501.15</v>
      </c>
      <c r="G13" s="54">
        <f t="shared" si="5"/>
        <v>0</v>
      </c>
      <c r="H13" s="54">
        <f t="shared" si="5"/>
        <v>0</v>
      </c>
      <c r="I13" s="54">
        <f t="shared" si="3"/>
        <v>15420</v>
      </c>
      <c r="T13" s="52" t="s">
        <v>32</v>
      </c>
      <c r="AJ13" s="52" t="s">
        <v>33</v>
      </c>
      <c r="AK13" s="52" t="s">
        <v>32</v>
      </c>
      <c r="AL13" s="48" t="s">
        <v>16</v>
      </c>
    </row>
    <row r="14" spans="1:38">
      <c r="A14" s="50">
        <v>8</v>
      </c>
      <c r="B14" s="55" t="s">
        <v>34</v>
      </c>
      <c r="C14" s="54">
        <f>SUM(C11:C13)</f>
        <v>9592.57</v>
      </c>
      <c r="D14" s="54">
        <f t="shared" ref="D14:H14" si="6">SUM(D11:D13)</f>
        <v>15651.630000000001</v>
      </c>
      <c r="E14" s="54">
        <f t="shared" si="6"/>
        <v>994.4</v>
      </c>
      <c r="F14" s="54">
        <f t="shared" si="6"/>
        <v>881.4</v>
      </c>
      <c r="G14" s="54">
        <f t="shared" si="6"/>
        <v>0</v>
      </c>
      <c r="H14" s="54">
        <f t="shared" si="6"/>
        <v>0</v>
      </c>
      <c r="I14" s="54">
        <f t="shared" si="3"/>
        <v>27120.000000000004</v>
      </c>
      <c r="T14" s="55" t="s">
        <v>34</v>
      </c>
      <c r="AJ14" s="52" t="s">
        <v>35</v>
      </c>
      <c r="AK14" s="55" t="s">
        <v>34</v>
      </c>
    </row>
    <row r="15" spans="1:38">
      <c r="A15" s="50">
        <v>9</v>
      </c>
      <c r="B15" s="55" t="s">
        <v>36</v>
      </c>
      <c r="C15" s="54">
        <f>+C9-C10-C14</f>
        <v>57073.629211731379</v>
      </c>
      <c r="D15" s="54">
        <f t="shared" ref="D15:H15" si="7">+D9-D10-D14</f>
        <v>77346.067593595944</v>
      </c>
      <c r="E15" s="54">
        <f t="shared" si="7"/>
        <v>13.077328098983003</v>
      </c>
      <c r="F15" s="54">
        <f t="shared" si="7"/>
        <v>3752.0282118781683</v>
      </c>
      <c r="G15" s="54">
        <f t="shared" si="7"/>
        <v>0</v>
      </c>
      <c r="H15" s="54">
        <f t="shared" si="7"/>
        <v>0</v>
      </c>
      <c r="I15" s="54">
        <f t="shared" si="3"/>
        <v>138184.80234530449</v>
      </c>
      <c r="T15" s="55" t="s">
        <v>36</v>
      </c>
      <c r="AJ15" s="52" t="s">
        <v>37</v>
      </c>
      <c r="AK15" s="55" t="s">
        <v>36</v>
      </c>
    </row>
    <row r="16" spans="1:38">
      <c r="A16" s="50">
        <v>10</v>
      </c>
      <c r="B16" s="52" t="s">
        <v>38</v>
      </c>
      <c r="C16" s="56">
        <f>+C15/C9</f>
        <v>0.26892981134047061</v>
      </c>
      <c r="D16" s="56">
        <f t="shared" ref="D16:H16" si="8">+D15/D9</f>
        <v>0.22336601716438076</v>
      </c>
      <c r="E16" s="56">
        <f t="shared" si="8"/>
        <v>5.9442400449922735E-4</v>
      </c>
      <c r="F16" s="56">
        <f t="shared" si="8"/>
        <v>0.19241170317323941</v>
      </c>
      <c r="G16" s="56" t="e">
        <f t="shared" si="8"/>
        <v>#DIV/0!</v>
      </c>
      <c r="H16" s="56" t="e">
        <f t="shared" si="8"/>
        <v>#DIV/0!</v>
      </c>
      <c r="I16" s="56">
        <f t="shared" ref="I16" si="9">+I15/I9</f>
        <v>0.23030800390884082</v>
      </c>
      <c r="T16" s="52" t="s">
        <v>38</v>
      </c>
      <c r="AJ16" s="52" t="s">
        <v>39</v>
      </c>
      <c r="AK16" s="52" t="s">
        <v>38</v>
      </c>
    </row>
    <row r="17" spans="1:38">
      <c r="A17" s="50">
        <v>11</v>
      </c>
      <c r="B17" s="52" t="s">
        <v>40</v>
      </c>
      <c r="C17" s="54">
        <f>C6*C43+C18</f>
        <v>55529.326666666668</v>
      </c>
      <c r="D17" s="54">
        <f t="shared" ref="D17:H17" si="10">D6*D43+D18</f>
        <v>110831.94</v>
      </c>
      <c r="E17" s="54">
        <f t="shared" si="10"/>
        <v>18519.283333333333</v>
      </c>
      <c r="F17" s="54">
        <f t="shared" si="10"/>
        <v>18400.283333333333</v>
      </c>
      <c r="G17" s="54">
        <f t="shared" si="10"/>
        <v>0</v>
      </c>
      <c r="H17" s="54">
        <f t="shared" si="10"/>
        <v>0</v>
      </c>
      <c r="I17" s="54">
        <f>SUM(C17:H17)</f>
        <v>203280.83333333331</v>
      </c>
      <c r="J17" s="164"/>
      <c r="K17" s="165"/>
      <c r="L17" s="165"/>
      <c r="T17" s="52" t="s">
        <v>40</v>
      </c>
      <c r="AJ17" s="52" t="s">
        <v>41</v>
      </c>
      <c r="AK17" s="52" t="s">
        <v>40</v>
      </c>
    </row>
    <row r="18" spans="1:38" s="46" customFormat="1">
      <c r="A18" s="50">
        <v>12</v>
      </c>
      <c r="B18" s="57" t="s">
        <v>142</v>
      </c>
      <c r="C18" s="58">
        <f>$I$18/$I$6*C6</f>
        <v>45427.416666666664</v>
      </c>
      <c r="D18" s="58">
        <f t="shared" ref="D18:H18" si="11">$I$18/$I$6*D6</f>
        <v>94349.25</v>
      </c>
      <c r="E18" s="58">
        <f t="shared" si="11"/>
        <v>17472.083333333332</v>
      </c>
      <c r="F18" s="58">
        <f t="shared" si="11"/>
        <v>17472.083333333332</v>
      </c>
      <c r="G18" s="58">
        <f t="shared" si="11"/>
        <v>0</v>
      </c>
      <c r="H18" s="58">
        <f t="shared" si="11"/>
        <v>0</v>
      </c>
      <c r="I18" s="58">
        <f>项目投资!D26</f>
        <v>174720.83333333334</v>
      </c>
      <c r="J18" s="166" t="s">
        <v>143</v>
      </c>
      <c r="K18" s="166"/>
      <c r="L18" s="166"/>
    </row>
    <row r="19" spans="1:38">
      <c r="A19" s="50">
        <v>13</v>
      </c>
      <c r="B19" s="52" t="s">
        <v>42</v>
      </c>
      <c r="C19" s="54">
        <f>C6*C44</f>
        <v>1591.6875</v>
      </c>
      <c r="D19" s="54">
        <f t="shared" ref="D19:H19" si="12">D6*D44</f>
        <v>2597.0625</v>
      </c>
      <c r="E19" s="54">
        <f t="shared" si="12"/>
        <v>165</v>
      </c>
      <c r="F19" s="54">
        <f>F6*F44</f>
        <v>146.25</v>
      </c>
      <c r="G19" s="54">
        <f t="shared" si="12"/>
        <v>0</v>
      </c>
      <c r="H19" s="54">
        <f t="shared" si="12"/>
        <v>0</v>
      </c>
      <c r="I19" s="54">
        <f>SUM(C19:H19)</f>
        <v>4500</v>
      </c>
      <c r="J19" s="167"/>
      <c r="K19" s="165"/>
      <c r="L19" s="165"/>
      <c r="T19" s="52" t="s">
        <v>42</v>
      </c>
      <c r="AJ19" s="52" t="s">
        <v>43</v>
      </c>
      <c r="AK19" s="52" t="s">
        <v>42</v>
      </c>
      <c r="AL19" s="48" t="s">
        <v>16</v>
      </c>
    </row>
    <row r="20" spans="1:38">
      <c r="A20" s="50">
        <v>14</v>
      </c>
      <c r="B20" s="52" t="s">
        <v>44</v>
      </c>
      <c r="C20" s="54">
        <f>C6*C45</f>
        <v>6387.9724999999999</v>
      </c>
      <c r="D20" s="54">
        <f t="shared" ref="D20:H20" si="13">D6*D45</f>
        <v>10422.877499999999</v>
      </c>
      <c r="E20" s="54">
        <f t="shared" si="13"/>
        <v>662.2</v>
      </c>
      <c r="F20" s="54">
        <f t="shared" si="13"/>
        <v>586.94999999999993</v>
      </c>
      <c r="G20" s="54">
        <f t="shared" si="13"/>
        <v>0</v>
      </c>
      <c r="H20" s="54">
        <f t="shared" si="13"/>
        <v>0</v>
      </c>
      <c r="I20" s="54">
        <f>SUM(C20:H20)</f>
        <v>18060</v>
      </c>
      <c r="T20" s="52" t="s">
        <v>44</v>
      </c>
      <c r="AJ20" s="52" t="s">
        <v>45</v>
      </c>
      <c r="AK20" s="52" t="s">
        <v>44</v>
      </c>
    </row>
    <row r="21" spans="1:38">
      <c r="A21" s="50">
        <v>15</v>
      </c>
      <c r="B21" s="52" t="s">
        <v>46</v>
      </c>
      <c r="C21" s="59">
        <f>$I$21/$I$6*C6</f>
        <v>9468.3333333333321</v>
      </c>
      <c r="D21" s="59">
        <f t="shared" ref="D21:H21" si="14">$I$21/$I$6*D6</f>
        <v>19665</v>
      </c>
      <c r="E21" s="59">
        <f t="shared" si="14"/>
        <v>3641.6666666666665</v>
      </c>
      <c r="F21" s="59">
        <f t="shared" si="14"/>
        <v>3641.6666666666665</v>
      </c>
      <c r="G21" s="59">
        <f t="shared" si="14"/>
        <v>0</v>
      </c>
      <c r="H21" s="59">
        <f t="shared" si="14"/>
        <v>0</v>
      </c>
      <c r="I21" s="54">
        <f>项目投资!D27</f>
        <v>36416.666666666664</v>
      </c>
      <c r="T21" s="52" t="s">
        <v>46</v>
      </c>
      <c r="AJ21" s="52"/>
      <c r="AK21" s="52"/>
    </row>
    <row r="22" spans="1:38">
      <c r="A22" s="50">
        <v>16</v>
      </c>
      <c r="B22" s="52" t="s">
        <v>47</v>
      </c>
      <c r="C22" s="54">
        <f>C6*C47</f>
        <v>10611.25</v>
      </c>
      <c r="D22" s="54">
        <f t="shared" ref="D22:H22" si="15">D6*D47</f>
        <v>17313.75</v>
      </c>
      <c r="E22" s="54">
        <f t="shared" si="15"/>
        <v>1100</v>
      </c>
      <c r="F22" s="54">
        <f t="shared" si="15"/>
        <v>975</v>
      </c>
      <c r="G22" s="54">
        <f t="shared" si="15"/>
        <v>0</v>
      </c>
      <c r="H22" s="54">
        <f t="shared" si="15"/>
        <v>0</v>
      </c>
      <c r="I22" s="54">
        <f>SUM(C22:H22)</f>
        <v>30000</v>
      </c>
      <c r="T22" s="52" t="s">
        <v>47</v>
      </c>
      <c r="AJ22" s="52" t="s">
        <v>48</v>
      </c>
      <c r="AK22" s="52" t="s">
        <v>47</v>
      </c>
    </row>
    <row r="23" spans="1:38">
      <c r="A23" s="50">
        <v>17</v>
      </c>
      <c r="B23" s="55" t="s">
        <v>49</v>
      </c>
      <c r="C23" s="59">
        <f>+C22+C21+C20+C19+C17</f>
        <v>83588.570000000007</v>
      </c>
      <c r="D23" s="59">
        <f t="shared" ref="D23:H23" si="16">+D22+D21+D20+D19+D17</f>
        <v>160830.63</v>
      </c>
      <c r="E23" s="59">
        <f t="shared" si="16"/>
        <v>24088.149999999998</v>
      </c>
      <c r="F23" s="59">
        <f t="shared" si="16"/>
        <v>23750.149999999998</v>
      </c>
      <c r="G23" s="59">
        <f t="shared" si="16"/>
        <v>0</v>
      </c>
      <c r="H23" s="59">
        <f t="shared" si="16"/>
        <v>0</v>
      </c>
      <c r="I23" s="59">
        <f t="shared" ref="I23" si="17">+I22+I21+I20+I19+I17</f>
        <v>292257.5</v>
      </c>
      <c r="T23" s="55" t="s">
        <v>49</v>
      </c>
      <c r="AJ23" s="52" t="s">
        <v>50</v>
      </c>
      <c r="AK23" s="55" t="s">
        <v>49</v>
      </c>
    </row>
    <row r="24" spans="1:38">
      <c r="A24" s="50">
        <v>18</v>
      </c>
      <c r="B24" s="60" t="s">
        <v>51</v>
      </c>
      <c r="C24" s="59">
        <f>+C15-C23</f>
        <v>-26514.940788268628</v>
      </c>
      <c r="D24" s="59">
        <f t="shared" ref="D24:H24" si="18">+D15-D23</f>
        <v>-83484.56240640406</v>
      </c>
      <c r="E24" s="59">
        <f t="shared" si="18"/>
        <v>-24075.072671901016</v>
      </c>
      <c r="F24" s="59">
        <f t="shared" si="18"/>
        <v>-19998.121788121829</v>
      </c>
      <c r="G24" s="59">
        <f t="shared" si="18"/>
        <v>0</v>
      </c>
      <c r="H24" s="59">
        <f t="shared" si="18"/>
        <v>0</v>
      </c>
      <c r="I24" s="59">
        <f t="shared" ref="I24" si="19">+I15-I23</f>
        <v>-154072.69765469551</v>
      </c>
      <c r="K24" s="71"/>
      <c r="T24" s="52" t="s">
        <v>51</v>
      </c>
      <c r="AJ24" s="52" t="s">
        <v>52</v>
      </c>
      <c r="AK24" s="52" t="s">
        <v>51</v>
      </c>
    </row>
    <row r="25" spans="1:38">
      <c r="A25" s="50">
        <v>19</v>
      </c>
      <c r="B25" s="52" t="s">
        <v>144</v>
      </c>
      <c r="C25" s="59">
        <f>IF(C24&lt;0,0,C24*0.25)</f>
        <v>0</v>
      </c>
      <c r="D25" s="59">
        <f>IF(D24&lt;0,0,D24*0.15)</f>
        <v>0</v>
      </c>
      <c r="E25" s="59">
        <f t="shared" ref="E25:I25" si="20">IF(E24&lt;0,0,E24*0.25)</f>
        <v>0</v>
      </c>
      <c r="F25" s="59">
        <f>IF(F24&lt;0,0,F24*0.15)</f>
        <v>0</v>
      </c>
      <c r="G25" s="59">
        <f t="shared" si="20"/>
        <v>0</v>
      </c>
      <c r="H25" s="59">
        <f t="shared" si="20"/>
        <v>0</v>
      </c>
      <c r="I25" s="59">
        <f t="shared" si="20"/>
        <v>0</v>
      </c>
      <c r="J25" s="67"/>
      <c r="K25" s="67"/>
      <c r="L25" s="67"/>
      <c r="T25" s="52" t="s">
        <v>53</v>
      </c>
      <c r="AJ25" s="52" t="s">
        <v>54</v>
      </c>
      <c r="AK25" s="52" t="s">
        <v>53</v>
      </c>
    </row>
    <row r="26" spans="1:38">
      <c r="A26" s="50">
        <v>20</v>
      </c>
      <c r="B26" s="52" t="s">
        <v>55</v>
      </c>
      <c r="C26" s="59">
        <f t="shared" ref="C26:H26" si="21">C24-C25</f>
        <v>-26514.940788268628</v>
      </c>
      <c r="D26" s="59">
        <f t="shared" si="21"/>
        <v>-83484.56240640406</v>
      </c>
      <c r="E26" s="59">
        <f t="shared" si="21"/>
        <v>-24075.072671901016</v>
      </c>
      <c r="F26" s="59">
        <f t="shared" si="21"/>
        <v>-19998.121788121829</v>
      </c>
      <c r="G26" s="59">
        <f t="shared" si="21"/>
        <v>0</v>
      </c>
      <c r="H26" s="59">
        <f t="shared" si="21"/>
        <v>0</v>
      </c>
      <c r="I26" s="54">
        <f>SUM(C26:H26)</f>
        <v>-154072.69765469554</v>
      </c>
      <c r="J26" s="67"/>
      <c r="K26" s="67"/>
      <c r="L26" s="67"/>
      <c r="T26" s="52" t="s">
        <v>55</v>
      </c>
      <c r="AJ26" s="52" t="s">
        <v>56</v>
      </c>
      <c r="AK26" s="52" t="s">
        <v>55</v>
      </c>
    </row>
    <row r="27" spans="1:38">
      <c r="A27" s="50">
        <v>21</v>
      </c>
      <c r="B27" s="52" t="s">
        <v>59</v>
      </c>
      <c r="C27" s="61">
        <f t="shared" ref="C27:I27" si="22">C26/C7</f>
        <v>-0.1249378762552415</v>
      </c>
      <c r="D27" s="61">
        <f t="shared" ref="D27:H27" si="23">D26/D7</f>
        <v>-0.24109324209487853</v>
      </c>
      <c r="E27" s="61">
        <f t="shared" si="23"/>
        <v>-1.0943214850864098</v>
      </c>
      <c r="F27" s="61">
        <f t="shared" si="23"/>
        <v>-1.0255447070831707</v>
      </c>
      <c r="G27" s="61" t="e">
        <f t="shared" si="23"/>
        <v>#DIV/0!</v>
      </c>
      <c r="H27" s="61" t="e">
        <f t="shared" si="23"/>
        <v>#DIV/0!</v>
      </c>
      <c r="I27" s="61">
        <f t="shared" si="22"/>
        <v>-0.25678782942449258</v>
      </c>
      <c r="J27" s="67"/>
      <c r="K27" s="67"/>
      <c r="L27" s="67"/>
      <c r="T27" s="52" t="s">
        <v>59</v>
      </c>
      <c r="AJ27" s="52" t="s">
        <v>58</v>
      </c>
      <c r="AK27" s="52" t="s">
        <v>59</v>
      </c>
    </row>
    <row r="28" spans="1:38">
      <c r="J28" s="67"/>
      <c r="K28" s="67"/>
      <c r="L28" s="67"/>
      <c r="T28" s="52"/>
    </row>
    <row r="29" spans="1:38">
      <c r="A29" s="48" t="s">
        <v>60</v>
      </c>
      <c r="I29" s="49" t="s">
        <v>145</v>
      </c>
      <c r="J29" s="67"/>
      <c r="K29" s="67"/>
      <c r="L29" s="67"/>
      <c r="T29" s="52"/>
      <c r="AJ29" s="48" t="s">
        <v>60</v>
      </c>
    </row>
    <row r="30" spans="1:38">
      <c r="A30" s="52" t="s">
        <v>61</v>
      </c>
      <c r="B30" s="55" t="s">
        <v>62</v>
      </c>
      <c r="C30" s="59"/>
      <c r="D30" s="59"/>
      <c r="E30" s="59"/>
      <c r="F30" s="59"/>
      <c r="G30" s="59"/>
      <c r="H30" s="59"/>
      <c r="I30" s="59"/>
      <c r="J30" s="67"/>
      <c r="K30" s="67"/>
      <c r="L30" s="67"/>
      <c r="N30" s="67"/>
      <c r="T30" s="55" t="s">
        <v>62</v>
      </c>
      <c r="AJ30" s="52" t="s">
        <v>63</v>
      </c>
      <c r="AK30" s="55" t="s">
        <v>62</v>
      </c>
    </row>
    <row r="31" spans="1:38">
      <c r="A31" s="62">
        <v>1</v>
      </c>
      <c r="B31" s="57" t="s">
        <v>64</v>
      </c>
      <c r="C31" s="63">
        <f>'销量 附加值'!C8</f>
        <v>3265</v>
      </c>
      <c r="D31" s="63">
        <f>'销量 附加值'!D8</f>
        <v>2565</v>
      </c>
      <c r="E31" s="63">
        <f>'销量 附加值'!E8</f>
        <v>880</v>
      </c>
      <c r="F31" s="63">
        <f>'销量 附加值'!F8</f>
        <v>780</v>
      </c>
      <c r="G31" s="63">
        <f>'销量 附加值'!G8</f>
        <v>0</v>
      </c>
      <c r="H31" s="63">
        <f>'销量 附加值'!H8</f>
        <v>0</v>
      </c>
      <c r="I31" s="59"/>
      <c r="J31" s="67"/>
      <c r="K31" s="67"/>
      <c r="L31" s="67"/>
      <c r="N31" s="67"/>
      <c r="T31" s="52" t="s">
        <v>64</v>
      </c>
      <c r="AJ31" s="52" t="s">
        <v>18</v>
      </c>
      <c r="AK31" s="52" t="s">
        <v>64</v>
      </c>
    </row>
    <row r="32" spans="1:38">
      <c r="A32" s="62">
        <v>2</v>
      </c>
      <c r="B32" s="52" t="s">
        <v>146</v>
      </c>
      <c r="C32" s="54">
        <f>C31*1</f>
        <v>3265</v>
      </c>
      <c r="D32" s="54">
        <f t="shared" ref="D32:H32" si="24">D31*1</f>
        <v>2565</v>
      </c>
      <c r="E32" s="54">
        <f t="shared" si="24"/>
        <v>880</v>
      </c>
      <c r="F32" s="54">
        <f t="shared" si="24"/>
        <v>780</v>
      </c>
      <c r="G32" s="54">
        <f t="shared" si="24"/>
        <v>0</v>
      </c>
      <c r="H32" s="54">
        <f t="shared" si="24"/>
        <v>0</v>
      </c>
      <c r="I32" s="59"/>
      <c r="J32" s="67"/>
      <c r="K32" s="67"/>
      <c r="L32" s="67"/>
      <c r="M32" s="67"/>
      <c r="N32" s="67"/>
      <c r="O32" s="67"/>
      <c r="P32" s="67"/>
      <c r="AJ32" s="52"/>
      <c r="AK32" s="52"/>
    </row>
    <row r="33" spans="1:37">
      <c r="A33" s="62">
        <v>3</v>
      </c>
      <c r="B33" s="57" t="s">
        <v>65</v>
      </c>
      <c r="C33" s="54">
        <f>材料成本!D12</f>
        <v>2239.3661659733634</v>
      </c>
      <c r="D33" s="54">
        <f>材料成本!E12</f>
        <v>1876.1281659733634</v>
      </c>
      <c r="E33" s="54">
        <f>材料成本!F12</f>
        <v>839.70090687604068</v>
      </c>
      <c r="F33" s="54">
        <f>材料成本!G12</f>
        <v>594.66287152487325</v>
      </c>
      <c r="G33" s="54">
        <f>材料成本!H12</f>
        <v>0</v>
      </c>
      <c r="H33" s="54">
        <f>材料成本!I12</f>
        <v>0</v>
      </c>
      <c r="I33" s="59"/>
      <c r="K33" s="67"/>
      <c r="L33" s="67"/>
      <c r="M33" s="67"/>
      <c r="N33" s="67"/>
      <c r="O33" s="67"/>
      <c r="P33" s="67"/>
      <c r="T33" s="52" t="s">
        <v>65</v>
      </c>
      <c r="AJ33" s="52" t="s">
        <v>20</v>
      </c>
      <c r="AK33" s="52" t="s">
        <v>65</v>
      </c>
    </row>
    <row r="34" spans="1:37" ht="17.25" customHeight="1">
      <c r="A34" s="62">
        <v>4</v>
      </c>
      <c r="B34" s="52" t="s">
        <v>67</v>
      </c>
      <c r="C34" s="64">
        <f>C32-C33</f>
        <v>1025.6338340266366</v>
      </c>
      <c r="D34" s="64">
        <f t="shared" ref="D34:H34" si="25">D32-D33</f>
        <v>688.87183402663663</v>
      </c>
      <c r="E34" s="64">
        <f t="shared" si="25"/>
        <v>40.299093123959324</v>
      </c>
      <c r="F34" s="64">
        <f t="shared" si="25"/>
        <v>185.33712847512675</v>
      </c>
      <c r="G34" s="64">
        <f t="shared" si="25"/>
        <v>0</v>
      </c>
      <c r="H34" s="64">
        <f t="shared" si="25"/>
        <v>0</v>
      </c>
      <c r="I34" s="59"/>
      <c r="K34" s="67"/>
      <c r="L34" s="67"/>
      <c r="M34" s="67"/>
      <c r="N34" s="67"/>
      <c r="O34" s="67"/>
      <c r="P34" s="67"/>
      <c r="T34" s="52" t="s">
        <v>67</v>
      </c>
      <c r="AJ34" s="52" t="s">
        <v>66</v>
      </c>
      <c r="AK34" s="52" t="s">
        <v>67</v>
      </c>
    </row>
    <row r="35" spans="1:37">
      <c r="A35" s="52" t="s">
        <v>63</v>
      </c>
      <c r="B35" s="55" t="s">
        <v>8</v>
      </c>
      <c r="C35" s="59"/>
      <c r="D35" s="59"/>
      <c r="E35" s="59"/>
      <c r="F35" s="59"/>
      <c r="G35" s="59"/>
      <c r="H35" s="59"/>
      <c r="I35" s="59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55" t="s">
        <v>8</v>
      </c>
      <c r="AJ35" s="52" t="s">
        <v>69</v>
      </c>
      <c r="AK35" s="55" t="s">
        <v>8</v>
      </c>
    </row>
    <row r="36" spans="1:37">
      <c r="A36" s="62">
        <v>1</v>
      </c>
      <c r="B36" s="52" t="s">
        <v>70</v>
      </c>
      <c r="C36" s="58">
        <f>标准成本!D4</f>
        <v>51.260499999999993</v>
      </c>
      <c r="D36" s="58">
        <f>标准成本!D18</f>
        <v>40.270499999999998</v>
      </c>
      <c r="E36" s="58">
        <f>标准成本!D32</f>
        <v>13.815999999999999</v>
      </c>
      <c r="F36" s="58">
        <f>标准成本!D45</f>
        <v>12.245999999999999</v>
      </c>
      <c r="G36" s="58">
        <f>标准成本!D58</f>
        <v>0</v>
      </c>
      <c r="H36" s="58">
        <f>标准成本!D71</f>
        <v>0</v>
      </c>
      <c r="I36" s="63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52" t="s">
        <v>70</v>
      </c>
      <c r="AJ36" s="52" t="s">
        <v>66</v>
      </c>
      <c r="AK36" s="52" t="s">
        <v>70</v>
      </c>
    </row>
    <row r="37" spans="1:37">
      <c r="A37" s="62">
        <v>2</v>
      </c>
      <c r="B37" s="52" t="s">
        <v>71</v>
      </c>
      <c r="C37" s="58">
        <f>标准成本!D6</f>
        <v>12.407</v>
      </c>
      <c r="D37" s="58">
        <f>标准成本!D20</f>
        <v>9.7469999999999999</v>
      </c>
      <c r="E37" s="58">
        <f>标准成本!D34</f>
        <v>3.3439999999999999</v>
      </c>
      <c r="F37" s="58">
        <f>标准成本!D47</f>
        <v>2.964</v>
      </c>
      <c r="G37" s="58">
        <f>标准成本!D60</f>
        <v>0</v>
      </c>
      <c r="H37" s="58">
        <f>标准成本!D73</f>
        <v>0</v>
      </c>
      <c r="I37" s="63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52" t="s">
        <v>71</v>
      </c>
      <c r="AJ37" s="52" t="s">
        <v>23</v>
      </c>
      <c r="AK37" s="52" t="s">
        <v>71</v>
      </c>
    </row>
    <row r="38" spans="1:37">
      <c r="A38" s="62">
        <v>3</v>
      </c>
      <c r="B38" s="52" t="s">
        <v>72</v>
      </c>
      <c r="C38" s="58">
        <f>标准成本!D10</f>
        <v>83.910499999999999</v>
      </c>
      <c r="D38" s="58">
        <f>标准成本!D24</f>
        <v>65.920500000000004</v>
      </c>
      <c r="E38" s="58">
        <f>标准成本!D38</f>
        <v>22.616</v>
      </c>
      <c r="F38" s="58">
        <f>标准成本!D51</f>
        <v>20.045999999999999</v>
      </c>
      <c r="G38" s="58">
        <f>标准成本!D64</f>
        <v>0</v>
      </c>
      <c r="H38" s="58">
        <f>标准成本!D77</f>
        <v>0</v>
      </c>
      <c r="I38" s="63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52" t="s">
        <v>72</v>
      </c>
      <c r="AJ38" s="52" t="s">
        <v>29</v>
      </c>
      <c r="AK38" s="52" t="s">
        <v>72</v>
      </c>
    </row>
    <row r="39" spans="1:37">
      <c r="A39" s="52" t="s">
        <v>69</v>
      </c>
      <c r="B39" s="55" t="s">
        <v>74</v>
      </c>
      <c r="C39" s="59"/>
      <c r="D39" s="59"/>
      <c r="E39" s="59"/>
      <c r="F39" s="59"/>
      <c r="G39" s="59"/>
      <c r="H39" s="59"/>
      <c r="I39" s="59"/>
      <c r="T39" s="55" t="s">
        <v>74</v>
      </c>
      <c r="AJ39" s="52" t="s">
        <v>73</v>
      </c>
      <c r="AK39" s="55" t="s">
        <v>74</v>
      </c>
    </row>
    <row r="40" spans="1:37">
      <c r="A40" s="62">
        <v>1</v>
      </c>
      <c r="B40" s="52" t="s">
        <v>76</v>
      </c>
      <c r="C40" s="59">
        <f>C34-C36-C37-C38</f>
        <v>878.0558340266366</v>
      </c>
      <c r="D40" s="59">
        <f t="shared" ref="D40:H40" si="26">D34-D36-D37-D38</f>
        <v>572.93383402663676</v>
      </c>
      <c r="E40" s="59">
        <f t="shared" si="26"/>
        <v>0.52309312395932395</v>
      </c>
      <c r="F40" s="59">
        <f t="shared" si="26"/>
        <v>150.08112847512675</v>
      </c>
      <c r="G40" s="59">
        <f t="shared" si="26"/>
        <v>0</v>
      </c>
      <c r="H40" s="59">
        <f t="shared" si="26"/>
        <v>0</v>
      </c>
      <c r="I40" s="59"/>
      <c r="T40" s="52" t="s">
        <v>76</v>
      </c>
      <c r="AJ40" s="52" t="s">
        <v>18</v>
      </c>
      <c r="AK40" s="52" t="s">
        <v>76</v>
      </c>
    </row>
    <row r="41" spans="1:37">
      <c r="A41" s="62">
        <v>2</v>
      </c>
      <c r="B41" s="52" t="s">
        <v>77</v>
      </c>
      <c r="C41" s="59"/>
      <c r="D41" s="59"/>
      <c r="E41" s="59"/>
      <c r="F41" s="59"/>
      <c r="G41" s="59"/>
      <c r="H41" s="59"/>
      <c r="I41" s="59"/>
      <c r="T41" s="52" t="s">
        <v>77</v>
      </c>
      <c r="AJ41" s="52" t="s">
        <v>20</v>
      </c>
      <c r="AK41" s="52" t="s">
        <v>77</v>
      </c>
    </row>
    <row r="42" spans="1:37">
      <c r="A42" s="52" t="s">
        <v>73</v>
      </c>
      <c r="B42" s="55" t="s">
        <v>79</v>
      </c>
      <c r="C42" s="59"/>
      <c r="D42" s="59"/>
      <c r="E42" s="59"/>
      <c r="F42" s="59"/>
      <c r="G42" s="59"/>
      <c r="H42" s="59"/>
      <c r="I42" s="59"/>
      <c r="T42" s="55" t="s">
        <v>79</v>
      </c>
      <c r="AJ42" s="52" t="s">
        <v>78</v>
      </c>
      <c r="AK42" s="55" t="s">
        <v>79</v>
      </c>
    </row>
    <row r="43" spans="1:37">
      <c r="A43" s="62">
        <v>1</v>
      </c>
      <c r="B43" s="60" t="s">
        <v>80</v>
      </c>
      <c r="C43" s="58">
        <f>标准成本!D5</f>
        <v>155.41400000000002</v>
      </c>
      <c r="D43" s="58">
        <f>标准成本!D19</f>
        <v>122.09400000000001</v>
      </c>
      <c r="E43" s="58">
        <f>标准成本!D33</f>
        <v>41.888000000000005</v>
      </c>
      <c r="F43" s="58">
        <f>标准成本!D46</f>
        <v>37.128</v>
      </c>
      <c r="G43" s="58">
        <f>标准成本!D59</f>
        <v>0</v>
      </c>
      <c r="H43" s="58"/>
      <c r="I43" s="59"/>
      <c r="T43" s="52" t="s">
        <v>80</v>
      </c>
      <c r="AJ43" s="52" t="s">
        <v>18</v>
      </c>
      <c r="AK43" s="52" t="s">
        <v>80</v>
      </c>
    </row>
    <row r="44" spans="1:37">
      <c r="A44" s="62">
        <v>2</v>
      </c>
      <c r="B44" s="60" t="s">
        <v>81</v>
      </c>
      <c r="C44" s="58">
        <f>标准成本!D9</f>
        <v>24.487500000000001</v>
      </c>
      <c r="D44" s="58">
        <f>标准成本!D23</f>
        <v>19.237500000000001</v>
      </c>
      <c r="E44" s="58">
        <f>标准成本!D37</f>
        <v>6.6</v>
      </c>
      <c r="F44" s="58">
        <f>标准成本!D50</f>
        <v>5.85</v>
      </c>
      <c r="G44" s="58">
        <f>标准成本!D63</f>
        <v>0</v>
      </c>
      <c r="H44" s="58"/>
      <c r="I44" s="59"/>
      <c r="T44" s="52" t="s">
        <v>81</v>
      </c>
      <c r="AJ44" s="52" t="s">
        <v>20</v>
      </c>
      <c r="AK44" s="52" t="s">
        <v>81</v>
      </c>
    </row>
    <row r="45" spans="1:37">
      <c r="A45" s="62">
        <v>3</v>
      </c>
      <c r="B45" s="60" t="s">
        <v>82</v>
      </c>
      <c r="C45" s="58">
        <f>标准成本!D8</f>
        <v>98.276499999999999</v>
      </c>
      <c r="D45" s="58">
        <f>标准成本!D22</f>
        <v>77.206499999999991</v>
      </c>
      <c r="E45" s="58">
        <f>标准成本!D36</f>
        <v>26.488</v>
      </c>
      <c r="F45" s="58">
        <f>标准成本!D49</f>
        <v>23.477999999999998</v>
      </c>
      <c r="G45" s="58">
        <f>标准成本!D62</f>
        <v>0</v>
      </c>
      <c r="H45" s="65">
        <f>标准成本!D75</f>
        <v>0</v>
      </c>
      <c r="I45" s="59"/>
      <c r="T45" s="52" t="s">
        <v>82</v>
      </c>
      <c r="AJ45" s="52" t="s">
        <v>66</v>
      </c>
      <c r="AK45" s="52" t="s">
        <v>82</v>
      </c>
    </row>
    <row r="46" spans="1:37" s="47" customFormat="1">
      <c r="A46" s="62">
        <v>4</v>
      </c>
      <c r="B46" s="60" t="s">
        <v>83</v>
      </c>
      <c r="C46" s="65">
        <f>C21/C6</f>
        <v>145.66666666666666</v>
      </c>
      <c r="D46" s="65">
        <f t="shared" ref="D46:H46" si="27">D21/D6</f>
        <v>145.66666666666666</v>
      </c>
      <c r="E46" s="65">
        <f t="shared" si="27"/>
        <v>145.66666666666666</v>
      </c>
      <c r="F46" s="65">
        <f t="shared" si="27"/>
        <v>145.66666666666666</v>
      </c>
      <c r="G46" s="65" t="e">
        <f t="shared" si="27"/>
        <v>#DIV/0!</v>
      </c>
      <c r="H46" s="65" t="e">
        <f t="shared" si="27"/>
        <v>#DIV/0!</v>
      </c>
      <c r="I46" s="65"/>
      <c r="T46" s="60" t="s">
        <v>85</v>
      </c>
      <c r="AJ46" s="60" t="s">
        <v>26</v>
      </c>
      <c r="AK46" s="60" t="s">
        <v>85</v>
      </c>
    </row>
    <row r="47" spans="1:37" s="47" customFormat="1">
      <c r="A47" s="62">
        <v>5</v>
      </c>
      <c r="B47" s="60" t="s">
        <v>85</v>
      </c>
      <c r="C47" s="58">
        <f>标准成本!D11</f>
        <v>163.25</v>
      </c>
      <c r="D47" s="58">
        <f>标准成本!D25</f>
        <v>128.25</v>
      </c>
      <c r="E47" s="58">
        <f>标准成本!D39</f>
        <v>44</v>
      </c>
      <c r="F47" s="58">
        <f>标准成本!D52</f>
        <v>39</v>
      </c>
      <c r="G47" s="58">
        <f>标准成本!D65</f>
        <v>0</v>
      </c>
      <c r="H47" s="65">
        <f>标准成本!D78</f>
        <v>0</v>
      </c>
      <c r="I47" s="65"/>
      <c r="T47" s="60" t="s">
        <v>85</v>
      </c>
      <c r="AJ47" s="60" t="s">
        <v>26</v>
      </c>
      <c r="AK47" s="60" t="s">
        <v>85</v>
      </c>
    </row>
    <row r="48" spans="1:37">
      <c r="A48" s="52" t="s">
        <v>78</v>
      </c>
      <c r="B48" s="55" t="s">
        <v>96</v>
      </c>
      <c r="C48" s="59">
        <f>C40-C43-C44-C45-C47-C46</f>
        <v>290.96116735997009</v>
      </c>
      <c r="D48" s="59">
        <f t="shared" ref="D48:H48" si="28">D40-D43-D44-D45-D47-D46</f>
        <v>80.479167359970091</v>
      </c>
      <c r="E48" s="59">
        <f t="shared" si="28"/>
        <v>-264.11957354270737</v>
      </c>
      <c r="F48" s="59">
        <f t="shared" si="28"/>
        <v>-101.0415381915399</v>
      </c>
      <c r="G48" s="59" t="e">
        <f t="shared" si="28"/>
        <v>#DIV/0!</v>
      </c>
      <c r="H48" s="59" t="e">
        <f t="shared" si="28"/>
        <v>#DIV/0!</v>
      </c>
      <c r="I48" s="59"/>
      <c r="T48" s="55" t="s">
        <v>96</v>
      </c>
      <c r="AJ48" s="52" t="s">
        <v>95</v>
      </c>
      <c r="AK48" s="55" t="s">
        <v>96</v>
      </c>
    </row>
    <row r="51" spans="2:14">
      <c r="C51" s="66"/>
      <c r="D51" s="66"/>
      <c r="E51" s="66"/>
      <c r="F51" s="66"/>
      <c r="G51" s="66"/>
      <c r="H51" s="66"/>
    </row>
    <row r="54" spans="2:14">
      <c r="B54" s="67"/>
      <c r="C54" s="68"/>
      <c r="D54" s="68"/>
      <c r="E54" s="68"/>
      <c r="F54" s="68"/>
      <c r="G54" s="68"/>
      <c r="H54" s="68"/>
      <c r="I54" s="68"/>
      <c r="J54" s="67"/>
      <c r="K54" s="67"/>
      <c r="L54" s="67"/>
      <c r="M54" s="67"/>
      <c r="N54" s="67"/>
    </row>
    <row r="55" spans="2:14">
      <c r="B55" s="67"/>
      <c r="C55" s="68"/>
      <c r="D55" s="68"/>
      <c r="E55" s="68"/>
      <c r="F55" s="68"/>
      <c r="G55" s="68"/>
      <c r="H55" s="68"/>
      <c r="I55" s="68"/>
      <c r="J55" s="67"/>
      <c r="K55" s="67"/>
      <c r="L55" s="67"/>
      <c r="M55" s="67"/>
      <c r="N55" s="67"/>
    </row>
    <row r="56" spans="2:14">
      <c r="B56" s="67"/>
      <c r="C56" s="68"/>
      <c r="D56" s="68"/>
      <c r="E56" s="68"/>
      <c r="F56" s="68"/>
      <c r="G56" s="68"/>
      <c r="H56" s="68"/>
      <c r="I56" s="68"/>
      <c r="J56" s="67"/>
      <c r="K56" s="67"/>
      <c r="L56" s="67"/>
      <c r="M56" s="67"/>
      <c r="N56" s="67"/>
    </row>
    <row r="57" spans="2:14">
      <c r="B57" s="67"/>
      <c r="C57" s="68"/>
      <c r="D57" s="68"/>
      <c r="E57" s="68"/>
      <c r="F57" s="68"/>
      <c r="G57" s="68"/>
      <c r="H57" s="68"/>
      <c r="I57" s="68"/>
      <c r="J57" s="67"/>
      <c r="K57" s="67"/>
      <c r="L57" s="67"/>
      <c r="M57" s="67"/>
      <c r="N57" s="67"/>
    </row>
    <row r="58" spans="2:14">
      <c r="B58" s="67"/>
      <c r="C58" s="68"/>
      <c r="D58" s="68"/>
      <c r="E58" s="68"/>
      <c r="F58" s="68"/>
      <c r="G58" s="68"/>
      <c r="H58" s="68"/>
      <c r="I58" s="68"/>
      <c r="J58" s="67"/>
      <c r="K58" s="67"/>
      <c r="L58" s="67"/>
      <c r="M58" s="67"/>
      <c r="N58" s="67"/>
    </row>
    <row r="59" spans="2:14">
      <c r="B59" s="67"/>
      <c r="C59" s="68"/>
      <c r="D59" s="68"/>
      <c r="E59" s="68"/>
      <c r="F59" s="68"/>
      <c r="G59" s="68"/>
      <c r="H59" s="68"/>
      <c r="I59" s="68"/>
      <c r="J59" s="67"/>
      <c r="K59" s="67"/>
      <c r="L59" s="67"/>
      <c r="M59" s="67"/>
      <c r="N59" s="67"/>
    </row>
    <row r="60" spans="2:14">
      <c r="B60" s="67"/>
      <c r="C60" s="68"/>
      <c r="D60" s="68"/>
      <c r="E60" s="68"/>
      <c r="F60" s="68"/>
      <c r="G60" s="68"/>
      <c r="H60" s="68"/>
      <c r="I60" s="68"/>
      <c r="J60" s="67"/>
      <c r="K60" s="67"/>
      <c r="L60" s="67"/>
      <c r="M60" s="67"/>
      <c r="N60" s="67"/>
    </row>
    <row r="61" spans="2:14">
      <c r="B61" s="67"/>
      <c r="C61" s="68"/>
      <c r="D61" s="68"/>
      <c r="E61" s="68"/>
      <c r="F61" s="68"/>
      <c r="G61" s="68"/>
      <c r="H61" s="68"/>
      <c r="I61" s="68"/>
      <c r="J61" s="67"/>
      <c r="K61" s="67"/>
      <c r="L61" s="67"/>
      <c r="M61" s="67"/>
      <c r="N61" s="67"/>
    </row>
    <row r="62" spans="2:14">
      <c r="B62" s="67"/>
      <c r="C62" s="68"/>
      <c r="D62" s="68"/>
      <c r="E62" s="68"/>
      <c r="F62" s="68"/>
      <c r="G62" s="68"/>
      <c r="H62" s="68"/>
      <c r="I62" s="68"/>
      <c r="J62" s="67"/>
      <c r="K62" s="67"/>
      <c r="L62" s="67"/>
      <c r="M62" s="67"/>
      <c r="N62" s="67"/>
    </row>
    <row r="63" spans="2:14">
      <c r="B63" s="67"/>
      <c r="C63" s="68"/>
      <c r="D63" s="68"/>
      <c r="E63" s="68"/>
      <c r="F63" s="68"/>
      <c r="G63" s="68"/>
      <c r="H63" s="68"/>
      <c r="I63" s="68"/>
      <c r="J63" s="67"/>
      <c r="K63" s="67"/>
      <c r="L63" s="67"/>
      <c r="M63" s="67"/>
      <c r="N63" s="67"/>
    </row>
    <row r="64" spans="2:14">
      <c r="B64" s="67"/>
      <c r="C64" s="68"/>
      <c r="D64" s="68"/>
      <c r="E64" s="68"/>
      <c r="F64" s="68"/>
      <c r="G64" s="68"/>
      <c r="H64" s="68"/>
      <c r="I64" s="68"/>
      <c r="J64" s="67"/>
      <c r="K64" s="67"/>
      <c r="L64" s="67"/>
      <c r="M64" s="67"/>
      <c r="N64" s="67"/>
    </row>
    <row r="65" spans="2:14">
      <c r="B65" s="67"/>
      <c r="C65" s="68"/>
      <c r="D65" s="68"/>
      <c r="E65" s="68"/>
      <c r="F65" s="68"/>
      <c r="G65" s="68"/>
      <c r="H65" s="68"/>
      <c r="I65" s="68"/>
      <c r="J65" s="67"/>
      <c r="K65" s="67"/>
      <c r="L65" s="67"/>
      <c r="M65" s="67"/>
      <c r="N65" s="67"/>
    </row>
    <row r="66" spans="2:14">
      <c r="B66" s="67"/>
      <c r="C66" s="68"/>
      <c r="D66" s="68"/>
      <c r="E66" s="68"/>
      <c r="F66" s="68"/>
      <c r="G66" s="68"/>
      <c r="H66" s="68"/>
      <c r="I66" s="68"/>
      <c r="J66" s="67"/>
      <c r="K66" s="67"/>
      <c r="L66" s="67"/>
      <c r="M66" s="67"/>
      <c r="N66" s="67"/>
    </row>
    <row r="67" spans="2:14">
      <c r="B67" s="67"/>
      <c r="C67" s="68"/>
      <c r="D67" s="68"/>
      <c r="E67" s="68"/>
      <c r="F67" s="68"/>
      <c r="G67" s="68"/>
      <c r="H67" s="68"/>
      <c r="I67" s="68"/>
      <c r="J67" s="67"/>
    </row>
    <row r="68" spans="2:14">
      <c r="B68" s="67"/>
      <c r="C68" s="68"/>
      <c r="D68" s="68"/>
      <c r="E68" s="68"/>
      <c r="F68" s="68"/>
      <c r="G68" s="68"/>
      <c r="H68" s="68"/>
      <c r="I68" s="68"/>
      <c r="J68" s="67"/>
    </row>
    <row r="69" spans="2:14">
      <c r="B69" s="67"/>
      <c r="C69" s="68"/>
      <c r="D69" s="68"/>
      <c r="E69" s="68"/>
      <c r="F69" s="68"/>
      <c r="G69" s="68"/>
      <c r="H69" s="68"/>
      <c r="I69" s="68"/>
      <c r="J69" s="67"/>
    </row>
    <row r="70" spans="2:14">
      <c r="B70" s="67"/>
      <c r="C70" s="68"/>
      <c r="D70" s="68"/>
      <c r="E70" s="68"/>
      <c r="F70" s="68"/>
      <c r="G70" s="68"/>
      <c r="H70" s="68"/>
      <c r="I70" s="68"/>
      <c r="J70" s="67"/>
    </row>
    <row r="71" spans="2:14">
      <c r="B71" s="67"/>
      <c r="C71" s="68"/>
      <c r="D71" s="68"/>
      <c r="E71" s="68"/>
      <c r="F71" s="68"/>
      <c r="G71" s="68"/>
      <c r="H71" s="68"/>
      <c r="I71" s="68"/>
      <c r="J71" s="67"/>
    </row>
    <row r="72" spans="2:14">
      <c r="B72" s="67"/>
      <c r="C72" s="68"/>
      <c r="D72" s="68"/>
      <c r="E72" s="68"/>
      <c r="F72" s="68"/>
      <c r="G72" s="68"/>
      <c r="H72" s="68"/>
      <c r="I72" s="68"/>
      <c r="J72" s="67"/>
    </row>
    <row r="73" spans="2:14">
      <c r="B73" s="67"/>
      <c r="C73" s="68"/>
      <c r="D73" s="68"/>
      <c r="E73" s="68"/>
      <c r="F73" s="68"/>
      <c r="G73" s="68"/>
      <c r="H73" s="68"/>
      <c r="I73" s="68"/>
      <c r="J73" s="67"/>
    </row>
    <row r="74" spans="2:14">
      <c r="B74" s="67"/>
      <c r="C74" s="68"/>
      <c r="D74" s="68"/>
      <c r="E74" s="68"/>
      <c r="F74" s="68"/>
      <c r="G74" s="68"/>
      <c r="H74" s="68"/>
      <c r="I74" s="68"/>
      <c r="J74" s="67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C8" sqref="C8:H8"/>
    </sheetView>
  </sheetViews>
  <sheetFormatPr defaultColWidth="9" defaultRowHeight="16.5"/>
  <cols>
    <col min="1" max="1" width="5.125" style="48" customWidth="1"/>
    <col min="2" max="2" width="17.5" style="48" customWidth="1"/>
    <col min="3" max="8" width="13.25" style="49" customWidth="1"/>
    <col min="9" max="9" width="18.75" style="49" customWidth="1"/>
    <col min="10" max="10" width="12.375" style="48" customWidth="1"/>
    <col min="11" max="11" width="10.125" style="48" customWidth="1"/>
    <col min="12" max="18" width="9" style="48" customWidth="1"/>
    <col min="19" max="35" width="9" style="48"/>
    <col min="36" max="36" width="4.375" style="48" customWidth="1"/>
    <col min="37" max="37" width="13.875" style="48" customWidth="1"/>
    <col min="38" max="16384" width="9" style="48"/>
  </cols>
  <sheetData>
    <row r="1" spans="1:38">
      <c r="A1" s="217" t="s">
        <v>136</v>
      </c>
      <c r="B1" s="217"/>
      <c r="C1" s="221" t="s">
        <v>249</v>
      </c>
      <c r="D1" s="222"/>
      <c r="E1" s="222"/>
      <c r="F1" s="222"/>
      <c r="G1" s="222"/>
      <c r="H1" s="222"/>
      <c r="I1" s="223"/>
    </row>
    <row r="2" spans="1:38">
      <c r="A2" s="217" t="s">
        <v>137</v>
      </c>
      <c r="B2" s="217"/>
      <c r="C2" s="224" t="str">
        <f>'2023年'!C2:I2</f>
        <v>一汽解放</v>
      </c>
      <c r="D2" s="224"/>
      <c r="E2" s="224"/>
      <c r="F2" s="224"/>
      <c r="G2" s="224"/>
      <c r="H2" s="224"/>
      <c r="I2" s="224"/>
    </row>
    <row r="3" spans="1:38">
      <c r="A3" s="217" t="s">
        <v>138</v>
      </c>
      <c r="B3" s="217"/>
      <c r="C3" s="157" t="str">
        <f>'销量 附加值'!C5</f>
        <v>驾驶员座总成</v>
      </c>
      <c r="D3" s="157" t="str">
        <f>'销量 附加值'!D5</f>
        <v>驾驶员座总成</v>
      </c>
      <c r="E3" s="157" t="str">
        <f>'销量 附加值'!E5</f>
        <v>前座总成</v>
      </c>
      <c r="F3" s="157" t="str">
        <f>'销量 附加值'!F5</f>
        <v>前座总成</v>
      </c>
      <c r="G3" s="157">
        <f>'销量 附加值'!G5</f>
        <v>0</v>
      </c>
      <c r="H3" s="157">
        <f>'销量 附加值'!H5</f>
        <v>0</v>
      </c>
      <c r="I3" s="218" t="s">
        <v>14</v>
      </c>
    </row>
    <row r="4" spans="1:38">
      <c r="A4" s="217" t="s">
        <v>139</v>
      </c>
      <c r="B4" s="217"/>
      <c r="C4" s="157" t="str">
        <f>'销量 附加值'!C6</f>
        <v>/</v>
      </c>
      <c r="D4" s="157" t="str">
        <f>'销量 附加值'!D6</f>
        <v>/</v>
      </c>
      <c r="E4" s="157" t="str">
        <f>'销量 附加值'!E6</f>
        <v>/</v>
      </c>
      <c r="F4" s="157" t="str">
        <f>'销量 附加值'!F6</f>
        <v>/</v>
      </c>
      <c r="G4" s="157">
        <f>'销量 附加值'!G6</f>
        <v>0</v>
      </c>
      <c r="H4" s="157">
        <f>'销量 附加值'!H6</f>
        <v>0</v>
      </c>
      <c r="I4" s="219"/>
    </row>
    <row r="5" spans="1:38">
      <c r="A5" s="217" t="s">
        <v>140</v>
      </c>
      <c r="B5" s="217"/>
      <c r="C5" s="51"/>
      <c r="D5" s="51"/>
      <c r="E5" s="51"/>
      <c r="F5" s="51"/>
      <c r="G5" s="51"/>
      <c r="H5" s="51"/>
      <c r="I5" s="220"/>
      <c r="AL5" s="48" t="s">
        <v>15</v>
      </c>
    </row>
    <row r="6" spans="1:38" ht="17.25">
      <c r="A6" s="52" t="s">
        <v>13</v>
      </c>
      <c r="B6" s="53" t="s">
        <v>141</v>
      </c>
      <c r="C6" s="21">
        <f>'销量 附加值'!C10</f>
        <v>650</v>
      </c>
      <c r="D6" s="21">
        <f>'销量 附加值'!D10</f>
        <v>1350</v>
      </c>
      <c r="E6" s="21">
        <f>'销量 附加值'!E10</f>
        <v>250</v>
      </c>
      <c r="F6" s="21">
        <f>'销量 附加值'!F10</f>
        <v>250</v>
      </c>
      <c r="G6" s="21">
        <f>'销量 附加值'!G10</f>
        <v>0</v>
      </c>
      <c r="H6" s="21">
        <f>'销量 附加值'!H10</f>
        <v>0</v>
      </c>
      <c r="I6" s="54">
        <f>SUM(C6:H6)</f>
        <v>2500</v>
      </c>
      <c r="T6" s="53" t="s">
        <v>3</v>
      </c>
      <c r="AJ6" s="52" t="s">
        <v>13</v>
      </c>
      <c r="AK6" s="53" t="s">
        <v>3</v>
      </c>
      <c r="AL6" s="48" t="s">
        <v>16</v>
      </c>
    </row>
    <row r="7" spans="1:38">
      <c r="A7" s="156">
        <v>1</v>
      </c>
      <c r="B7" s="53" t="s">
        <v>17</v>
      </c>
      <c r="C7" s="54">
        <f>C6*'销量 附加值'!C8</f>
        <v>2122250</v>
      </c>
      <c r="D7" s="54">
        <f>D6*'销量 附加值'!D8</f>
        <v>3462750</v>
      </c>
      <c r="E7" s="54">
        <f>E6*'销量 附加值'!E8</f>
        <v>220000</v>
      </c>
      <c r="F7" s="54">
        <f>F6*'销量 附加值'!F8</f>
        <v>195000</v>
      </c>
      <c r="G7" s="54">
        <f>G6*'销量 附加值'!G8</f>
        <v>0</v>
      </c>
      <c r="H7" s="54">
        <f>H6*'销量 附加值'!H8</f>
        <v>0</v>
      </c>
      <c r="I7" s="54">
        <f>SUM(C7:H7)</f>
        <v>6000000</v>
      </c>
      <c r="J7" s="49"/>
      <c r="T7" s="53" t="s">
        <v>17</v>
      </c>
      <c r="AJ7" s="52" t="s">
        <v>18</v>
      </c>
      <c r="AK7" s="53" t="s">
        <v>17</v>
      </c>
      <c r="AL7" s="48" t="s">
        <v>16</v>
      </c>
    </row>
    <row r="8" spans="1:38">
      <c r="A8" s="156">
        <v>2</v>
      </c>
      <c r="B8" s="156" t="s">
        <v>19</v>
      </c>
      <c r="C8" s="54">
        <f>C7*(1-'销量 附加值'!$L$7)</f>
        <v>63667.500000000058</v>
      </c>
      <c r="D8" s="54">
        <f>D7*(1-'销量 附加值'!$L$7)</f>
        <v>103882.50000000009</v>
      </c>
      <c r="E8" s="54">
        <f>E7*(1-'销量 附加值'!$L$7)</f>
        <v>6600.0000000000055</v>
      </c>
      <c r="F8" s="54">
        <f>F7*(1-'销量 附加值'!$L$7)</f>
        <v>5850.0000000000055</v>
      </c>
      <c r="G8" s="54">
        <f>G7*(1-'销量 附加值'!$L$7)</f>
        <v>0</v>
      </c>
      <c r="H8" s="54">
        <f>H7*(1-'销量 附加值'!$L$7)</f>
        <v>0</v>
      </c>
      <c r="I8" s="54">
        <f t="shared" ref="I8:I20" si="0">SUM(C8:H8)</f>
        <v>180000.00000000015</v>
      </c>
      <c r="J8" s="69"/>
      <c r="T8" s="156" t="s">
        <v>21</v>
      </c>
      <c r="AJ8" s="52" t="s">
        <v>20</v>
      </c>
      <c r="AK8" s="156" t="s">
        <v>21</v>
      </c>
      <c r="AL8" s="48" t="s">
        <v>16</v>
      </c>
    </row>
    <row r="9" spans="1:38">
      <c r="A9" s="156">
        <v>3</v>
      </c>
      <c r="B9" s="53" t="s">
        <v>22</v>
      </c>
      <c r="C9" s="54">
        <f>+C7-C8</f>
        <v>2058582.5</v>
      </c>
      <c r="D9" s="54">
        <f t="shared" ref="D9:H9" si="1">+D7-D8</f>
        <v>3358867.5</v>
      </c>
      <c r="E9" s="54">
        <f t="shared" si="1"/>
        <v>213400</v>
      </c>
      <c r="F9" s="54">
        <f t="shared" si="1"/>
        <v>189150</v>
      </c>
      <c r="G9" s="54">
        <f t="shared" si="1"/>
        <v>0</v>
      </c>
      <c r="H9" s="54">
        <f t="shared" si="1"/>
        <v>0</v>
      </c>
      <c r="I9" s="54">
        <f t="shared" si="0"/>
        <v>5820000</v>
      </c>
      <c r="T9" s="53" t="s">
        <v>22</v>
      </c>
      <c r="AJ9" s="52" t="s">
        <v>23</v>
      </c>
      <c r="AK9" s="53" t="s">
        <v>22</v>
      </c>
      <c r="AL9" s="48" t="s">
        <v>24</v>
      </c>
    </row>
    <row r="10" spans="1:38">
      <c r="A10" s="156">
        <v>4</v>
      </c>
      <c r="B10" s="52" t="s">
        <v>25</v>
      </c>
      <c r="C10" s="54">
        <f>C6*C33</f>
        <v>1411920.3676462055</v>
      </c>
      <c r="D10" s="54">
        <f t="shared" ref="D10:H10" si="2">D6*D33</f>
        <v>2456789.8333421191</v>
      </c>
      <c r="E10" s="54">
        <f t="shared" si="2"/>
        <v>203627.46991743986</v>
      </c>
      <c r="F10" s="54">
        <f t="shared" si="2"/>
        <v>144205.74634478177</v>
      </c>
      <c r="G10" s="54">
        <f t="shared" si="2"/>
        <v>0</v>
      </c>
      <c r="H10" s="54">
        <f t="shared" si="2"/>
        <v>0</v>
      </c>
      <c r="I10" s="54">
        <f t="shared" si="0"/>
        <v>4216543.4172505457</v>
      </c>
      <c r="T10" s="52" t="s">
        <v>25</v>
      </c>
      <c r="AJ10" s="52" t="s">
        <v>26</v>
      </c>
      <c r="AK10" s="52" t="s">
        <v>25</v>
      </c>
      <c r="AL10" s="48" t="s">
        <v>27</v>
      </c>
    </row>
    <row r="11" spans="1:38">
      <c r="A11" s="156">
        <v>5</v>
      </c>
      <c r="B11" s="52" t="s">
        <v>28</v>
      </c>
      <c r="C11" s="54">
        <f>+C6*C36</f>
        <v>33319.324999999997</v>
      </c>
      <c r="D11" s="54">
        <f>+D6*D36</f>
        <v>54365.174999999996</v>
      </c>
      <c r="E11" s="54">
        <f t="shared" ref="E11:H11" si="3">+E6*E36</f>
        <v>3453.9999999999995</v>
      </c>
      <c r="F11" s="54">
        <f t="shared" si="3"/>
        <v>3061.4999999999995</v>
      </c>
      <c r="G11" s="54">
        <f t="shared" si="3"/>
        <v>0</v>
      </c>
      <c r="H11" s="54">
        <f t="shared" si="3"/>
        <v>0</v>
      </c>
      <c r="I11" s="54">
        <f t="shared" si="0"/>
        <v>94200</v>
      </c>
      <c r="T11" s="52" t="s">
        <v>28</v>
      </c>
      <c r="AJ11" s="52" t="s">
        <v>29</v>
      </c>
      <c r="AK11" s="52" t="s">
        <v>28</v>
      </c>
    </row>
    <row r="12" spans="1:38">
      <c r="A12" s="156">
        <v>6</v>
      </c>
      <c r="B12" s="52" t="s">
        <v>30</v>
      </c>
      <c r="C12" s="54">
        <f>+C6*C37</f>
        <v>8064.55</v>
      </c>
      <c r="D12" s="54">
        <f t="shared" ref="D12:H12" si="4">+D6*D37</f>
        <v>13158.45</v>
      </c>
      <c r="E12" s="54">
        <f t="shared" si="4"/>
        <v>836</v>
      </c>
      <c r="F12" s="54">
        <f t="shared" si="4"/>
        <v>741</v>
      </c>
      <c r="G12" s="54">
        <f t="shared" si="4"/>
        <v>0</v>
      </c>
      <c r="H12" s="54">
        <f t="shared" si="4"/>
        <v>0</v>
      </c>
      <c r="I12" s="54">
        <f t="shared" si="0"/>
        <v>22800</v>
      </c>
      <c r="T12" s="52" t="s">
        <v>30</v>
      </c>
      <c r="AJ12" s="52" t="s">
        <v>31</v>
      </c>
      <c r="AK12" s="52" t="s">
        <v>30</v>
      </c>
    </row>
    <row r="13" spans="1:38">
      <c r="A13" s="156">
        <v>7</v>
      </c>
      <c r="B13" s="52" t="s">
        <v>32</v>
      </c>
      <c r="C13" s="54">
        <f>+C6*C38</f>
        <v>54541.824999999997</v>
      </c>
      <c r="D13" s="54">
        <f t="shared" ref="D13:H13" si="5">+D6*D38</f>
        <v>88992.675000000003</v>
      </c>
      <c r="E13" s="54">
        <f t="shared" si="5"/>
        <v>5654</v>
      </c>
      <c r="F13" s="54">
        <f t="shared" si="5"/>
        <v>5011.5</v>
      </c>
      <c r="G13" s="54">
        <f t="shared" si="5"/>
        <v>0</v>
      </c>
      <c r="H13" s="54">
        <f t="shared" si="5"/>
        <v>0</v>
      </c>
      <c r="I13" s="54">
        <f t="shared" si="0"/>
        <v>154200</v>
      </c>
      <c r="T13" s="52" t="s">
        <v>32</v>
      </c>
      <c r="AJ13" s="52" t="s">
        <v>33</v>
      </c>
      <c r="AK13" s="52" t="s">
        <v>32</v>
      </c>
      <c r="AL13" s="48" t="s">
        <v>16</v>
      </c>
    </row>
    <row r="14" spans="1:38">
      <c r="A14" s="156">
        <v>8</v>
      </c>
      <c r="B14" s="55" t="s">
        <v>34</v>
      </c>
      <c r="C14" s="54">
        <f>SUM(C11:C13)</f>
        <v>95925.7</v>
      </c>
      <c r="D14" s="54">
        <f t="shared" ref="D14:H14" si="6">SUM(D11:D13)</f>
        <v>156516.29999999999</v>
      </c>
      <c r="E14" s="54">
        <f t="shared" si="6"/>
        <v>9944</v>
      </c>
      <c r="F14" s="54">
        <f t="shared" si="6"/>
        <v>8814</v>
      </c>
      <c r="G14" s="54">
        <f t="shared" si="6"/>
        <v>0</v>
      </c>
      <c r="H14" s="54">
        <f t="shared" si="6"/>
        <v>0</v>
      </c>
      <c r="I14" s="54">
        <f t="shared" si="0"/>
        <v>271200</v>
      </c>
      <c r="T14" s="55" t="s">
        <v>34</v>
      </c>
      <c r="AJ14" s="52" t="s">
        <v>35</v>
      </c>
      <c r="AK14" s="55" t="s">
        <v>34</v>
      </c>
    </row>
    <row r="15" spans="1:38">
      <c r="A15" s="156">
        <v>9</v>
      </c>
      <c r="B15" s="55" t="s">
        <v>36</v>
      </c>
      <c r="C15" s="54">
        <f>+C9-C10-C14</f>
        <v>550736.43235379457</v>
      </c>
      <c r="D15" s="54">
        <f t="shared" ref="D15:H15" si="7">+D9-D10-D14</f>
        <v>745561.36665788083</v>
      </c>
      <c r="E15" s="54">
        <f t="shared" si="7"/>
        <v>-171.46991743985564</v>
      </c>
      <c r="F15" s="54">
        <f t="shared" si="7"/>
        <v>36130.253655218228</v>
      </c>
      <c r="G15" s="54">
        <f t="shared" si="7"/>
        <v>0</v>
      </c>
      <c r="H15" s="54">
        <f t="shared" si="7"/>
        <v>0</v>
      </c>
      <c r="I15" s="54">
        <f t="shared" si="0"/>
        <v>1332256.5827494538</v>
      </c>
      <c r="T15" s="55" t="s">
        <v>36</v>
      </c>
      <c r="AJ15" s="52" t="s">
        <v>37</v>
      </c>
      <c r="AK15" s="55" t="s">
        <v>36</v>
      </c>
    </row>
    <row r="16" spans="1:38">
      <c r="A16" s="156">
        <v>10</v>
      </c>
      <c r="B16" s="52" t="s">
        <v>38</v>
      </c>
      <c r="C16" s="56">
        <f>+C15/C9</f>
        <v>0.2675318731961408</v>
      </c>
      <c r="D16" s="56">
        <f t="shared" ref="D16:H16" si="8">+D15/D9</f>
        <v>0.22196807902005092</v>
      </c>
      <c r="E16" s="56">
        <f t="shared" si="8"/>
        <v>-8.0351413983062621E-4</v>
      </c>
      <c r="F16" s="56">
        <f t="shared" si="8"/>
        <v>0.19101376502890949</v>
      </c>
      <c r="G16" s="56" t="e">
        <f t="shared" si="8"/>
        <v>#DIV/0!</v>
      </c>
      <c r="H16" s="56" t="e">
        <f t="shared" si="8"/>
        <v>#DIV/0!</v>
      </c>
      <c r="I16" s="56">
        <f t="shared" ref="I16" si="9">+I15/I9</f>
        <v>0.22891006576451098</v>
      </c>
      <c r="T16" s="52" t="s">
        <v>38</v>
      </c>
      <c r="AJ16" s="52" t="s">
        <v>39</v>
      </c>
      <c r="AK16" s="52" t="s">
        <v>38</v>
      </c>
    </row>
    <row r="17" spans="1:38">
      <c r="A17" s="156">
        <v>11</v>
      </c>
      <c r="B17" s="52" t="s">
        <v>40</v>
      </c>
      <c r="C17" s="54">
        <f>C6*C43+C18</f>
        <v>146446.51666666666</v>
      </c>
      <c r="D17" s="54">
        <f t="shared" ref="D17:H17" si="10">D6*D43+D18</f>
        <v>259176.15000000002</v>
      </c>
      <c r="E17" s="54">
        <f t="shared" si="10"/>
        <v>27944.083333333336</v>
      </c>
      <c r="F17" s="54">
        <f t="shared" si="10"/>
        <v>26754.083333333332</v>
      </c>
      <c r="G17" s="54">
        <f t="shared" si="10"/>
        <v>0</v>
      </c>
      <c r="H17" s="54">
        <f t="shared" si="10"/>
        <v>0</v>
      </c>
      <c r="I17" s="54">
        <f t="shared" si="0"/>
        <v>460320.83333333331</v>
      </c>
      <c r="J17" s="69"/>
      <c r="T17" s="52" t="s">
        <v>40</v>
      </c>
      <c r="AJ17" s="52" t="s">
        <v>41</v>
      </c>
      <c r="AK17" s="52" t="s">
        <v>40</v>
      </c>
    </row>
    <row r="18" spans="1:38" s="46" customFormat="1">
      <c r="A18" s="156">
        <v>12</v>
      </c>
      <c r="B18" s="57" t="s">
        <v>142</v>
      </c>
      <c r="C18" s="58">
        <f>$I$18/$I$6*C6</f>
        <v>45427.416666666672</v>
      </c>
      <c r="D18" s="58">
        <f t="shared" ref="D18:H18" si="11">$I$18/$I$6*D6</f>
        <v>94349.25</v>
      </c>
      <c r="E18" s="58">
        <f t="shared" si="11"/>
        <v>17472.083333333332</v>
      </c>
      <c r="F18" s="58">
        <f t="shared" si="11"/>
        <v>17472.083333333332</v>
      </c>
      <c r="G18" s="58">
        <f t="shared" si="11"/>
        <v>0</v>
      </c>
      <c r="H18" s="58">
        <f t="shared" si="11"/>
        <v>0</v>
      </c>
      <c r="I18" s="58">
        <f>项目投资!E26</f>
        <v>174720.83333333334</v>
      </c>
      <c r="J18" s="70" t="s">
        <v>143</v>
      </c>
      <c r="K18" s="70"/>
      <c r="L18" s="70"/>
    </row>
    <row r="19" spans="1:38">
      <c r="A19" s="156">
        <v>13</v>
      </c>
      <c r="B19" s="52" t="s">
        <v>42</v>
      </c>
      <c r="C19" s="54">
        <f>C6*C44</f>
        <v>15916.875</v>
      </c>
      <c r="D19" s="54">
        <f t="shared" ref="D19:H19" si="12">D6*D44</f>
        <v>25970.625</v>
      </c>
      <c r="E19" s="54">
        <f t="shared" si="12"/>
        <v>1650</v>
      </c>
      <c r="F19" s="54">
        <f t="shared" si="12"/>
        <v>1462.5</v>
      </c>
      <c r="G19" s="54">
        <f t="shared" si="12"/>
        <v>0</v>
      </c>
      <c r="H19" s="54">
        <f t="shared" si="12"/>
        <v>0</v>
      </c>
      <c r="I19" s="54">
        <f>SUM(C19:H19)</f>
        <v>45000</v>
      </c>
      <c r="J19" s="46"/>
      <c r="T19" s="52" t="s">
        <v>42</v>
      </c>
      <c r="AJ19" s="52" t="s">
        <v>43</v>
      </c>
      <c r="AK19" s="52" t="s">
        <v>42</v>
      </c>
      <c r="AL19" s="48" t="s">
        <v>16</v>
      </c>
    </row>
    <row r="20" spans="1:38">
      <c r="A20" s="156">
        <v>14</v>
      </c>
      <c r="B20" s="52" t="s">
        <v>44</v>
      </c>
      <c r="C20" s="54">
        <f>C6*C45</f>
        <v>63879.724999999999</v>
      </c>
      <c r="D20" s="54">
        <f t="shared" ref="D20:H20" si="13">D6*D45</f>
        <v>104228.77499999999</v>
      </c>
      <c r="E20" s="54">
        <f t="shared" si="13"/>
        <v>6622</v>
      </c>
      <c r="F20" s="54">
        <f t="shared" si="13"/>
        <v>5869.4999999999991</v>
      </c>
      <c r="G20" s="54">
        <f t="shared" si="13"/>
        <v>0</v>
      </c>
      <c r="H20" s="54">
        <f t="shared" si="13"/>
        <v>0</v>
      </c>
      <c r="I20" s="54">
        <f t="shared" si="0"/>
        <v>180600</v>
      </c>
      <c r="T20" s="52" t="s">
        <v>44</v>
      </c>
      <c r="AJ20" s="52" t="s">
        <v>45</v>
      </c>
      <c r="AK20" s="52" t="s">
        <v>44</v>
      </c>
    </row>
    <row r="21" spans="1:38">
      <c r="A21" s="156">
        <v>15</v>
      </c>
      <c r="B21" s="52" t="s">
        <v>46</v>
      </c>
      <c r="C21" s="59">
        <f>$I$21/$I$6*C6</f>
        <v>9468.3333333333339</v>
      </c>
      <c r="D21" s="59">
        <f t="shared" ref="D21:H21" si="14">$I$21/$I$6*D6</f>
        <v>19665</v>
      </c>
      <c r="E21" s="59">
        <f t="shared" si="14"/>
        <v>3641.6666666666665</v>
      </c>
      <c r="F21" s="59">
        <f t="shared" si="14"/>
        <v>3641.6666666666665</v>
      </c>
      <c r="G21" s="59">
        <f t="shared" si="14"/>
        <v>0</v>
      </c>
      <c r="H21" s="59">
        <f t="shared" si="14"/>
        <v>0</v>
      </c>
      <c r="I21" s="54">
        <f>项目投资!E27</f>
        <v>36416.666666666664</v>
      </c>
      <c r="T21" s="52" t="s">
        <v>46</v>
      </c>
      <c r="AJ21" s="52"/>
      <c r="AK21" s="52"/>
    </row>
    <row r="22" spans="1:38">
      <c r="A22" s="156">
        <v>16</v>
      </c>
      <c r="B22" s="52" t="s">
        <v>47</v>
      </c>
      <c r="C22" s="54">
        <f>C6*C47</f>
        <v>106112.5</v>
      </c>
      <c r="D22" s="54">
        <f t="shared" ref="D22:H22" si="15">D6*D47</f>
        <v>173137.5</v>
      </c>
      <c r="E22" s="54">
        <f t="shared" si="15"/>
        <v>11000</v>
      </c>
      <c r="F22" s="54">
        <f t="shared" si="15"/>
        <v>9750</v>
      </c>
      <c r="G22" s="54">
        <f t="shared" si="15"/>
        <v>0</v>
      </c>
      <c r="H22" s="54">
        <f t="shared" si="15"/>
        <v>0</v>
      </c>
      <c r="I22" s="54">
        <f>SUM(C22:H22)</f>
        <v>300000</v>
      </c>
      <c r="T22" s="52" t="s">
        <v>47</v>
      </c>
      <c r="AJ22" s="52" t="s">
        <v>48</v>
      </c>
      <c r="AK22" s="52" t="s">
        <v>47</v>
      </c>
    </row>
    <row r="23" spans="1:38">
      <c r="A23" s="156">
        <v>17</v>
      </c>
      <c r="B23" s="55" t="s">
        <v>49</v>
      </c>
      <c r="C23" s="59">
        <f>+C22+C21+C20+C19+C17</f>
        <v>341823.94999999995</v>
      </c>
      <c r="D23" s="59">
        <f t="shared" ref="D23:H23" si="16">+D22+D21+D20+D19+D17</f>
        <v>582178.05000000005</v>
      </c>
      <c r="E23" s="59">
        <f t="shared" si="16"/>
        <v>50857.75</v>
      </c>
      <c r="F23" s="59">
        <f t="shared" si="16"/>
        <v>47477.75</v>
      </c>
      <c r="G23" s="59">
        <f t="shared" si="16"/>
        <v>0</v>
      </c>
      <c r="H23" s="59">
        <f t="shared" si="16"/>
        <v>0</v>
      </c>
      <c r="I23" s="59">
        <f t="shared" ref="I23" si="17">+I22+I21+I20+I19+I17</f>
        <v>1022337.5</v>
      </c>
      <c r="T23" s="55" t="s">
        <v>49</v>
      </c>
      <c r="AJ23" s="52" t="s">
        <v>50</v>
      </c>
      <c r="AK23" s="55" t="s">
        <v>49</v>
      </c>
    </row>
    <row r="24" spans="1:38">
      <c r="A24" s="156">
        <v>18</v>
      </c>
      <c r="B24" s="60" t="s">
        <v>51</v>
      </c>
      <c r="C24" s="59">
        <f>+C15-C23</f>
        <v>208912.48235379462</v>
      </c>
      <c r="D24" s="59">
        <f t="shared" ref="D24:H24" si="18">+D15-D23</f>
        <v>163383.31665788079</v>
      </c>
      <c r="E24" s="59">
        <f t="shared" si="18"/>
        <v>-51029.219917439856</v>
      </c>
      <c r="F24" s="59">
        <f t="shared" si="18"/>
        <v>-11347.496344781772</v>
      </c>
      <c r="G24" s="59">
        <f t="shared" si="18"/>
        <v>0</v>
      </c>
      <c r="H24" s="59">
        <f t="shared" si="18"/>
        <v>0</v>
      </c>
      <c r="I24" s="59">
        <f t="shared" ref="I24" si="19">+I15-I23</f>
        <v>309919.08274945384</v>
      </c>
      <c r="K24" s="71"/>
      <c r="T24" s="52" t="s">
        <v>51</v>
      </c>
      <c r="AJ24" s="52" t="s">
        <v>52</v>
      </c>
      <c r="AK24" s="52" t="s">
        <v>51</v>
      </c>
    </row>
    <row r="25" spans="1:38">
      <c r="A25" s="156">
        <v>19</v>
      </c>
      <c r="B25" s="52" t="s">
        <v>144</v>
      </c>
      <c r="C25" s="59">
        <f>IF(C24&lt;0,0,C24*0.25)</f>
        <v>52228.120588448655</v>
      </c>
      <c r="D25" s="59">
        <f>IF(D24&lt;0,0,D24*0.15)</f>
        <v>24507.497498682118</v>
      </c>
      <c r="E25" s="59">
        <f t="shared" ref="E25:I25" si="20">IF(E24&lt;0,0,E24*0.25)</f>
        <v>0</v>
      </c>
      <c r="F25" s="59">
        <f>IF(F24&lt;0,0,F24*0.15)</f>
        <v>0</v>
      </c>
      <c r="G25" s="59">
        <f t="shared" si="20"/>
        <v>0</v>
      </c>
      <c r="H25" s="59">
        <f t="shared" si="20"/>
        <v>0</v>
      </c>
      <c r="I25" s="59">
        <f t="shared" si="20"/>
        <v>77479.77068736346</v>
      </c>
      <c r="J25" s="67"/>
      <c r="K25" s="67"/>
      <c r="L25" s="67"/>
      <c r="T25" s="52" t="s">
        <v>53</v>
      </c>
      <c r="AJ25" s="52" t="s">
        <v>54</v>
      </c>
      <c r="AK25" s="52" t="s">
        <v>53</v>
      </c>
    </row>
    <row r="26" spans="1:38">
      <c r="A26" s="156">
        <v>20</v>
      </c>
      <c r="B26" s="52" t="s">
        <v>55</v>
      </c>
      <c r="C26" s="59">
        <f t="shared" ref="C26:H26" si="21">C24-C25</f>
        <v>156684.36176534597</v>
      </c>
      <c r="D26" s="59">
        <f t="shared" si="21"/>
        <v>138875.81915919867</v>
      </c>
      <c r="E26" s="59">
        <f t="shared" si="21"/>
        <v>-51029.219917439856</v>
      </c>
      <c r="F26" s="59">
        <f t="shared" si="21"/>
        <v>-11347.496344781772</v>
      </c>
      <c r="G26" s="59">
        <f t="shared" si="21"/>
        <v>0</v>
      </c>
      <c r="H26" s="59">
        <f t="shared" si="21"/>
        <v>0</v>
      </c>
      <c r="I26" s="54">
        <f>SUM(C26:H26)</f>
        <v>233183.46466232301</v>
      </c>
      <c r="J26" s="67"/>
      <c r="K26" s="67"/>
      <c r="L26" s="67"/>
      <c r="T26" s="52" t="s">
        <v>55</v>
      </c>
      <c r="AJ26" s="52" t="s">
        <v>56</v>
      </c>
      <c r="AK26" s="52" t="s">
        <v>55</v>
      </c>
    </row>
    <row r="27" spans="1:38">
      <c r="A27" s="156">
        <v>21</v>
      </c>
      <c r="B27" s="52" t="s">
        <v>59</v>
      </c>
      <c r="C27" s="61">
        <f t="shared" ref="C27:I27" si="22">C26/C7</f>
        <v>7.3829361180514058E-2</v>
      </c>
      <c r="D27" s="61">
        <f t="shared" ref="D27:H27" si="23">D26/D7</f>
        <v>4.0105644114994926E-2</v>
      </c>
      <c r="E27" s="61">
        <f t="shared" si="23"/>
        <v>-0.23195099962472662</v>
      </c>
      <c r="F27" s="61">
        <f t="shared" si="23"/>
        <v>-5.8192288947598828E-2</v>
      </c>
      <c r="G27" s="61" t="e">
        <f t="shared" si="23"/>
        <v>#DIV/0!</v>
      </c>
      <c r="H27" s="61" t="e">
        <f t="shared" si="23"/>
        <v>#DIV/0!</v>
      </c>
      <c r="I27" s="61">
        <f t="shared" si="22"/>
        <v>3.8863910777053833E-2</v>
      </c>
      <c r="J27" s="67"/>
      <c r="K27" s="67"/>
      <c r="L27" s="67"/>
      <c r="T27" s="52" t="s">
        <v>59</v>
      </c>
      <c r="AJ27" s="52" t="s">
        <v>58</v>
      </c>
      <c r="AK27" s="52" t="s">
        <v>59</v>
      </c>
    </row>
    <row r="28" spans="1:38">
      <c r="J28" s="67"/>
      <c r="K28" s="67"/>
      <c r="L28" s="67"/>
      <c r="T28" s="52"/>
    </row>
    <row r="29" spans="1:38">
      <c r="A29" s="48" t="s">
        <v>60</v>
      </c>
      <c r="I29" s="49" t="s">
        <v>145</v>
      </c>
      <c r="J29" s="67"/>
      <c r="K29" s="67"/>
      <c r="L29" s="67"/>
      <c r="T29" s="52"/>
      <c r="AJ29" s="48" t="s">
        <v>60</v>
      </c>
    </row>
    <row r="30" spans="1:38">
      <c r="A30" s="52" t="s">
        <v>61</v>
      </c>
      <c r="B30" s="55" t="s">
        <v>62</v>
      </c>
      <c r="C30" s="59"/>
      <c r="D30" s="59"/>
      <c r="E30" s="59"/>
      <c r="F30" s="59"/>
      <c r="G30" s="59"/>
      <c r="H30" s="59"/>
      <c r="I30" s="59"/>
      <c r="J30" s="67"/>
      <c r="K30" s="67"/>
      <c r="L30" s="67"/>
      <c r="N30" s="67"/>
      <c r="T30" s="55" t="s">
        <v>62</v>
      </c>
      <c r="AJ30" s="52" t="s">
        <v>63</v>
      </c>
      <c r="AK30" s="55" t="s">
        <v>62</v>
      </c>
    </row>
    <row r="31" spans="1:38">
      <c r="A31" s="156">
        <v>1</v>
      </c>
      <c r="B31" s="57" t="s">
        <v>64</v>
      </c>
      <c r="C31" s="63">
        <f>'销量 附加值'!C8</f>
        <v>3265</v>
      </c>
      <c r="D31" s="63">
        <f>'销量 附加值'!D8</f>
        <v>2565</v>
      </c>
      <c r="E31" s="63">
        <f>'销量 附加值'!E8</f>
        <v>880</v>
      </c>
      <c r="F31" s="63">
        <f>'销量 附加值'!F8</f>
        <v>780</v>
      </c>
      <c r="G31" s="63">
        <f>'销量 附加值'!G8</f>
        <v>0</v>
      </c>
      <c r="H31" s="63">
        <f>'销量 附加值'!H8</f>
        <v>0</v>
      </c>
      <c r="I31" s="59"/>
      <c r="J31" s="67"/>
      <c r="K31" s="67"/>
      <c r="L31" s="67"/>
      <c r="N31" s="67"/>
      <c r="T31" s="52" t="s">
        <v>64</v>
      </c>
      <c r="AJ31" s="52" t="s">
        <v>18</v>
      </c>
      <c r="AK31" s="52" t="s">
        <v>64</v>
      </c>
    </row>
    <row r="32" spans="1:38">
      <c r="A32" s="156">
        <v>2</v>
      </c>
      <c r="B32" s="52" t="s">
        <v>146</v>
      </c>
      <c r="C32" s="54">
        <f>C9/C6</f>
        <v>3167.05</v>
      </c>
      <c r="D32" s="54">
        <f t="shared" ref="D32:H32" si="24">D9/D6</f>
        <v>2488.0500000000002</v>
      </c>
      <c r="E32" s="54">
        <f t="shared" si="24"/>
        <v>853.6</v>
      </c>
      <c r="F32" s="54">
        <f t="shared" si="24"/>
        <v>756.6</v>
      </c>
      <c r="G32" s="54" t="e">
        <f t="shared" si="24"/>
        <v>#DIV/0!</v>
      </c>
      <c r="H32" s="54" t="e">
        <f t="shared" si="24"/>
        <v>#DIV/0!</v>
      </c>
      <c r="I32" s="59"/>
      <c r="J32" s="67"/>
      <c r="K32" s="67"/>
      <c r="L32" s="67"/>
      <c r="M32" s="67"/>
      <c r="N32" s="67"/>
      <c r="O32" s="67"/>
      <c r="P32" s="67"/>
      <c r="AJ32" s="52"/>
      <c r="AK32" s="52"/>
    </row>
    <row r="33" spans="1:37">
      <c r="A33" s="156">
        <v>3</v>
      </c>
      <c r="B33" s="57" t="s">
        <v>65</v>
      </c>
      <c r="C33" s="54">
        <f>材料成本!D13</f>
        <v>2172.1851809941622</v>
      </c>
      <c r="D33" s="54">
        <f>材料成本!E13</f>
        <v>1819.8443209941624</v>
      </c>
      <c r="E33" s="54">
        <f>材料成本!F13</f>
        <v>814.50987966975947</v>
      </c>
      <c r="F33" s="54">
        <f>材料成本!G13</f>
        <v>576.82298537912709</v>
      </c>
      <c r="G33" s="54">
        <f>材料成本!H13</f>
        <v>0</v>
      </c>
      <c r="H33" s="54">
        <f>材料成本!I13</f>
        <v>0</v>
      </c>
      <c r="I33" s="59"/>
      <c r="K33" s="67"/>
      <c r="L33" s="67"/>
      <c r="M33" s="67"/>
      <c r="N33" s="67"/>
      <c r="O33" s="67"/>
      <c r="P33" s="67"/>
      <c r="T33" s="52" t="s">
        <v>65</v>
      </c>
      <c r="AJ33" s="52" t="s">
        <v>20</v>
      </c>
      <c r="AK33" s="52" t="s">
        <v>65</v>
      </c>
    </row>
    <row r="34" spans="1:37" ht="17.25" customHeight="1">
      <c r="A34" s="156">
        <v>4</v>
      </c>
      <c r="B34" s="52" t="s">
        <v>67</v>
      </c>
      <c r="C34" s="64">
        <f>C32-C33</f>
        <v>994.86481900583794</v>
      </c>
      <c r="D34" s="64">
        <f t="shared" ref="D34:H34" si="25">D32-D33</f>
        <v>668.20567900583774</v>
      </c>
      <c r="E34" s="64">
        <f t="shared" si="25"/>
        <v>39.090120330240552</v>
      </c>
      <c r="F34" s="64">
        <f t="shared" si="25"/>
        <v>179.77701462087293</v>
      </c>
      <c r="G34" s="64" t="e">
        <f t="shared" si="25"/>
        <v>#DIV/0!</v>
      </c>
      <c r="H34" s="64" t="e">
        <f t="shared" si="25"/>
        <v>#DIV/0!</v>
      </c>
      <c r="I34" s="59"/>
      <c r="K34" s="67"/>
      <c r="L34" s="67"/>
      <c r="M34" s="67"/>
      <c r="N34" s="67"/>
      <c r="O34" s="67"/>
      <c r="P34" s="67"/>
      <c r="T34" s="52" t="s">
        <v>67</v>
      </c>
      <c r="AJ34" s="52" t="s">
        <v>66</v>
      </c>
      <c r="AK34" s="52" t="s">
        <v>67</v>
      </c>
    </row>
    <row r="35" spans="1:37">
      <c r="A35" s="52" t="s">
        <v>63</v>
      </c>
      <c r="B35" s="55" t="s">
        <v>8</v>
      </c>
      <c r="C35" s="59"/>
      <c r="D35" s="59"/>
      <c r="E35" s="59"/>
      <c r="F35" s="59"/>
      <c r="G35" s="59"/>
      <c r="H35" s="59"/>
      <c r="I35" s="59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55" t="s">
        <v>8</v>
      </c>
      <c r="AJ35" s="52" t="s">
        <v>69</v>
      </c>
      <c r="AK35" s="55" t="s">
        <v>8</v>
      </c>
    </row>
    <row r="36" spans="1:37">
      <c r="A36" s="156">
        <v>1</v>
      </c>
      <c r="B36" s="52" t="s">
        <v>70</v>
      </c>
      <c r="C36" s="58">
        <f>'2023年'!C36</f>
        <v>51.260499999999993</v>
      </c>
      <c r="D36" s="58">
        <f>'2023年'!D36</f>
        <v>40.270499999999998</v>
      </c>
      <c r="E36" s="58">
        <f>'2023年'!E36</f>
        <v>13.815999999999999</v>
      </c>
      <c r="F36" s="58">
        <f>'2023年'!F36</f>
        <v>12.245999999999999</v>
      </c>
      <c r="G36" s="58">
        <f>'2023年'!G36</f>
        <v>0</v>
      </c>
      <c r="H36" s="58"/>
      <c r="I36" s="63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52" t="s">
        <v>70</v>
      </c>
      <c r="AJ36" s="52" t="s">
        <v>66</v>
      </c>
      <c r="AK36" s="52" t="s">
        <v>70</v>
      </c>
    </row>
    <row r="37" spans="1:37">
      <c r="A37" s="156">
        <v>2</v>
      </c>
      <c r="B37" s="52" t="s">
        <v>71</v>
      </c>
      <c r="C37" s="58">
        <f>'2023年'!C37</f>
        <v>12.407</v>
      </c>
      <c r="D37" s="58">
        <f>'2023年'!D37</f>
        <v>9.7469999999999999</v>
      </c>
      <c r="E37" s="58">
        <f>'2023年'!E37</f>
        <v>3.3439999999999999</v>
      </c>
      <c r="F37" s="58">
        <f>'2023年'!F37</f>
        <v>2.964</v>
      </c>
      <c r="G37" s="58">
        <f>'2023年'!G37</f>
        <v>0</v>
      </c>
      <c r="H37" s="58"/>
      <c r="I37" s="63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52" t="s">
        <v>71</v>
      </c>
      <c r="AJ37" s="52" t="s">
        <v>23</v>
      </c>
      <c r="AK37" s="52" t="s">
        <v>71</v>
      </c>
    </row>
    <row r="38" spans="1:37">
      <c r="A38" s="156">
        <v>3</v>
      </c>
      <c r="B38" s="52" t="s">
        <v>72</v>
      </c>
      <c r="C38" s="58">
        <f>'2023年'!C38</f>
        <v>83.910499999999999</v>
      </c>
      <c r="D38" s="58">
        <f>'2023年'!D38</f>
        <v>65.920500000000004</v>
      </c>
      <c r="E38" s="58">
        <f>'2023年'!E38</f>
        <v>22.616</v>
      </c>
      <c r="F38" s="58">
        <f>'2023年'!F38</f>
        <v>20.045999999999999</v>
      </c>
      <c r="G38" s="58">
        <f>'2023年'!G38</f>
        <v>0</v>
      </c>
      <c r="H38" s="58"/>
      <c r="I38" s="63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52" t="s">
        <v>72</v>
      </c>
      <c r="AJ38" s="52" t="s">
        <v>29</v>
      </c>
      <c r="AK38" s="52" t="s">
        <v>72</v>
      </c>
    </row>
    <row r="39" spans="1:37">
      <c r="A39" s="52" t="s">
        <v>69</v>
      </c>
      <c r="B39" s="55" t="s">
        <v>74</v>
      </c>
      <c r="C39" s="59"/>
      <c r="D39" s="59"/>
      <c r="E39" s="59"/>
      <c r="F39" s="59"/>
      <c r="G39" s="59"/>
      <c r="H39" s="59"/>
      <c r="I39" s="59"/>
      <c r="T39" s="55" t="s">
        <v>74</v>
      </c>
      <c r="AJ39" s="52" t="s">
        <v>73</v>
      </c>
      <c r="AK39" s="55" t="s">
        <v>74</v>
      </c>
    </row>
    <row r="40" spans="1:37">
      <c r="A40" s="156">
        <v>1</v>
      </c>
      <c r="B40" s="52" t="s">
        <v>76</v>
      </c>
      <c r="C40" s="59">
        <f>C34-C36-C37-C38</f>
        <v>847.28681900583797</v>
      </c>
      <c r="D40" s="59">
        <f t="shared" ref="D40:H40" si="26">D34-D36-D37-D38</f>
        <v>552.26767900583786</v>
      </c>
      <c r="E40" s="59">
        <f t="shared" si="26"/>
        <v>-0.68587966975944781</v>
      </c>
      <c r="F40" s="59">
        <f t="shared" si="26"/>
        <v>144.52101462087293</v>
      </c>
      <c r="G40" s="59" t="e">
        <f t="shared" si="26"/>
        <v>#DIV/0!</v>
      </c>
      <c r="H40" s="59" t="e">
        <f t="shared" si="26"/>
        <v>#DIV/0!</v>
      </c>
      <c r="I40" s="59"/>
      <c r="T40" s="52" t="s">
        <v>76</v>
      </c>
      <c r="AJ40" s="52" t="s">
        <v>18</v>
      </c>
      <c r="AK40" s="52" t="s">
        <v>76</v>
      </c>
    </row>
    <row r="41" spans="1:37">
      <c r="A41" s="156">
        <v>2</v>
      </c>
      <c r="B41" s="52" t="s">
        <v>77</v>
      </c>
      <c r="C41" s="59"/>
      <c r="D41" s="59"/>
      <c r="E41" s="59"/>
      <c r="F41" s="59"/>
      <c r="G41" s="59"/>
      <c r="H41" s="59"/>
      <c r="I41" s="59"/>
      <c r="T41" s="52" t="s">
        <v>77</v>
      </c>
      <c r="AJ41" s="52" t="s">
        <v>20</v>
      </c>
      <c r="AK41" s="52" t="s">
        <v>77</v>
      </c>
    </row>
    <row r="42" spans="1:37">
      <c r="A42" s="52" t="s">
        <v>73</v>
      </c>
      <c r="B42" s="55" t="s">
        <v>79</v>
      </c>
      <c r="C42" s="59"/>
      <c r="D42" s="59"/>
      <c r="E42" s="59"/>
      <c r="F42" s="59"/>
      <c r="G42" s="59"/>
      <c r="H42" s="59"/>
      <c r="I42" s="59"/>
      <c r="T42" s="55" t="s">
        <v>79</v>
      </c>
      <c r="AJ42" s="52" t="s">
        <v>78</v>
      </c>
      <c r="AK42" s="55" t="s">
        <v>79</v>
      </c>
    </row>
    <row r="43" spans="1:37">
      <c r="A43" s="156">
        <v>1</v>
      </c>
      <c r="B43" s="60" t="s">
        <v>80</v>
      </c>
      <c r="C43" s="58">
        <f>'2023年'!C43</f>
        <v>155.41400000000002</v>
      </c>
      <c r="D43" s="58">
        <f>'2023年'!D43</f>
        <v>122.09400000000001</v>
      </c>
      <c r="E43" s="58">
        <f>'2023年'!E43</f>
        <v>41.888000000000005</v>
      </c>
      <c r="F43" s="58">
        <f>'2023年'!F43</f>
        <v>37.128</v>
      </c>
      <c r="G43" s="58">
        <f>'2023年'!G43</f>
        <v>0</v>
      </c>
      <c r="H43" s="58"/>
      <c r="I43" s="59"/>
      <c r="T43" s="52" t="s">
        <v>80</v>
      </c>
      <c r="AJ43" s="52" t="s">
        <v>18</v>
      </c>
      <c r="AK43" s="52" t="s">
        <v>80</v>
      </c>
    </row>
    <row r="44" spans="1:37">
      <c r="A44" s="156">
        <v>2</v>
      </c>
      <c r="B44" s="60" t="s">
        <v>81</v>
      </c>
      <c r="C44" s="58">
        <f>'2023年'!C44</f>
        <v>24.487500000000001</v>
      </c>
      <c r="D44" s="58">
        <f>'2023年'!D44</f>
        <v>19.237500000000001</v>
      </c>
      <c r="E44" s="58">
        <f>'2023年'!E44</f>
        <v>6.6</v>
      </c>
      <c r="F44" s="58">
        <f>'2023年'!F44</f>
        <v>5.85</v>
      </c>
      <c r="G44" s="58">
        <f>'2023年'!G44</f>
        <v>0</v>
      </c>
      <c r="H44" s="58"/>
      <c r="I44" s="59"/>
      <c r="T44" s="52" t="s">
        <v>81</v>
      </c>
      <c r="AJ44" s="52" t="s">
        <v>20</v>
      </c>
      <c r="AK44" s="52" t="s">
        <v>81</v>
      </c>
    </row>
    <row r="45" spans="1:37">
      <c r="A45" s="156">
        <v>3</v>
      </c>
      <c r="B45" s="60" t="s">
        <v>82</v>
      </c>
      <c r="C45" s="58">
        <f>'2023年'!C45</f>
        <v>98.276499999999999</v>
      </c>
      <c r="D45" s="58">
        <f>'2023年'!D45</f>
        <v>77.206499999999991</v>
      </c>
      <c r="E45" s="58">
        <f>'2023年'!E45</f>
        <v>26.488</v>
      </c>
      <c r="F45" s="58">
        <f>'2023年'!F45</f>
        <v>23.477999999999998</v>
      </c>
      <c r="G45" s="58">
        <f>'2023年'!G45</f>
        <v>0</v>
      </c>
      <c r="H45" s="58"/>
      <c r="I45" s="59"/>
      <c r="T45" s="52" t="s">
        <v>82</v>
      </c>
      <c r="AJ45" s="52" t="s">
        <v>66</v>
      </c>
      <c r="AK45" s="52" t="s">
        <v>82</v>
      </c>
    </row>
    <row r="46" spans="1:37" s="47" customFormat="1">
      <c r="A46" s="156">
        <v>4</v>
      </c>
      <c r="B46" s="60" t="s">
        <v>83</v>
      </c>
      <c r="C46" s="65">
        <f>C21/C6</f>
        <v>14.566666666666668</v>
      </c>
      <c r="D46" s="65">
        <f t="shared" ref="D46:H46" si="27">D21/D6</f>
        <v>14.566666666666666</v>
      </c>
      <c r="E46" s="65">
        <f t="shared" si="27"/>
        <v>14.566666666666666</v>
      </c>
      <c r="F46" s="65">
        <f t="shared" si="27"/>
        <v>14.566666666666666</v>
      </c>
      <c r="G46" s="65" t="e">
        <f t="shared" si="27"/>
        <v>#DIV/0!</v>
      </c>
      <c r="H46" s="65" t="e">
        <f t="shared" si="27"/>
        <v>#DIV/0!</v>
      </c>
      <c r="I46" s="65"/>
      <c r="T46" s="60" t="s">
        <v>85</v>
      </c>
      <c r="AJ46" s="60" t="s">
        <v>26</v>
      </c>
      <c r="AK46" s="60" t="s">
        <v>85</v>
      </c>
    </row>
    <row r="47" spans="1:37" s="47" customFormat="1">
      <c r="A47" s="156">
        <v>5</v>
      </c>
      <c r="B47" s="60" t="s">
        <v>85</v>
      </c>
      <c r="C47" s="58">
        <f>'2023年'!C47</f>
        <v>163.25</v>
      </c>
      <c r="D47" s="58">
        <f>'2023年'!D47</f>
        <v>128.25</v>
      </c>
      <c r="E47" s="58">
        <f>'2023年'!E47</f>
        <v>44</v>
      </c>
      <c r="F47" s="58">
        <f>'2023年'!F47</f>
        <v>39</v>
      </c>
      <c r="G47" s="58">
        <f>'2023年'!G47</f>
        <v>0</v>
      </c>
      <c r="H47" s="65"/>
      <c r="I47" s="65"/>
      <c r="T47" s="60" t="s">
        <v>85</v>
      </c>
      <c r="AJ47" s="60" t="s">
        <v>26</v>
      </c>
      <c r="AK47" s="60" t="s">
        <v>85</v>
      </c>
    </row>
    <row r="48" spans="1:37">
      <c r="A48" s="52" t="s">
        <v>78</v>
      </c>
      <c r="B48" s="55" t="s">
        <v>96</v>
      </c>
      <c r="C48" s="59">
        <f>C40-C43-C44-C45-C47-C46</f>
        <v>391.29215233917142</v>
      </c>
      <c r="D48" s="59">
        <f t="shared" ref="D48:H48" si="28">D40-D43-D44-D45-D47-D46</f>
        <v>190.91301233917119</v>
      </c>
      <c r="E48" s="59">
        <f t="shared" si="28"/>
        <v>-134.22854633642612</v>
      </c>
      <c r="F48" s="59">
        <f t="shared" si="28"/>
        <v>24.498347954206277</v>
      </c>
      <c r="G48" s="59" t="e">
        <f t="shared" si="28"/>
        <v>#DIV/0!</v>
      </c>
      <c r="H48" s="59" t="e">
        <f t="shared" si="28"/>
        <v>#DIV/0!</v>
      </c>
      <c r="I48" s="59"/>
      <c r="T48" s="55" t="s">
        <v>96</v>
      </c>
      <c r="AJ48" s="52" t="s">
        <v>95</v>
      </c>
      <c r="AK48" s="55" t="s">
        <v>96</v>
      </c>
    </row>
    <row r="51" spans="2:14">
      <c r="C51" s="66"/>
      <c r="D51" s="66"/>
      <c r="E51" s="66"/>
      <c r="F51" s="66"/>
      <c r="G51" s="66"/>
      <c r="H51" s="66"/>
    </row>
    <row r="54" spans="2:14">
      <c r="B54" s="67"/>
      <c r="C54" s="68"/>
      <c r="D54" s="68"/>
      <c r="E54" s="68"/>
      <c r="F54" s="68"/>
      <c r="G54" s="68"/>
      <c r="H54" s="68"/>
      <c r="I54" s="68"/>
      <c r="J54" s="67"/>
      <c r="K54" s="67"/>
      <c r="L54" s="67"/>
      <c r="M54" s="67"/>
      <c r="N54" s="67"/>
    </row>
    <row r="55" spans="2:14">
      <c r="B55" s="67"/>
      <c r="C55" s="68"/>
      <c r="D55" s="68"/>
      <c r="E55" s="68"/>
      <c r="F55" s="68"/>
      <c r="G55" s="68"/>
      <c r="H55" s="68"/>
      <c r="I55" s="68"/>
      <c r="J55" s="67"/>
      <c r="K55" s="67"/>
      <c r="L55" s="67"/>
      <c r="M55" s="67"/>
      <c r="N55" s="67"/>
    </row>
    <row r="56" spans="2:14">
      <c r="B56" s="67"/>
      <c r="C56" s="68"/>
      <c r="D56" s="68"/>
      <c r="E56" s="68"/>
      <c r="F56" s="68"/>
      <c r="G56" s="68"/>
      <c r="H56" s="68"/>
      <c r="I56" s="68"/>
      <c r="J56" s="67"/>
      <c r="K56" s="67"/>
      <c r="L56" s="67"/>
      <c r="M56" s="67"/>
      <c r="N56" s="67"/>
    </row>
    <row r="57" spans="2:14">
      <c r="B57" s="67"/>
      <c r="C57" s="68"/>
      <c r="D57" s="68"/>
      <c r="E57" s="68"/>
      <c r="F57" s="68"/>
      <c r="G57" s="68"/>
      <c r="H57" s="68"/>
      <c r="I57" s="68"/>
      <c r="J57" s="67"/>
      <c r="K57" s="67"/>
      <c r="L57" s="67"/>
      <c r="M57" s="67"/>
      <c r="N57" s="67"/>
    </row>
    <row r="58" spans="2:14">
      <c r="B58" s="67"/>
      <c r="C58" s="68"/>
      <c r="D58" s="68"/>
      <c r="E58" s="68"/>
      <c r="F58" s="68"/>
      <c r="G58" s="68"/>
      <c r="H58" s="68"/>
      <c r="I58" s="68"/>
      <c r="J58" s="67"/>
      <c r="K58" s="67"/>
      <c r="L58" s="67"/>
      <c r="M58" s="67"/>
      <c r="N58" s="67"/>
    </row>
    <row r="59" spans="2:14">
      <c r="B59" s="67"/>
      <c r="C59" s="68"/>
      <c r="D59" s="68"/>
      <c r="E59" s="68"/>
      <c r="F59" s="68"/>
      <c r="G59" s="68"/>
      <c r="H59" s="68"/>
      <c r="I59" s="68"/>
      <c r="J59" s="67"/>
      <c r="K59" s="67"/>
      <c r="L59" s="67"/>
      <c r="M59" s="67"/>
      <c r="N59" s="67"/>
    </row>
    <row r="60" spans="2:14">
      <c r="B60" s="67"/>
      <c r="C60" s="68"/>
      <c r="D60" s="68"/>
      <c r="E60" s="68"/>
      <c r="F60" s="68"/>
      <c r="G60" s="68"/>
      <c r="H60" s="68"/>
      <c r="I60" s="68"/>
      <c r="J60" s="67"/>
      <c r="K60" s="67"/>
      <c r="L60" s="67"/>
      <c r="M60" s="67"/>
      <c r="N60" s="67"/>
    </row>
    <row r="61" spans="2:14">
      <c r="B61" s="67"/>
      <c r="C61" s="68"/>
      <c r="D61" s="68"/>
      <c r="E61" s="68"/>
      <c r="F61" s="68"/>
      <c r="G61" s="68"/>
      <c r="H61" s="68"/>
      <c r="I61" s="68"/>
      <c r="J61" s="67"/>
      <c r="K61" s="67"/>
      <c r="L61" s="67"/>
      <c r="M61" s="67"/>
      <c r="N61" s="67"/>
    </row>
    <row r="62" spans="2:14">
      <c r="B62" s="67"/>
      <c r="C62" s="68"/>
      <c r="D62" s="68"/>
      <c r="E62" s="68"/>
      <c r="F62" s="68"/>
      <c r="G62" s="68"/>
      <c r="H62" s="68"/>
      <c r="I62" s="68"/>
      <c r="J62" s="67"/>
      <c r="K62" s="67"/>
      <c r="L62" s="67"/>
      <c r="M62" s="67"/>
      <c r="N62" s="67"/>
    </row>
    <row r="63" spans="2:14">
      <c r="B63" s="67"/>
      <c r="C63" s="68"/>
      <c r="D63" s="68"/>
      <c r="E63" s="68"/>
      <c r="F63" s="68"/>
      <c r="G63" s="68"/>
      <c r="H63" s="68"/>
      <c r="I63" s="68"/>
      <c r="J63" s="67"/>
      <c r="K63" s="67"/>
      <c r="L63" s="67"/>
      <c r="M63" s="67"/>
      <c r="N63" s="67"/>
    </row>
    <row r="64" spans="2:14">
      <c r="B64" s="67"/>
      <c r="C64" s="68"/>
      <c r="D64" s="68"/>
      <c r="E64" s="68"/>
      <c r="F64" s="68"/>
      <c r="G64" s="68"/>
      <c r="H64" s="68"/>
      <c r="I64" s="68"/>
      <c r="J64" s="67"/>
      <c r="K64" s="67"/>
      <c r="L64" s="67"/>
      <c r="M64" s="67"/>
      <c r="N64" s="67"/>
    </row>
    <row r="65" spans="2:14">
      <c r="B65" s="67"/>
      <c r="C65" s="68"/>
      <c r="D65" s="68"/>
      <c r="E65" s="68"/>
      <c r="F65" s="68"/>
      <c r="G65" s="68"/>
      <c r="H65" s="68"/>
      <c r="I65" s="68"/>
      <c r="J65" s="67"/>
      <c r="K65" s="67"/>
      <c r="L65" s="67"/>
      <c r="M65" s="67"/>
      <c r="N65" s="67"/>
    </row>
    <row r="66" spans="2:14">
      <c r="B66" s="67"/>
      <c r="C66" s="68"/>
      <c r="D66" s="68"/>
      <c r="E66" s="68"/>
      <c r="F66" s="68"/>
      <c r="G66" s="68"/>
      <c r="H66" s="68"/>
      <c r="I66" s="68"/>
      <c r="J66" s="67"/>
      <c r="K66" s="67"/>
      <c r="L66" s="67"/>
      <c r="M66" s="67"/>
      <c r="N66" s="67"/>
    </row>
    <row r="67" spans="2:14">
      <c r="B67" s="67"/>
      <c r="C67" s="68"/>
      <c r="D67" s="68"/>
      <c r="E67" s="68"/>
      <c r="F67" s="68"/>
      <c r="G67" s="68"/>
      <c r="H67" s="68"/>
      <c r="I67" s="68"/>
      <c r="J67" s="67"/>
    </row>
    <row r="68" spans="2:14">
      <c r="B68" s="67"/>
      <c r="C68" s="68"/>
      <c r="D68" s="68"/>
      <c r="E68" s="68"/>
      <c r="F68" s="68"/>
      <c r="G68" s="68"/>
      <c r="H68" s="68"/>
      <c r="I68" s="68"/>
      <c r="J68" s="67"/>
    </row>
    <row r="69" spans="2:14">
      <c r="B69" s="67"/>
      <c r="C69" s="68"/>
      <c r="D69" s="68"/>
      <c r="E69" s="68"/>
      <c r="F69" s="68"/>
      <c r="G69" s="68"/>
      <c r="H69" s="68"/>
      <c r="I69" s="68"/>
      <c r="J69" s="67"/>
    </row>
    <row r="70" spans="2:14">
      <c r="B70" s="67"/>
      <c r="C70" s="68"/>
      <c r="D70" s="68"/>
      <c r="E70" s="68"/>
      <c r="F70" s="68"/>
      <c r="G70" s="68"/>
      <c r="H70" s="68"/>
      <c r="I70" s="68"/>
      <c r="J70" s="67"/>
    </row>
    <row r="71" spans="2:14">
      <c r="B71" s="67"/>
      <c r="C71" s="68"/>
      <c r="D71" s="68"/>
      <c r="E71" s="68"/>
      <c r="F71" s="68"/>
      <c r="G71" s="68"/>
      <c r="H71" s="68"/>
      <c r="I71" s="68"/>
      <c r="J71" s="67"/>
    </row>
    <row r="72" spans="2:14">
      <c r="B72" s="67"/>
      <c r="C72" s="68"/>
      <c r="D72" s="68"/>
      <c r="E72" s="68"/>
      <c r="F72" s="68"/>
      <c r="G72" s="68"/>
      <c r="H72" s="68"/>
      <c r="I72" s="68"/>
      <c r="J72" s="67"/>
    </row>
    <row r="73" spans="2:14">
      <c r="B73" s="67"/>
      <c r="C73" s="68"/>
      <c r="D73" s="68"/>
      <c r="E73" s="68"/>
      <c r="F73" s="68"/>
      <c r="G73" s="68"/>
      <c r="H73" s="68"/>
      <c r="I73" s="68"/>
      <c r="J73" s="67"/>
    </row>
    <row r="74" spans="2:14">
      <c r="B74" s="67"/>
      <c r="C74" s="68"/>
      <c r="D74" s="68"/>
      <c r="E74" s="68"/>
      <c r="F74" s="68"/>
      <c r="G74" s="68"/>
      <c r="H74" s="68"/>
      <c r="I74" s="68"/>
      <c r="J74" s="67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C8" sqref="C8:H8"/>
    </sheetView>
  </sheetViews>
  <sheetFormatPr defaultColWidth="9" defaultRowHeight="16.5"/>
  <cols>
    <col min="1" max="1" width="5.125" style="48" customWidth="1"/>
    <col min="2" max="2" width="17.5" style="48" customWidth="1"/>
    <col min="3" max="8" width="13.25" style="49" customWidth="1"/>
    <col min="9" max="9" width="18.75" style="49" customWidth="1"/>
    <col min="10" max="10" width="12.375" style="48" customWidth="1"/>
    <col min="11" max="11" width="10.125" style="48" customWidth="1"/>
    <col min="12" max="18" width="9" style="48" customWidth="1"/>
    <col min="19" max="35" width="9" style="48"/>
    <col min="36" max="36" width="4.375" style="48" customWidth="1"/>
    <col min="37" max="37" width="13.875" style="48" customWidth="1"/>
    <col min="38" max="16384" width="9" style="48"/>
  </cols>
  <sheetData>
    <row r="1" spans="1:38">
      <c r="A1" s="217" t="s">
        <v>136</v>
      </c>
      <c r="B1" s="217"/>
      <c r="C1" s="221" t="s">
        <v>250</v>
      </c>
      <c r="D1" s="222"/>
      <c r="E1" s="222"/>
      <c r="F1" s="222"/>
      <c r="G1" s="222"/>
      <c r="H1" s="222"/>
      <c r="I1" s="223"/>
    </row>
    <row r="2" spans="1:38">
      <c r="A2" s="217" t="s">
        <v>137</v>
      </c>
      <c r="B2" s="217"/>
      <c r="C2" s="224" t="str">
        <f>'2023年'!C2:I2</f>
        <v>一汽解放</v>
      </c>
      <c r="D2" s="224"/>
      <c r="E2" s="224"/>
      <c r="F2" s="224"/>
      <c r="G2" s="224"/>
      <c r="H2" s="224"/>
      <c r="I2" s="224"/>
    </row>
    <row r="3" spans="1:38">
      <c r="A3" s="217" t="s">
        <v>138</v>
      </c>
      <c r="B3" s="217"/>
      <c r="C3" s="157" t="str">
        <f>'销量 附加值'!C5</f>
        <v>驾驶员座总成</v>
      </c>
      <c r="D3" s="157" t="str">
        <f>'销量 附加值'!D5</f>
        <v>驾驶员座总成</v>
      </c>
      <c r="E3" s="157" t="str">
        <f>'销量 附加值'!E5</f>
        <v>前座总成</v>
      </c>
      <c r="F3" s="157" t="str">
        <f>'销量 附加值'!F5</f>
        <v>前座总成</v>
      </c>
      <c r="G3" s="157">
        <f>'销量 附加值'!G5</f>
        <v>0</v>
      </c>
      <c r="H3" s="157">
        <f>'销量 附加值'!H5</f>
        <v>0</v>
      </c>
      <c r="I3" s="218" t="s">
        <v>14</v>
      </c>
    </row>
    <row r="4" spans="1:38">
      <c r="A4" s="217" t="s">
        <v>139</v>
      </c>
      <c r="B4" s="217"/>
      <c r="C4" s="157" t="str">
        <f>'销量 附加值'!C6</f>
        <v>/</v>
      </c>
      <c r="D4" s="157" t="str">
        <f>'销量 附加值'!D6</f>
        <v>/</v>
      </c>
      <c r="E4" s="157" t="str">
        <f>'销量 附加值'!E6</f>
        <v>/</v>
      </c>
      <c r="F4" s="157" t="str">
        <f>'销量 附加值'!F6</f>
        <v>/</v>
      </c>
      <c r="G4" s="157">
        <f>'销量 附加值'!G6</f>
        <v>0</v>
      </c>
      <c r="H4" s="157">
        <f>'销量 附加值'!H6</f>
        <v>0</v>
      </c>
      <c r="I4" s="219"/>
    </row>
    <row r="5" spans="1:38">
      <c r="A5" s="217" t="s">
        <v>140</v>
      </c>
      <c r="B5" s="217"/>
      <c r="C5" s="51"/>
      <c r="D5" s="51"/>
      <c r="E5" s="51"/>
      <c r="F5" s="51"/>
      <c r="G5" s="51"/>
      <c r="H5" s="51"/>
      <c r="I5" s="220"/>
      <c r="AL5" s="48" t="s">
        <v>15</v>
      </c>
    </row>
    <row r="6" spans="1:38" ht="17.25">
      <c r="A6" s="52" t="s">
        <v>13</v>
      </c>
      <c r="B6" s="53" t="s">
        <v>141</v>
      </c>
      <c r="C6" s="21">
        <f>'销量 附加值'!C11</f>
        <v>1000</v>
      </c>
      <c r="D6" s="21">
        <f>'销量 附加值'!D11</f>
        <v>2000</v>
      </c>
      <c r="E6" s="21">
        <f>'销量 附加值'!E11</f>
        <v>375</v>
      </c>
      <c r="F6" s="21">
        <f>'销量 附加值'!F11</f>
        <v>375</v>
      </c>
      <c r="G6" s="21">
        <f>'销量 附加值'!G11</f>
        <v>0</v>
      </c>
      <c r="H6" s="21">
        <f>'销量 附加值'!H11</f>
        <v>0</v>
      </c>
      <c r="I6" s="54">
        <f>SUM(C6:H6)</f>
        <v>3750</v>
      </c>
      <c r="T6" s="53" t="s">
        <v>3</v>
      </c>
      <c r="AJ6" s="52" t="s">
        <v>13</v>
      </c>
      <c r="AK6" s="53" t="s">
        <v>3</v>
      </c>
      <c r="AL6" s="48" t="s">
        <v>16</v>
      </c>
    </row>
    <row r="7" spans="1:38">
      <c r="A7" s="156">
        <v>1</v>
      </c>
      <c r="B7" s="53" t="s">
        <v>17</v>
      </c>
      <c r="C7" s="54">
        <f>C6*'销量 附加值'!C8</f>
        <v>3265000</v>
      </c>
      <c r="D7" s="54">
        <f>D6*'销量 附加值'!D8</f>
        <v>5130000</v>
      </c>
      <c r="E7" s="54">
        <f>E6*'销量 附加值'!E8</f>
        <v>330000</v>
      </c>
      <c r="F7" s="54">
        <f>F6*'销量 附加值'!F8</f>
        <v>292500</v>
      </c>
      <c r="G7" s="54">
        <f>G6*'销量 附加值'!G8</f>
        <v>0</v>
      </c>
      <c r="H7" s="54">
        <f>H6*'销量 附加值'!H8</f>
        <v>0</v>
      </c>
      <c r="I7" s="54">
        <f>SUM(C7:H7)</f>
        <v>9017500</v>
      </c>
      <c r="J7" s="49"/>
      <c r="T7" s="53" t="s">
        <v>17</v>
      </c>
      <c r="AJ7" s="52" t="s">
        <v>18</v>
      </c>
      <c r="AK7" s="53" t="s">
        <v>17</v>
      </c>
      <c r="AL7" s="48" t="s">
        <v>16</v>
      </c>
    </row>
    <row r="8" spans="1:38">
      <c r="A8" s="156">
        <v>2</v>
      </c>
      <c r="B8" s="156" t="s">
        <v>19</v>
      </c>
      <c r="C8" s="54">
        <f>C7*(1-'销量 附加值'!$L$8)</f>
        <v>192961.49999999977</v>
      </c>
      <c r="D8" s="54">
        <f>D7*(1-'销量 附加值'!$L$8)</f>
        <v>303182.99999999965</v>
      </c>
      <c r="E8" s="54">
        <f>E7*(1-'销量 附加值'!$L$8)</f>
        <v>19502.999999999978</v>
      </c>
      <c r="F8" s="54">
        <f>F7*(1-'销量 附加值'!$L$8)</f>
        <v>17286.749999999978</v>
      </c>
      <c r="G8" s="54">
        <f>G7*(1-'销量 附加值'!$L$8)</f>
        <v>0</v>
      </c>
      <c r="H8" s="54">
        <f>H7*(1-'销量 附加值'!$L$8)</f>
        <v>0</v>
      </c>
      <c r="I8" s="54">
        <f t="shared" ref="I8:I15" si="0">SUM(C8:H8)</f>
        <v>532934.24999999942</v>
      </c>
      <c r="J8" s="69"/>
      <c r="T8" s="156" t="s">
        <v>21</v>
      </c>
      <c r="AJ8" s="52" t="s">
        <v>20</v>
      </c>
      <c r="AK8" s="156" t="s">
        <v>21</v>
      </c>
      <c r="AL8" s="48" t="s">
        <v>16</v>
      </c>
    </row>
    <row r="9" spans="1:38">
      <c r="A9" s="156">
        <v>3</v>
      </c>
      <c r="B9" s="53" t="s">
        <v>22</v>
      </c>
      <c r="C9" s="54">
        <f>+C7-C8</f>
        <v>3072038.5</v>
      </c>
      <c r="D9" s="54">
        <f t="shared" ref="D9:H9" si="1">+D7-D8</f>
        <v>4826817</v>
      </c>
      <c r="E9" s="54">
        <f t="shared" si="1"/>
        <v>310497</v>
      </c>
      <c r="F9" s="54">
        <f t="shared" si="1"/>
        <v>275213.25</v>
      </c>
      <c r="G9" s="54">
        <f t="shared" si="1"/>
        <v>0</v>
      </c>
      <c r="H9" s="54">
        <f t="shared" si="1"/>
        <v>0</v>
      </c>
      <c r="I9" s="54">
        <f t="shared" si="0"/>
        <v>8484565.75</v>
      </c>
      <c r="T9" s="53" t="s">
        <v>22</v>
      </c>
      <c r="AJ9" s="52" t="s">
        <v>23</v>
      </c>
      <c r="AK9" s="53" t="s">
        <v>22</v>
      </c>
      <c r="AL9" s="48" t="s">
        <v>24</v>
      </c>
    </row>
    <row r="10" spans="1:38">
      <c r="A10" s="156">
        <v>4</v>
      </c>
      <c r="B10" s="52" t="s">
        <v>25</v>
      </c>
      <c r="C10" s="54">
        <f>C6*C33</f>
        <v>2107019.6255643372</v>
      </c>
      <c r="D10" s="54">
        <f t="shared" ref="D10:H10" si="2">D6*D33</f>
        <v>3530497.982728675</v>
      </c>
      <c r="E10" s="54">
        <f t="shared" si="2"/>
        <v>296277.96872987499</v>
      </c>
      <c r="F10" s="54">
        <f t="shared" si="2"/>
        <v>209819.36093165746</v>
      </c>
      <c r="G10" s="54">
        <f t="shared" si="2"/>
        <v>0</v>
      </c>
      <c r="H10" s="54">
        <f t="shared" si="2"/>
        <v>0</v>
      </c>
      <c r="I10" s="54">
        <f t="shared" si="0"/>
        <v>6143614.9379545441</v>
      </c>
      <c r="T10" s="52" t="s">
        <v>25</v>
      </c>
      <c r="AJ10" s="52" t="s">
        <v>26</v>
      </c>
      <c r="AK10" s="52" t="s">
        <v>25</v>
      </c>
      <c r="AL10" s="48" t="s">
        <v>27</v>
      </c>
    </row>
    <row r="11" spans="1:38">
      <c r="A11" s="156">
        <v>5</v>
      </c>
      <c r="B11" s="52" t="s">
        <v>28</v>
      </c>
      <c r="C11" s="54">
        <f>+C6*C36</f>
        <v>51260.499999999993</v>
      </c>
      <c r="D11" s="54">
        <f t="shared" ref="D11:H11" si="3">+D6*D36</f>
        <v>80541</v>
      </c>
      <c r="E11" s="54">
        <f t="shared" si="3"/>
        <v>5181</v>
      </c>
      <c r="F11" s="54">
        <f t="shared" si="3"/>
        <v>4592.2499999999991</v>
      </c>
      <c r="G11" s="54">
        <f t="shared" si="3"/>
        <v>0</v>
      </c>
      <c r="H11" s="54">
        <f t="shared" si="3"/>
        <v>0</v>
      </c>
      <c r="I11" s="54">
        <f t="shared" si="0"/>
        <v>141574.75</v>
      </c>
      <c r="T11" s="52" t="s">
        <v>28</v>
      </c>
      <c r="AJ11" s="52" t="s">
        <v>29</v>
      </c>
      <c r="AK11" s="52" t="s">
        <v>28</v>
      </c>
    </row>
    <row r="12" spans="1:38">
      <c r="A12" s="156">
        <v>6</v>
      </c>
      <c r="B12" s="52" t="s">
        <v>30</v>
      </c>
      <c r="C12" s="54">
        <f>+C6*C37</f>
        <v>12407</v>
      </c>
      <c r="D12" s="54">
        <f t="shared" ref="D12:H12" si="4">+D6*D37</f>
        <v>19494</v>
      </c>
      <c r="E12" s="54">
        <f t="shared" si="4"/>
        <v>1254</v>
      </c>
      <c r="F12" s="54">
        <f t="shared" si="4"/>
        <v>1111.5</v>
      </c>
      <c r="G12" s="54">
        <f t="shared" si="4"/>
        <v>0</v>
      </c>
      <c r="H12" s="54">
        <f t="shared" si="4"/>
        <v>0</v>
      </c>
      <c r="I12" s="54">
        <f t="shared" si="0"/>
        <v>34266.5</v>
      </c>
      <c r="T12" s="52" t="s">
        <v>30</v>
      </c>
      <c r="AJ12" s="52" t="s">
        <v>31</v>
      </c>
      <c r="AK12" s="52" t="s">
        <v>30</v>
      </c>
    </row>
    <row r="13" spans="1:38">
      <c r="A13" s="156">
        <v>7</v>
      </c>
      <c r="B13" s="52" t="s">
        <v>32</v>
      </c>
      <c r="C13" s="54">
        <f>+C6*C38</f>
        <v>83910.5</v>
      </c>
      <c r="D13" s="54">
        <f t="shared" ref="D13:H13" si="5">+D6*D38</f>
        <v>131841</v>
      </c>
      <c r="E13" s="54">
        <f t="shared" si="5"/>
        <v>8481</v>
      </c>
      <c r="F13" s="54">
        <f t="shared" si="5"/>
        <v>7517.25</v>
      </c>
      <c r="G13" s="54">
        <f t="shared" si="5"/>
        <v>0</v>
      </c>
      <c r="H13" s="54">
        <f t="shared" si="5"/>
        <v>0</v>
      </c>
      <c r="I13" s="54">
        <f t="shared" si="0"/>
        <v>231749.75</v>
      </c>
      <c r="T13" s="52" t="s">
        <v>32</v>
      </c>
      <c r="AJ13" s="52" t="s">
        <v>33</v>
      </c>
      <c r="AK13" s="52" t="s">
        <v>32</v>
      </c>
      <c r="AL13" s="48" t="s">
        <v>16</v>
      </c>
    </row>
    <row r="14" spans="1:38">
      <c r="A14" s="156">
        <v>8</v>
      </c>
      <c r="B14" s="55" t="s">
        <v>34</v>
      </c>
      <c r="C14" s="54">
        <f>SUM(C11:C13)</f>
        <v>147578</v>
      </c>
      <c r="D14" s="54">
        <f t="shared" ref="D14:H14" si="6">SUM(D11:D13)</f>
        <v>231876</v>
      </c>
      <c r="E14" s="54">
        <f t="shared" si="6"/>
        <v>14916</v>
      </c>
      <c r="F14" s="54">
        <f t="shared" si="6"/>
        <v>13221</v>
      </c>
      <c r="G14" s="54">
        <f t="shared" si="6"/>
        <v>0</v>
      </c>
      <c r="H14" s="54">
        <f t="shared" si="6"/>
        <v>0</v>
      </c>
      <c r="I14" s="54">
        <f t="shared" si="0"/>
        <v>407591</v>
      </c>
      <c r="T14" s="55" t="s">
        <v>34</v>
      </c>
      <c r="AJ14" s="52" t="s">
        <v>35</v>
      </c>
      <c r="AK14" s="55" t="s">
        <v>34</v>
      </c>
    </row>
    <row r="15" spans="1:38">
      <c r="A15" s="156">
        <v>9</v>
      </c>
      <c r="B15" s="55" t="s">
        <v>36</v>
      </c>
      <c r="C15" s="54">
        <f>+C9-C10-C14</f>
        <v>817440.87443566276</v>
      </c>
      <c r="D15" s="54">
        <f t="shared" ref="D15:H15" si="7">+D9-D10-D14</f>
        <v>1064443.017271325</v>
      </c>
      <c r="E15" s="54">
        <f t="shared" si="7"/>
        <v>-696.96872987499228</v>
      </c>
      <c r="F15" s="54">
        <f t="shared" si="7"/>
        <v>52172.889068342542</v>
      </c>
      <c r="G15" s="54">
        <f t="shared" si="7"/>
        <v>0</v>
      </c>
      <c r="H15" s="54">
        <f t="shared" si="7"/>
        <v>0</v>
      </c>
      <c r="I15" s="54">
        <f t="shared" si="0"/>
        <v>1933359.8120454552</v>
      </c>
      <c r="T15" s="55" t="s">
        <v>36</v>
      </c>
      <c r="AJ15" s="52" t="s">
        <v>37</v>
      </c>
      <c r="AK15" s="55" t="s">
        <v>36</v>
      </c>
    </row>
    <row r="16" spans="1:38">
      <c r="A16" s="156">
        <v>10</v>
      </c>
      <c r="B16" s="52" t="s">
        <v>38</v>
      </c>
      <c r="C16" s="56">
        <f>+C15/C9</f>
        <v>0.26609069985147088</v>
      </c>
      <c r="D16" s="56">
        <f t="shared" ref="D16:H16" si="8">+D15/D9</f>
        <v>0.22052690567538089</v>
      </c>
      <c r="E16" s="56">
        <f t="shared" si="8"/>
        <v>-2.2446874845006306E-3</v>
      </c>
      <c r="F16" s="56">
        <f t="shared" si="8"/>
        <v>0.18957259168423957</v>
      </c>
      <c r="G16" s="56" t="e">
        <f t="shared" si="8"/>
        <v>#DIV/0!</v>
      </c>
      <c r="H16" s="56" t="e">
        <f t="shared" si="8"/>
        <v>#DIV/0!</v>
      </c>
      <c r="I16" s="56">
        <f t="shared" ref="I16" si="9">+I15/I9</f>
        <v>0.22786785664846257</v>
      </c>
      <c r="T16" s="52" t="s">
        <v>38</v>
      </c>
      <c r="AJ16" s="52" t="s">
        <v>39</v>
      </c>
      <c r="AK16" s="52" t="s">
        <v>38</v>
      </c>
    </row>
    <row r="17" spans="1:38">
      <c r="A17" s="156">
        <v>11</v>
      </c>
      <c r="B17" s="52" t="s">
        <v>40</v>
      </c>
      <c r="C17" s="54">
        <f>C6*C43+C18</f>
        <v>202006.22222222225</v>
      </c>
      <c r="D17" s="54">
        <f t="shared" ref="D17:H17" si="10">D6*D43+D18</f>
        <v>337372.4444444445</v>
      </c>
      <c r="E17" s="54">
        <f t="shared" si="10"/>
        <v>33180.083333333336</v>
      </c>
      <c r="F17" s="54">
        <f t="shared" si="10"/>
        <v>31395.083333333336</v>
      </c>
      <c r="G17" s="54">
        <f t="shared" si="10"/>
        <v>0</v>
      </c>
      <c r="H17" s="54">
        <f t="shared" si="10"/>
        <v>0</v>
      </c>
      <c r="I17" s="54">
        <f>SUM(C17:H17)</f>
        <v>603953.83333333349</v>
      </c>
      <c r="J17" s="69"/>
      <c r="T17" s="52" t="s">
        <v>40</v>
      </c>
      <c r="AJ17" s="52" t="s">
        <v>41</v>
      </c>
      <c r="AK17" s="52" t="s">
        <v>40</v>
      </c>
    </row>
    <row r="18" spans="1:38" s="46" customFormat="1">
      <c r="A18" s="156">
        <v>12</v>
      </c>
      <c r="B18" s="57" t="s">
        <v>142</v>
      </c>
      <c r="C18" s="58">
        <f>$I$18/$I$6*C6</f>
        <v>46592.222222222226</v>
      </c>
      <c r="D18" s="58">
        <f t="shared" ref="D18:H18" si="11">$I$18/$I$6*D6</f>
        <v>93184.444444444453</v>
      </c>
      <c r="E18" s="58">
        <f t="shared" si="11"/>
        <v>17472.083333333336</v>
      </c>
      <c r="F18" s="58">
        <f t="shared" si="11"/>
        <v>17472.083333333336</v>
      </c>
      <c r="G18" s="58">
        <f t="shared" si="11"/>
        <v>0</v>
      </c>
      <c r="H18" s="58">
        <f t="shared" si="11"/>
        <v>0</v>
      </c>
      <c r="I18" s="58">
        <f>项目投资!F26</f>
        <v>174720.83333333334</v>
      </c>
      <c r="J18" s="70" t="s">
        <v>143</v>
      </c>
      <c r="K18" s="70"/>
      <c r="L18" s="70"/>
    </row>
    <row r="19" spans="1:38">
      <c r="A19" s="156">
        <v>13</v>
      </c>
      <c r="B19" s="52" t="s">
        <v>42</v>
      </c>
      <c r="C19" s="54">
        <f>C6*C44</f>
        <v>24487.5</v>
      </c>
      <c r="D19" s="54">
        <f t="shared" ref="D19:G19" si="12">D6*D44</f>
        <v>38475</v>
      </c>
      <c r="E19" s="54">
        <f t="shared" si="12"/>
        <v>2475</v>
      </c>
      <c r="F19" s="54">
        <f t="shared" si="12"/>
        <v>2193.75</v>
      </c>
      <c r="G19" s="54">
        <f t="shared" si="12"/>
        <v>0</v>
      </c>
      <c r="H19" s="54">
        <f t="shared" ref="H19" si="13">H6*H44</f>
        <v>0</v>
      </c>
      <c r="I19" s="54">
        <f>SUM(C19:G19)</f>
        <v>67631.25</v>
      </c>
      <c r="J19" s="46"/>
      <c r="T19" s="52" t="s">
        <v>42</v>
      </c>
      <c r="AJ19" s="52" t="s">
        <v>43</v>
      </c>
      <c r="AK19" s="52" t="s">
        <v>42</v>
      </c>
      <c r="AL19" s="48" t="s">
        <v>16</v>
      </c>
    </row>
    <row r="20" spans="1:38">
      <c r="A20" s="156">
        <v>14</v>
      </c>
      <c r="B20" s="52" t="s">
        <v>44</v>
      </c>
      <c r="C20" s="54">
        <f>C6*C45</f>
        <v>98276.5</v>
      </c>
      <c r="D20" s="54">
        <f t="shared" ref="D20:H20" si="14">D6*D45</f>
        <v>154412.99999999997</v>
      </c>
      <c r="E20" s="54">
        <f t="shared" si="14"/>
        <v>9933</v>
      </c>
      <c r="F20" s="54">
        <f t="shared" si="14"/>
        <v>8804.25</v>
      </c>
      <c r="G20" s="54">
        <f t="shared" si="14"/>
        <v>0</v>
      </c>
      <c r="H20" s="54">
        <f t="shared" si="14"/>
        <v>0</v>
      </c>
      <c r="I20" s="54">
        <f>SUM(C20:H20)</f>
        <v>271426.75</v>
      </c>
      <c r="T20" s="52" t="s">
        <v>44</v>
      </c>
      <c r="AJ20" s="52" t="s">
        <v>45</v>
      </c>
      <c r="AK20" s="52" t="s">
        <v>44</v>
      </c>
    </row>
    <row r="21" spans="1:38">
      <c r="A21" s="156">
        <v>15</v>
      </c>
      <c r="B21" s="52" t="s">
        <v>46</v>
      </c>
      <c r="C21" s="59">
        <f>$I$21/$I$6*C6</f>
        <v>9711.1111111111095</v>
      </c>
      <c r="D21" s="59">
        <f t="shared" ref="D21:H21" si="15">$I$21/$I$6*D6</f>
        <v>19422.222222222219</v>
      </c>
      <c r="E21" s="59">
        <f t="shared" si="15"/>
        <v>3641.6666666666665</v>
      </c>
      <c r="F21" s="59">
        <f t="shared" si="15"/>
        <v>3641.6666666666665</v>
      </c>
      <c r="G21" s="59">
        <f t="shared" si="15"/>
        <v>0</v>
      </c>
      <c r="H21" s="59">
        <f t="shared" si="15"/>
        <v>0</v>
      </c>
      <c r="I21" s="54">
        <f>项目投资!F27</f>
        <v>36416.666666666664</v>
      </c>
      <c r="T21" s="52" t="s">
        <v>46</v>
      </c>
      <c r="AJ21" s="52"/>
      <c r="AK21" s="52"/>
    </row>
    <row r="22" spans="1:38">
      <c r="A22" s="156">
        <v>16</v>
      </c>
      <c r="B22" s="52" t="s">
        <v>47</v>
      </c>
      <c r="C22" s="54">
        <f>C6*C47</f>
        <v>163250</v>
      </c>
      <c r="D22" s="54">
        <f t="shared" ref="D22:H22" si="16">D6*D47</f>
        <v>256500</v>
      </c>
      <c r="E22" s="54">
        <f t="shared" si="16"/>
        <v>16500</v>
      </c>
      <c r="F22" s="54">
        <f t="shared" si="16"/>
        <v>14625</v>
      </c>
      <c r="G22" s="54">
        <f t="shared" si="16"/>
        <v>0</v>
      </c>
      <c r="H22" s="54">
        <f t="shared" si="16"/>
        <v>0</v>
      </c>
      <c r="I22" s="54">
        <f>SUM(C22:H22)</f>
        <v>450875</v>
      </c>
      <c r="T22" s="52" t="s">
        <v>47</v>
      </c>
      <c r="AJ22" s="52" t="s">
        <v>48</v>
      </c>
      <c r="AK22" s="52" t="s">
        <v>47</v>
      </c>
    </row>
    <row r="23" spans="1:38">
      <c r="A23" s="156">
        <v>17</v>
      </c>
      <c r="B23" s="55" t="s">
        <v>49</v>
      </c>
      <c r="C23" s="59">
        <f>+C22+C21+C20+C19+C17</f>
        <v>497731.33333333337</v>
      </c>
      <c r="D23" s="59">
        <f t="shared" ref="D23:H23" si="17">+D22+D21+D20+D19+D17</f>
        <v>806182.66666666674</v>
      </c>
      <c r="E23" s="59">
        <f t="shared" si="17"/>
        <v>65729.75</v>
      </c>
      <c r="F23" s="59">
        <f t="shared" si="17"/>
        <v>60659.75</v>
      </c>
      <c r="G23" s="59">
        <f t="shared" si="17"/>
        <v>0</v>
      </c>
      <c r="H23" s="59">
        <f t="shared" si="17"/>
        <v>0</v>
      </c>
      <c r="I23" s="59">
        <f t="shared" ref="I23" si="18">+I22+I21+I20+I19+I17</f>
        <v>1430303.5000000002</v>
      </c>
      <c r="T23" s="55" t="s">
        <v>49</v>
      </c>
      <c r="AJ23" s="52" t="s">
        <v>50</v>
      </c>
      <c r="AK23" s="55" t="s">
        <v>49</v>
      </c>
    </row>
    <row r="24" spans="1:38">
      <c r="A24" s="156">
        <v>18</v>
      </c>
      <c r="B24" s="60" t="s">
        <v>51</v>
      </c>
      <c r="C24" s="59">
        <f>+C15-C23</f>
        <v>319709.54110232939</v>
      </c>
      <c r="D24" s="59">
        <f t="shared" ref="D24:H24" si="19">+D15-D23</f>
        <v>258260.35060465825</v>
      </c>
      <c r="E24" s="59">
        <f t="shared" si="19"/>
        <v>-66426.718729874992</v>
      </c>
      <c r="F24" s="59">
        <f t="shared" si="19"/>
        <v>-8486.8609316574584</v>
      </c>
      <c r="G24" s="59">
        <f t="shared" si="19"/>
        <v>0</v>
      </c>
      <c r="H24" s="59">
        <f t="shared" si="19"/>
        <v>0</v>
      </c>
      <c r="I24" s="59">
        <f t="shared" ref="I24" si="20">+I15-I23</f>
        <v>503056.31204545498</v>
      </c>
      <c r="K24" s="71"/>
      <c r="T24" s="52" t="s">
        <v>51</v>
      </c>
      <c r="AJ24" s="52" t="s">
        <v>52</v>
      </c>
      <c r="AK24" s="52" t="s">
        <v>51</v>
      </c>
    </row>
    <row r="25" spans="1:38">
      <c r="A25" s="156">
        <v>19</v>
      </c>
      <c r="B25" s="52" t="s">
        <v>144</v>
      </c>
      <c r="C25" s="59">
        <f>IF(C24&lt;0,0,C24*0.25)</f>
        <v>79927.385275582346</v>
      </c>
      <c r="D25" s="59">
        <f>IF(D24&lt;0,0,D24*0.15)</f>
        <v>38739.052590698739</v>
      </c>
      <c r="E25" s="59">
        <f t="shared" ref="E25:I25" si="21">IF(E24&lt;0,0,E24*0.25)</f>
        <v>0</v>
      </c>
      <c r="F25" s="59">
        <f>IF(F24&lt;0,0,F24*0.15)</f>
        <v>0</v>
      </c>
      <c r="G25" s="59">
        <f t="shared" si="21"/>
        <v>0</v>
      </c>
      <c r="H25" s="59">
        <f t="shared" si="21"/>
        <v>0</v>
      </c>
      <c r="I25" s="59">
        <f t="shared" si="21"/>
        <v>125764.07801136374</v>
      </c>
      <c r="J25" s="67"/>
      <c r="K25" s="67"/>
      <c r="L25" s="67"/>
      <c r="T25" s="52" t="s">
        <v>53</v>
      </c>
      <c r="AJ25" s="52" t="s">
        <v>54</v>
      </c>
      <c r="AK25" s="52" t="s">
        <v>53</v>
      </c>
    </row>
    <row r="26" spans="1:38">
      <c r="A26" s="156">
        <v>20</v>
      </c>
      <c r="B26" s="52" t="s">
        <v>55</v>
      </c>
      <c r="C26" s="59">
        <f t="shared" ref="C26:H26" si="22">C24-C25</f>
        <v>239782.15582674704</v>
      </c>
      <c r="D26" s="59">
        <f t="shared" si="22"/>
        <v>219521.29801395952</v>
      </c>
      <c r="E26" s="59">
        <f t="shared" si="22"/>
        <v>-66426.718729874992</v>
      </c>
      <c r="F26" s="59">
        <f t="shared" si="22"/>
        <v>-8486.8609316574584</v>
      </c>
      <c r="G26" s="59">
        <f t="shared" si="22"/>
        <v>0</v>
      </c>
      <c r="H26" s="59">
        <f t="shared" si="22"/>
        <v>0</v>
      </c>
      <c r="I26" s="54">
        <f>+SUM(C26:H26)</f>
        <v>384389.87417917408</v>
      </c>
      <c r="J26" s="67"/>
      <c r="K26" s="67"/>
      <c r="L26" s="67"/>
      <c r="T26" s="52" t="s">
        <v>55</v>
      </c>
      <c r="AJ26" s="52" t="s">
        <v>56</v>
      </c>
      <c r="AK26" s="52" t="s">
        <v>55</v>
      </c>
    </row>
    <row r="27" spans="1:38">
      <c r="A27" s="156">
        <v>21</v>
      </c>
      <c r="B27" s="52" t="s">
        <v>59</v>
      </c>
      <c r="C27" s="61">
        <f t="shared" ref="C27:I27" si="23">C26/C7</f>
        <v>7.3440170237901087E-2</v>
      </c>
      <c r="D27" s="61">
        <f t="shared" ref="D27:H27" si="24">D26/D7</f>
        <v>4.2791676026112967E-2</v>
      </c>
      <c r="E27" s="61">
        <f t="shared" si="24"/>
        <v>-0.20129308706022725</v>
      </c>
      <c r="F27" s="61">
        <f t="shared" si="24"/>
        <v>-2.9014909168059686E-2</v>
      </c>
      <c r="G27" s="61" t="e">
        <f t="shared" si="24"/>
        <v>#DIV/0!</v>
      </c>
      <c r="H27" s="61" t="e">
        <f t="shared" si="24"/>
        <v>#DIV/0!</v>
      </c>
      <c r="I27" s="61">
        <f t="shared" si="23"/>
        <v>4.2627099992145728E-2</v>
      </c>
      <c r="J27" s="174"/>
      <c r="K27" s="67"/>
      <c r="L27" s="67"/>
      <c r="T27" s="52" t="s">
        <v>59</v>
      </c>
      <c r="AJ27" s="52" t="s">
        <v>58</v>
      </c>
      <c r="AK27" s="52" t="s">
        <v>59</v>
      </c>
    </row>
    <row r="28" spans="1:38">
      <c r="J28" s="67"/>
      <c r="K28" s="67"/>
      <c r="L28" s="67"/>
      <c r="T28" s="52"/>
    </row>
    <row r="29" spans="1:38">
      <c r="A29" s="48" t="s">
        <v>60</v>
      </c>
      <c r="I29" s="49" t="s">
        <v>145</v>
      </c>
      <c r="J29" s="67"/>
      <c r="K29" s="67"/>
      <c r="L29" s="67"/>
      <c r="T29" s="52"/>
      <c r="AJ29" s="48" t="s">
        <v>60</v>
      </c>
    </row>
    <row r="30" spans="1:38">
      <c r="A30" s="52" t="s">
        <v>61</v>
      </c>
      <c r="B30" s="55" t="s">
        <v>62</v>
      </c>
      <c r="C30" s="59"/>
      <c r="D30" s="59"/>
      <c r="E30" s="59"/>
      <c r="F30" s="59"/>
      <c r="G30" s="59"/>
      <c r="H30" s="59"/>
      <c r="I30" s="59"/>
      <c r="J30" s="67"/>
      <c r="K30" s="67"/>
      <c r="L30" s="67"/>
      <c r="N30" s="67"/>
      <c r="T30" s="55" t="s">
        <v>62</v>
      </c>
      <c r="AJ30" s="52" t="s">
        <v>63</v>
      </c>
      <c r="AK30" s="55" t="s">
        <v>62</v>
      </c>
    </row>
    <row r="31" spans="1:38">
      <c r="A31" s="156">
        <v>1</v>
      </c>
      <c r="B31" s="57" t="s">
        <v>64</v>
      </c>
      <c r="C31" s="63">
        <f>'销量 附加值'!C8</f>
        <v>3265</v>
      </c>
      <c r="D31" s="63">
        <f>'销量 附加值'!D8</f>
        <v>2565</v>
      </c>
      <c r="E31" s="63">
        <f>'销量 附加值'!E8</f>
        <v>880</v>
      </c>
      <c r="F31" s="63">
        <f>'销量 附加值'!F8</f>
        <v>780</v>
      </c>
      <c r="G31" s="63">
        <f>'销量 附加值'!G8</f>
        <v>0</v>
      </c>
      <c r="H31" s="63">
        <f>'销量 附加值'!H8</f>
        <v>0</v>
      </c>
      <c r="I31" s="59"/>
      <c r="J31" s="67"/>
      <c r="K31" s="67"/>
      <c r="L31" s="67"/>
      <c r="N31" s="67"/>
      <c r="T31" s="52" t="s">
        <v>64</v>
      </c>
      <c r="AJ31" s="52" t="s">
        <v>18</v>
      </c>
      <c r="AK31" s="52" t="s">
        <v>64</v>
      </c>
    </row>
    <row r="32" spans="1:38">
      <c r="A32" s="156">
        <v>2</v>
      </c>
      <c r="B32" s="52" t="s">
        <v>146</v>
      </c>
      <c r="C32" s="54">
        <f>C9/C6</f>
        <v>3072.0385000000001</v>
      </c>
      <c r="D32" s="54">
        <f t="shared" ref="D32:H32" si="25">D9/D6</f>
        <v>2413.4085</v>
      </c>
      <c r="E32" s="54">
        <f t="shared" si="25"/>
        <v>827.99199999999996</v>
      </c>
      <c r="F32" s="54">
        <f t="shared" si="25"/>
        <v>733.90200000000004</v>
      </c>
      <c r="G32" s="54" t="e">
        <f t="shared" si="25"/>
        <v>#DIV/0!</v>
      </c>
      <c r="H32" s="54" t="e">
        <f t="shared" si="25"/>
        <v>#DIV/0!</v>
      </c>
      <c r="I32" s="59"/>
      <c r="J32" s="67"/>
      <c r="K32" s="67"/>
      <c r="L32" s="67"/>
      <c r="M32" s="67"/>
      <c r="N32" s="67"/>
      <c r="O32" s="67"/>
      <c r="P32" s="67"/>
      <c r="AJ32" s="52"/>
      <c r="AK32" s="52"/>
    </row>
    <row r="33" spans="1:37">
      <c r="A33" s="156">
        <v>3</v>
      </c>
      <c r="B33" s="57" t="s">
        <v>65</v>
      </c>
      <c r="C33" s="54">
        <f>材料成本!D14</f>
        <v>2107.0196255643373</v>
      </c>
      <c r="D33" s="54">
        <f>材料成本!E14</f>
        <v>1765.2489913643376</v>
      </c>
      <c r="E33" s="54">
        <f>材料成本!F14</f>
        <v>790.07458327966663</v>
      </c>
      <c r="F33" s="54">
        <f>材料成本!G14</f>
        <v>559.51829581775326</v>
      </c>
      <c r="G33" s="54">
        <f>材料成本!H14</f>
        <v>0</v>
      </c>
      <c r="H33" s="54">
        <f>材料成本!I14</f>
        <v>0</v>
      </c>
      <c r="I33" s="59"/>
      <c r="K33" s="67"/>
      <c r="L33" s="67"/>
      <c r="M33" s="67"/>
      <c r="N33" s="67"/>
      <c r="O33" s="67"/>
      <c r="P33" s="67"/>
      <c r="T33" s="52" t="s">
        <v>65</v>
      </c>
      <c r="AJ33" s="52" t="s">
        <v>20</v>
      </c>
      <c r="AK33" s="52" t="s">
        <v>65</v>
      </c>
    </row>
    <row r="34" spans="1:37" ht="17.25" customHeight="1">
      <c r="A34" s="156">
        <v>4</v>
      </c>
      <c r="B34" s="52" t="s">
        <v>67</v>
      </c>
      <c r="C34" s="64">
        <f>C32-C33</f>
        <v>965.01887443566284</v>
      </c>
      <c r="D34" s="64">
        <f t="shared" ref="D34:H34" si="26">D32-D33</f>
        <v>648.15950863566241</v>
      </c>
      <c r="E34" s="64">
        <f t="shared" si="26"/>
        <v>37.917416720333335</v>
      </c>
      <c r="F34" s="64">
        <f t="shared" si="26"/>
        <v>174.38370418224679</v>
      </c>
      <c r="G34" s="64" t="e">
        <f t="shared" si="26"/>
        <v>#DIV/0!</v>
      </c>
      <c r="H34" s="64" t="e">
        <f t="shared" si="26"/>
        <v>#DIV/0!</v>
      </c>
      <c r="I34" s="59"/>
      <c r="K34" s="67"/>
      <c r="L34" s="67"/>
      <c r="M34" s="67"/>
      <c r="N34" s="67"/>
      <c r="O34" s="67"/>
      <c r="P34" s="67"/>
      <c r="T34" s="52" t="s">
        <v>67</v>
      </c>
      <c r="AJ34" s="52" t="s">
        <v>66</v>
      </c>
      <c r="AK34" s="52" t="s">
        <v>67</v>
      </c>
    </row>
    <row r="35" spans="1:37">
      <c r="A35" s="52" t="s">
        <v>63</v>
      </c>
      <c r="B35" s="55" t="s">
        <v>8</v>
      </c>
      <c r="C35" s="59"/>
      <c r="D35" s="59"/>
      <c r="E35" s="59"/>
      <c r="F35" s="59"/>
      <c r="G35" s="59"/>
      <c r="H35" s="59"/>
      <c r="I35" s="59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55" t="s">
        <v>8</v>
      </c>
      <c r="AJ35" s="52" t="s">
        <v>69</v>
      </c>
      <c r="AK35" s="55" t="s">
        <v>8</v>
      </c>
    </row>
    <row r="36" spans="1:37">
      <c r="A36" s="156">
        <v>1</v>
      </c>
      <c r="B36" s="52" t="s">
        <v>70</v>
      </c>
      <c r="C36" s="58">
        <f>'2023年'!C36</f>
        <v>51.260499999999993</v>
      </c>
      <c r="D36" s="58">
        <f>'2023年'!D36</f>
        <v>40.270499999999998</v>
      </c>
      <c r="E36" s="58">
        <f>'2023年'!E36</f>
        <v>13.815999999999999</v>
      </c>
      <c r="F36" s="58">
        <f>'2023年'!F36</f>
        <v>12.245999999999999</v>
      </c>
      <c r="G36" s="58">
        <f>'2023年'!G36</f>
        <v>0</v>
      </c>
      <c r="H36" s="58"/>
      <c r="I36" s="63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52" t="s">
        <v>70</v>
      </c>
      <c r="AJ36" s="52" t="s">
        <v>66</v>
      </c>
      <c r="AK36" s="52" t="s">
        <v>70</v>
      </c>
    </row>
    <row r="37" spans="1:37">
      <c r="A37" s="156">
        <v>2</v>
      </c>
      <c r="B37" s="52" t="s">
        <v>71</v>
      </c>
      <c r="C37" s="58">
        <f>'2023年'!C37</f>
        <v>12.407</v>
      </c>
      <c r="D37" s="58">
        <f>'2023年'!D37</f>
        <v>9.7469999999999999</v>
      </c>
      <c r="E37" s="58">
        <f>'2023年'!E37</f>
        <v>3.3439999999999999</v>
      </c>
      <c r="F37" s="58">
        <f>'2023年'!F37</f>
        <v>2.964</v>
      </c>
      <c r="G37" s="58">
        <f>'2023年'!G37</f>
        <v>0</v>
      </c>
      <c r="H37" s="58"/>
      <c r="I37" s="63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52" t="s">
        <v>71</v>
      </c>
      <c r="AJ37" s="52" t="s">
        <v>23</v>
      </c>
      <c r="AK37" s="52" t="s">
        <v>71</v>
      </c>
    </row>
    <row r="38" spans="1:37">
      <c r="A38" s="156">
        <v>3</v>
      </c>
      <c r="B38" s="52" t="s">
        <v>72</v>
      </c>
      <c r="C38" s="58">
        <f>'2023年'!C38</f>
        <v>83.910499999999999</v>
      </c>
      <c r="D38" s="58">
        <f>'2023年'!D38</f>
        <v>65.920500000000004</v>
      </c>
      <c r="E38" s="58">
        <f>'2023年'!E38</f>
        <v>22.616</v>
      </c>
      <c r="F38" s="58">
        <f>'2023年'!F38</f>
        <v>20.045999999999999</v>
      </c>
      <c r="G38" s="58">
        <f>'2023年'!G38</f>
        <v>0</v>
      </c>
      <c r="H38" s="58"/>
      <c r="I38" s="63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52" t="s">
        <v>72</v>
      </c>
      <c r="AJ38" s="52" t="s">
        <v>29</v>
      </c>
      <c r="AK38" s="52" t="s">
        <v>72</v>
      </c>
    </row>
    <row r="39" spans="1:37">
      <c r="A39" s="52" t="s">
        <v>69</v>
      </c>
      <c r="B39" s="55" t="s">
        <v>74</v>
      </c>
      <c r="C39" s="59"/>
      <c r="D39" s="59"/>
      <c r="E39" s="59"/>
      <c r="F39" s="59"/>
      <c r="G39" s="59"/>
      <c r="H39" s="59"/>
      <c r="I39" s="59"/>
      <c r="T39" s="55" t="s">
        <v>74</v>
      </c>
      <c r="AJ39" s="52" t="s">
        <v>73</v>
      </c>
      <c r="AK39" s="55" t="s">
        <v>74</v>
      </c>
    </row>
    <row r="40" spans="1:37">
      <c r="A40" s="156">
        <v>1</v>
      </c>
      <c r="B40" s="52" t="s">
        <v>76</v>
      </c>
      <c r="C40" s="59">
        <f>C34-C36-C37-C38</f>
        <v>817.44087443566286</v>
      </c>
      <c r="D40" s="59">
        <f t="shared" ref="D40:H40" si="27">D34-D36-D37-D38</f>
        <v>532.22150863566253</v>
      </c>
      <c r="E40" s="59">
        <f t="shared" si="27"/>
        <v>-1.8585832796666644</v>
      </c>
      <c r="F40" s="59">
        <f t="shared" si="27"/>
        <v>139.12770418224679</v>
      </c>
      <c r="G40" s="59" t="e">
        <f t="shared" si="27"/>
        <v>#DIV/0!</v>
      </c>
      <c r="H40" s="59" t="e">
        <f t="shared" si="27"/>
        <v>#DIV/0!</v>
      </c>
      <c r="I40" s="59"/>
      <c r="T40" s="52" t="s">
        <v>76</v>
      </c>
      <c r="AJ40" s="52" t="s">
        <v>18</v>
      </c>
      <c r="AK40" s="52" t="s">
        <v>76</v>
      </c>
    </row>
    <row r="41" spans="1:37">
      <c r="A41" s="156">
        <v>2</v>
      </c>
      <c r="B41" s="52" t="s">
        <v>77</v>
      </c>
      <c r="C41" s="59"/>
      <c r="D41" s="59"/>
      <c r="E41" s="59"/>
      <c r="F41" s="59"/>
      <c r="G41" s="59"/>
      <c r="H41" s="59"/>
      <c r="I41" s="59"/>
      <c r="T41" s="52" t="s">
        <v>77</v>
      </c>
      <c r="AJ41" s="52" t="s">
        <v>20</v>
      </c>
      <c r="AK41" s="52" t="s">
        <v>77</v>
      </c>
    </row>
    <row r="42" spans="1:37">
      <c r="A42" s="52" t="s">
        <v>73</v>
      </c>
      <c r="B42" s="55" t="s">
        <v>79</v>
      </c>
      <c r="C42" s="59"/>
      <c r="D42" s="59"/>
      <c r="E42" s="59"/>
      <c r="F42" s="59"/>
      <c r="G42" s="59"/>
      <c r="H42" s="59"/>
      <c r="I42" s="59"/>
      <c r="T42" s="55" t="s">
        <v>79</v>
      </c>
      <c r="AJ42" s="52" t="s">
        <v>78</v>
      </c>
      <c r="AK42" s="55" t="s">
        <v>79</v>
      </c>
    </row>
    <row r="43" spans="1:37">
      <c r="A43" s="156">
        <v>1</v>
      </c>
      <c r="B43" s="60" t="s">
        <v>80</v>
      </c>
      <c r="C43" s="58">
        <f>'2023年'!C43</f>
        <v>155.41400000000002</v>
      </c>
      <c r="D43" s="58">
        <f>'2023年'!D43</f>
        <v>122.09400000000001</v>
      </c>
      <c r="E43" s="58">
        <f>'2023年'!E43</f>
        <v>41.888000000000005</v>
      </c>
      <c r="F43" s="58">
        <f>'2023年'!F43</f>
        <v>37.128</v>
      </c>
      <c r="G43" s="58">
        <f>'2023年'!G43</f>
        <v>0</v>
      </c>
      <c r="H43" s="58"/>
      <c r="I43" s="59"/>
      <c r="T43" s="52" t="s">
        <v>80</v>
      </c>
      <c r="AJ43" s="52" t="s">
        <v>18</v>
      </c>
      <c r="AK43" s="52" t="s">
        <v>80</v>
      </c>
    </row>
    <row r="44" spans="1:37">
      <c r="A44" s="156">
        <v>2</v>
      </c>
      <c r="B44" s="60" t="s">
        <v>81</v>
      </c>
      <c r="C44" s="58">
        <f>'2023年'!C44</f>
        <v>24.487500000000001</v>
      </c>
      <c r="D44" s="58">
        <f>'2023年'!D44</f>
        <v>19.237500000000001</v>
      </c>
      <c r="E44" s="58">
        <f>'2023年'!E44</f>
        <v>6.6</v>
      </c>
      <c r="F44" s="58">
        <f>'2023年'!F44</f>
        <v>5.85</v>
      </c>
      <c r="G44" s="58">
        <f>'2023年'!G44</f>
        <v>0</v>
      </c>
      <c r="H44" s="58"/>
      <c r="I44" s="59"/>
      <c r="T44" s="52" t="s">
        <v>81</v>
      </c>
      <c r="AJ44" s="52" t="s">
        <v>20</v>
      </c>
      <c r="AK44" s="52" t="s">
        <v>81</v>
      </c>
    </row>
    <row r="45" spans="1:37">
      <c r="A45" s="156">
        <v>3</v>
      </c>
      <c r="B45" s="60" t="s">
        <v>82</v>
      </c>
      <c r="C45" s="58">
        <f>'2023年'!C45</f>
        <v>98.276499999999999</v>
      </c>
      <c r="D45" s="58">
        <f>'2023年'!D45</f>
        <v>77.206499999999991</v>
      </c>
      <c r="E45" s="58">
        <f>'2023年'!E45</f>
        <v>26.488</v>
      </c>
      <c r="F45" s="58">
        <f>'2023年'!F45</f>
        <v>23.477999999999998</v>
      </c>
      <c r="G45" s="58">
        <f>'2023年'!G45</f>
        <v>0</v>
      </c>
      <c r="H45" s="58"/>
      <c r="I45" s="59"/>
      <c r="T45" s="52" t="s">
        <v>82</v>
      </c>
      <c r="AJ45" s="52" t="s">
        <v>66</v>
      </c>
      <c r="AK45" s="52" t="s">
        <v>82</v>
      </c>
    </row>
    <row r="46" spans="1:37" s="47" customFormat="1">
      <c r="A46" s="156">
        <v>4</v>
      </c>
      <c r="B46" s="60" t="s">
        <v>83</v>
      </c>
      <c r="C46" s="65">
        <f>C21/C6</f>
        <v>9.7111111111111104</v>
      </c>
      <c r="D46" s="65">
        <f t="shared" ref="D46:H46" si="28">D21/D6</f>
        <v>9.7111111111111104</v>
      </c>
      <c r="E46" s="65">
        <f t="shared" si="28"/>
        <v>9.7111111111111104</v>
      </c>
      <c r="F46" s="65">
        <f t="shared" si="28"/>
        <v>9.7111111111111104</v>
      </c>
      <c r="G46" s="65" t="e">
        <f t="shared" si="28"/>
        <v>#DIV/0!</v>
      </c>
      <c r="H46" s="65" t="e">
        <f t="shared" si="28"/>
        <v>#DIV/0!</v>
      </c>
      <c r="I46" s="65"/>
      <c r="T46" s="60" t="s">
        <v>85</v>
      </c>
      <c r="AJ46" s="60" t="s">
        <v>26</v>
      </c>
      <c r="AK46" s="60" t="s">
        <v>85</v>
      </c>
    </row>
    <row r="47" spans="1:37" s="47" customFormat="1">
      <c r="A47" s="156">
        <v>5</v>
      </c>
      <c r="B47" s="60" t="s">
        <v>85</v>
      </c>
      <c r="C47" s="58">
        <f>'2023年'!C47</f>
        <v>163.25</v>
      </c>
      <c r="D47" s="58">
        <f>'2023年'!D47</f>
        <v>128.25</v>
      </c>
      <c r="E47" s="58">
        <f>'2023年'!E47</f>
        <v>44</v>
      </c>
      <c r="F47" s="58">
        <f>'2023年'!F47</f>
        <v>39</v>
      </c>
      <c r="G47" s="58">
        <f>'2023年'!G47</f>
        <v>0</v>
      </c>
      <c r="H47" s="65"/>
      <c r="I47" s="65"/>
      <c r="T47" s="60" t="s">
        <v>85</v>
      </c>
      <c r="AJ47" s="60" t="s">
        <v>26</v>
      </c>
      <c r="AK47" s="60" t="s">
        <v>85</v>
      </c>
    </row>
    <row r="48" spans="1:37">
      <c r="A48" s="52" t="s">
        <v>78</v>
      </c>
      <c r="B48" s="55" t="s">
        <v>96</v>
      </c>
      <c r="C48" s="59">
        <f>C40-C43-C44-C45-C47-C46</f>
        <v>366.30176332455187</v>
      </c>
      <c r="D48" s="59">
        <f t="shared" ref="D48:H48" si="29">D40-D43-D44-D45-D47-D46</f>
        <v>175.72239752455141</v>
      </c>
      <c r="E48" s="59">
        <f t="shared" si="29"/>
        <v>-130.54569439077778</v>
      </c>
      <c r="F48" s="59">
        <f t="shared" si="29"/>
        <v>23.96059307113569</v>
      </c>
      <c r="G48" s="59" t="e">
        <f t="shared" si="29"/>
        <v>#DIV/0!</v>
      </c>
      <c r="H48" s="59" t="e">
        <f t="shared" si="29"/>
        <v>#DIV/0!</v>
      </c>
      <c r="I48" s="59"/>
      <c r="T48" s="55" t="s">
        <v>96</v>
      </c>
      <c r="AJ48" s="52" t="s">
        <v>95</v>
      </c>
      <c r="AK48" s="55" t="s">
        <v>96</v>
      </c>
    </row>
    <row r="51" spans="2:14">
      <c r="C51" s="66"/>
      <c r="D51" s="66"/>
      <c r="E51" s="66"/>
      <c r="F51" s="66"/>
      <c r="G51" s="66"/>
      <c r="H51" s="66"/>
    </row>
    <row r="54" spans="2:14">
      <c r="B54" s="67"/>
      <c r="C54" s="68"/>
      <c r="D54" s="68"/>
      <c r="E54" s="68"/>
      <c r="F54" s="68"/>
      <c r="G54" s="68"/>
      <c r="H54" s="68"/>
      <c r="I54" s="68"/>
      <c r="J54" s="67"/>
      <c r="K54" s="67"/>
      <c r="L54" s="67"/>
      <c r="M54" s="67"/>
      <c r="N54" s="67"/>
    </row>
    <row r="55" spans="2:14">
      <c r="B55" s="67"/>
      <c r="C55" s="68"/>
      <c r="D55" s="68"/>
      <c r="E55" s="68"/>
      <c r="F55" s="68"/>
      <c r="G55" s="68"/>
      <c r="H55" s="68"/>
      <c r="I55" s="68"/>
      <c r="J55" s="67"/>
      <c r="K55" s="67"/>
      <c r="L55" s="67"/>
      <c r="M55" s="67"/>
      <c r="N55" s="67"/>
    </row>
    <row r="56" spans="2:14">
      <c r="B56" s="67"/>
      <c r="C56" s="68"/>
      <c r="D56" s="68"/>
      <c r="E56" s="68"/>
      <c r="F56" s="68"/>
      <c r="G56" s="68"/>
      <c r="H56" s="68"/>
      <c r="I56" s="68"/>
      <c r="J56" s="67"/>
      <c r="K56" s="67"/>
      <c r="L56" s="67"/>
      <c r="M56" s="67"/>
      <c r="N56" s="67"/>
    </row>
    <row r="57" spans="2:14">
      <c r="B57" s="67"/>
      <c r="C57" s="68"/>
      <c r="D57" s="68"/>
      <c r="E57" s="68"/>
      <c r="F57" s="68"/>
      <c r="G57" s="68"/>
      <c r="H57" s="68"/>
      <c r="I57" s="68"/>
      <c r="J57" s="67"/>
      <c r="K57" s="67"/>
      <c r="L57" s="67"/>
      <c r="M57" s="67"/>
      <c r="N57" s="67"/>
    </row>
    <row r="58" spans="2:14">
      <c r="B58" s="67"/>
      <c r="C58" s="68"/>
      <c r="D58" s="68"/>
      <c r="E58" s="68"/>
      <c r="F58" s="68"/>
      <c r="G58" s="68"/>
      <c r="H58" s="68"/>
      <c r="I58" s="68"/>
      <c r="J58" s="67"/>
      <c r="K58" s="67"/>
      <c r="L58" s="67"/>
      <c r="M58" s="67"/>
      <c r="N58" s="67"/>
    </row>
    <row r="59" spans="2:14">
      <c r="B59" s="67"/>
      <c r="C59" s="68"/>
      <c r="D59" s="68"/>
      <c r="E59" s="68"/>
      <c r="F59" s="68"/>
      <c r="G59" s="68"/>
      <c r="H59" s="68"/>
      <c r="I59" s="68"/>
      <c r="J59" s="67"/>
      <c r="K59" s="67"/>
      <c r="L59" s="67"/>
      <c r="M59" s="67"/>
      <c r="N59" s="67"/>
    </row>
    <row r="60" spans="2:14">
      <c r="B60" s="67"/>
      <c r="C60" s="68"/>
      <c r="D60" s="68"/>
      <c r="E60" s="68"/>
      <c r="F60" s="68"/>
      <c r="G60" s="68"/>
      <c r="H60" s="68"/>
      <c r="I60" s="68"/>
      <c r="J60" s="67"/>
      <c r="K60" s="67"/>
      <c r="L60" s="67"/>
      <c r="M60" s="67"/>
      <c r="N60" s="67"/>
    </row>
    <row r="61" spans="2:14">
      <c r="B61" s="67"/>
      <c r="C61" s="68"/>
      <c r="D61" s="68"/>
      <c r="E61" s="68"/>
      <c r="F61" s="68"/>
      <c r="G61" s="68"/>
      <c r="H61" s="68"/>
      <c r="I61" s="68"/>
      <c r="J61" s="67"/>
      <c r="K61" s="67"/>
      <c r="L61" s="67"/>
      <c r="M61" s="67"/>
      <c r="N61" s="67"/>
    </row>
    <row r="62" spans="2:14">
      <c r="B62" s="67"/>
      <c r="C62" s="68"/>
      <c r="D62" s="68"/>
      <c r="E62" s="68"/>
      <c r="F62" s="68"/>
      <c r="G62" s="68"/>
      <c r="H62" s="68"/>
      <c r="I62" s="68"/>
      <c r="J62" s="67"/>
      <c r="K62" s="67"/>
      <c r="L62" s="67"/>
      <c r="M62" s="67"/>
      <c r="N62" s="67"/>
    </row>
    <row r="63" spans="2:14">
      <c r="B63" s="67"/>
      <c r="C63" s="68"/>
      <c r="D63" s="68"/>
      <c r="E63" s="68"/>
      <c r="F63" s="68"/>
      <c r="G63" s="68"/>
      <c r="H63" s="68"/>
      <c r="I63" s="68"/>
      <c r="J63" s="67"/>
      <c r="K63" s="67"/>
      <c r="L63" s="67"/>
      <c r="M63" s="67"/>
      <c r="N63" s="67"/>
    </row>
    <row r="64" spans="2:14">
      <c r="B64" s="67"/>
      <c r="C64" s="68"/>
      <c r="D64" s="68"/>
      <c r="E64" s="68"/>
      <c r="F64" s="68"/>
      <c r="G64" s="68"/>
      <c r="H64" s="68"/>
      <c r="I64" s="68"/>
      <c r="J64" s="67"/>
      <c r="K64" s="67"/>
      <c r="L64" s="67"/>
      <c r="M64" s="67"/>
      <c r="N64" s="67"/>
    </row>
    <row r="65" spans="2:14">
      <c r="B65" s="67"/>
      <c r="C65" s="68"/>
      <c r="D65" s="68"/>
      <c r="E65" s="68"/>
      <c r="F65" s="68"/>
      <c r="G65" s="68"/>
      <c r="H65" s="68"/>
      <c r="I65" s="68"/>
      <c r="J65" s="67"/>
      <c r="K65" s="67"/>
      <c r="L65" s="67"/>
      <c r="M65" s="67"/>
      <c r="N65" s="67"/>
    </row>
    <row r="66" spans="2:14">
      <c r="B66" s="67"/>
      <c r="C66" s="68"/>
      <c r="D66" s="68"/>
      <c r="E66" s="68"/>
      <c r="F66" s="68"/>
      <c r="G66" s="68"/>
      <c r="H66" s="68"/>
      <c r="I66" s="68"/>
      <c r="J66" s="67"/>
      <c r="K66" s="67"/>
      <c r="L66" s="67"/>
      <c r="M66" s="67"/>
      <c r="N66" s="67"/>
    </row>
    <row r="67" spans="2:14">
      <c r="B67" s="67"/>
      <c r="C67" s="68"/>
      <c r="D67" s="68"/>
      <c r="E67" s="68"/>
      <c r="F67" s="68"/>
      <c r="G67" s="68"/>
      <c r="H67" s="68"/>
      <c r="I67" s="68"/>
      <c r="J67" s="67"/>
    </row>
    <row r="68" spans="2:14">
      <c r="B68" s="67"/>
      <c r="C68" s="68"/>
      <c r="D68" s="68"/>
      <c r="E68" s="68"/>
      <c r="F68" s="68"/>
      <c r="G68" s="68"/>
      <c r="H68" s="68"/>
      <c r="I68" s="68"/>
      <c r="J68" s="67"/>
    </row>
    <row r="69" spans="2:14">
      <c r="B69" s="67"/>
      <c r="C69" s="68"/>
      <c r="D69" s="68"/>
      <c r="E69" s="68"/>
      <c r="F69" s="68"/>
      <c r="G69" s="68"/>
      <c r="H69" s="68"/>
      <c r="I69" s="68"/>
      <c r="J69" s="67"/>
    </row>
    <row r="70" spans="2:14">
      <c r="B70" s="67"/>
      <c r="C70" s="68"/>
      <c r="D70" s="68"/>
      <c r="E70" s="68"/>
      <c r="F70" s="68"/>
      <c r="G70" s="68"/>
      <c r="H70" s="68"/>
      <c r="I70" s="68"/>
      <c r="J70" s="67"/>
    </row>
    <row r="71" spans="2:14">
      <c r="B71" s="67"/>
      <c r="C71" s="68"/>
      <c r="D71" s="68"/>
      <c r="E71" s="68"/>
      <c r="F71" s="68"/>
      <c r="G71" s="68"/>
      <c r="H71" s="68"/>
      <c r="I71" s="68"/>
      <c r="J71" s="67"/>
    </row>
    <row r="72" spans="2:14">
      <c r="B72" s="67"/>
      <c r="C72" s="68"/>
      <c r="D72" s="68"/>
      <c r="E72" s="68"/>
      <c r="F72" s="68"/>
      <c r="G72" s="68"/>
      <c r="H72" s="68"/>
      <c r="I72" s="68"/>
      <c r="J72" s="67"/>
    </row>
    <row r="73" spans="2:14">
      <c r="B73" s="67"/>
      <c r="C73" s="68"/>
      <c r="D73" s="68"/>
      <c r="E73" s="68"/>
      <c r="F73" s="68"/>
      <c r="G73" s="68"/>
      <c r="H73" s="68"/>
      <c r="I73" s="68"/>
      <c r="J73" s="67"/>
    </row>
    <row r="74" spans="2:14">
      <c r="B74" s="67"/>
      <c r="C74" s="68"/>
      <c r="D74" s="68"/>
      <c r="E74" s="68"/>
      <c r="F74" s="68"/>
      <c r="G74" s="68"/>
      <c r="H74" s="68"/>
      <c r="I74" s="68"/>
      <c r="J74" s="67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C8" sqref="C8:H8"/>
    </sheetView>
  </sheetViews>
  <sheetFormatPr defaultColWidth="9" defaultRowHeight="16.5"/>
  <cols>
    <col min="1" max="1" width="5.125" style="48" customWidth="1"/>
    <col min="2" max="2" width="17.5" style="48" customWidth="1"/>
    <col min="3" max="8" width="13.25" style="49" customWidth="1"/>
    <col min="9" max="9" width="18.75" style="49" customWidth="1"/>
    <col min="10" max="10" width="12.375" style="48" customWidth="1"/>
    <col min="11" max="11" width="10.125" style="48" customWidth="1"/>
    <col min="12" max="18" width="9" style="48" customWidth="1"/>
    <col min="19" max="35" width="9" style="48"/>
    <col min="36" max="36" width="4.375" style="48" customWidth="1"/>
    <col min="37" max="37" width="13.875" style="48" customWidth="1"/>
    <col min="38" max="16384" width="9" style="48"/>
  </cols>
  <sheetData>
    <row r="1" spans="1:38">
      <c r="A1" s="217" t="s">
        <v>136</v>
      </c>
      <c r="B1" s="217"/>
      <c r="C1" s="221" t="s">
        <v>251</v>
      </c>
      <c r="D1" s="222"/>
      <c r="E1" s="222"/>
      <c r="F1" s="222"/>
      <c r="G1" s="222"/>
      <c r="H1" s="222"/>
      <c r="I1" s="223"/>
    </row>
    <row r="2" spans="1:38">
      <c r="A2" s="217" t="s">
        <v>137</v>
      </c>
      <c r="B2" s="217"/>
      <c r="C2" s="225" t="str">
        <f>'2023年'!C2:I2</f>
        <v>一汽解放</v>
      </c>
      <c r="D2" s="226"/>
      <c r="E2" s="226"/>
      <c r="F2" s="226"/>
      <c r="G2" s="226"/>
      <c r="H2" s="226"/>
      <c r="I2" s="227"/>
    </row>
    <row r="3" spans="1:38">
      <c r="A3" s="217" t="s">
        <v>138</v>
      </c>
      <c r="B3" s="217"/>
      <c r="C3" s="157" t="str">
        <f>'销量 附加值'!C5</f>
        <v>驾驶员座总成</v>
      </c>
      <c r="D3" s="157" t="str">
        <f>'销量 附加值'!D5</f>
        <v>驾驶员座总成</v>
      </c>
      <c r="E3" s="157" t="str">
        <f>'销量 附加值'!E5</f>
        <v>前座总成</v>
      </c>
      <c r="F3" s="157" t="str">
        <f>'销量 附加值'!F5</f>
        <v>前座总成</v>
      </c>
      <c r="G3" s="157">
        <f>'销量 附加值'!G5</f>
        <v>0</v>
      </c>
      <c r="H3" s="157">
        <f>'销量 附加值'!H5</f>
        <v>0</v>
      </c>
      <c r="I3" s="218" t="s">
        <v>14</v>
      </c>
    </row>
    <row r="4" spans="1:38" ht="16.5" customHeight="1">
      <c r="A4" s="217" t="s">
        <v>139</v>
      </c>
      <c r="B4" s="217"/>
      <c r="C4" s="157" t="str">
        <f>'销量 附加值'!C6</f>
        <v>/</v>
      </c>
      <c r="D4" s="157" t="str">
        <f>'销量 附加值'!D6</f>
        <v>/</v>
      </c>
      <c r="E4" s="157" t="str">
        <f>'销量 附加值'!E6</f>
        <v>/</v>
      </c>
      <c r="F4" s="157" t="str">
        <f>'销量 附加值'!F6</f>
        <v>/</v>
      </c>
      <c r="G4" s="157">
        <f>'销量 附加值'!G6</f>
        <v>0</v>
      </c>
      <c r="H4" s="157">
        <f>'销量 附加值'!H6</f>
        <v>0</v>
      </c>
      <c r="I4" s="219"/>
    </row>
    <row r="5" spans="1:38">
      <c r="A5" s="217" t="s">
        <v>140</v>
      </c>
      <c r="B5" s="217"/>
      <c r="C5" s="51"/>
      <c r="D5" s="51"/>
      <c r="E5" s="51"/>
      <c r="F5" s="51"/>
      <c r="G5" s="51"/>
      <c r="H5" s="51"/>
      <c r="I5" s="220"/>
      <c r="AL5" s="48" t="s">
        <v>15</v>
      </c>
    </row>
    <row r="6" spans="1:38" ht="17.25">
      <c r="A6" s="52" t="s">
        <v>13</v>
      </c>
      <c r="B6" s="53" t="s">
        <v>141</v>
      </c>
      <c r="C6" s="21">
        <f>'销量 附加值'!C12</f>
        <v>1000</v>
      </c>
      <c r="D6" s="21">
        <f>'销量 附加值'!D12</f>
        <v>2000</v>
      </c>
      <c r="E6" s="21">
        <f>'销量 附加值'!E12</f>
        <v>375</v>
      </c>
      <c r="F6" s="21">
        <f>'销量 附加值'!F12</f>
        <v>375</v>
      </c>
      <c r="G6" s="21">
        <f>'销量 附加值'!G12</f>
        <v>0</v>
      </c>
      <c r="H6" s="21">
        <f>'销量 附加值'!H12</f>
        <v>0</v>
      </c>
      <c r="I6" s="54">
        <f>SUM(C6:H6)</f>
        <v>3750</v>
      </c>
      <c r="T6" s="53" t="s">
        <v>3</v>
      </c>
      <c r="AJ6" s="52" t="s">
        <v>13</v>
      </c>
      <c r="AK6" s="53" t="s">
        <v>3</v>
      </c>
      <c r="AL6" s="48" t="s">
        <v>16</v>
      </c>
    </row>
    <row r="7" spans="1:38">
      <c r="A7" s="156">
        <v>1</v>
      </c>
      <c r="B7" s="53" t="s">
        <v>17</v>
      </c>
      <c r="C7" s="54">
        <f>C6*'销量 附加值'!C8</f>
        <v>3265000</v>
      </c>
      <c r="D7" s="54">
        <f>D6*'销量 附加值'!D8</f>
        <v>5130000</v>
      </c>
      <c r="E7" s="54">
        <f>E6*'销量 附加值'!E8</f>
        <v>330000</v>
      </c>
      <c r="F7" s="54">
        <f>F6*'销量 附加值'!F8</f>
        <v>292500</v>
      </c>
      <c r="G7" s="54">
        <f>G6*'销量 附加值'!G8</f>
        <v>0</v>
      </c>
      <c r="H7" s="54">
        <f>H6*'销量 附加值'!H8</f>
        <v>0</v>
      </c>
      <c r="I7" s="54">
        <f t="shared" ref="I7:I17" si="0">SUM(C7:H7)</f>
        <v>9017500</v>
      </c>
      <c r="J7" s="49"/>
      <c r="T7" s="53" t="s">
        <v>17</v>
      </c>
      <c r="AJ7" s="52" t="s">
        <v>18</v>
      </c>
      <c r="AK7" s="53" t="s">
        <v>17</v>
      </c>
      <c r="AL7" s="48" t="s">
        <v>16</v>
      </c>
    </row>
    <row r="8" spans="1:38">
      <c r="A8" s="156">
        <v>2</v>
      </c>
      <c r="B8" s="156" t="s">
        <v>19</v>
      </c>
      <c r="C8" s="54">
        <f>C7*(1-'销量 附加值'!$L$9)</f>
        <v>285122.6549999998</v>
      </c>
      <c r="D8" s="54">
        <f>D7*(1-'销量 附加值'!$L$9)</f>
        <v>447987.50999999966</v>
      </c>
      <c r="E8" s="54">
        <f>E7*(1-'销量 附加值'!$L$9)</f>
        <v>28817.909999999978</v>
      </c>
      <c r="F8" s="54">
        <f>F7*(1-'销量 附加值'!$L$9)</f>
        <v>25543.147499999981</v>
      </c>
      <c r="G8" s="54">
        <f>G7*(1-'销量 附加值'!$L$9)</f>
        <v>0</v>
      </c>
      <c r="H8" s="54">
        <f>H7*(1-'销量 附加值'!$L$9)</f>
        <v>0</v>
      </c>
      <c r="I8" s="54">
        <f t="shared" si="0"/>
        <v>787471.22249999945</v>
      </c>
      <c r="J8" s="69"/>
      <c r="T8" s="156" t="s">
        <v>21</v>
      </c>
      <c r="AJ8" s="52" t="s">
        <v>20</v>
      </c>
      <c r="AK8" s="156" t="s">
        <v>21</v>
      </c>
      <c r="AL8" s="48" t="s">
        <v>16</v>
      </c>
    </row>
    <row r="9" spans="1:38">
      <c r="A9" s="156">
        <v>3</v>
      </c>
      <c r="B9" s="53" t="s">
        <v>22</v>
      </c>
      <c r="C9" s="54">
        <f>+C7-C8</f>
        <v>2979877.3450000002</v>
      </c>
      <c r="D9" s="54">
        <f t="shared" ref="D9:H9" si="1">+D7-D8</f>
        <v>4682012.49</v>
      </c>
      <c r="E9" s="54">
        <f t="shared" si="1"/>
        <v>301182.09000000003</v>
      </c>
      <c r="F9" s="54">
        <f t="shared" si="1"/>
        <v>266956.85250000004</v>
      </c>
      <c r="G9" s="54">
        <f t="shared" si="1"/>
        <v>0</v>
      </c>
      <c r="H9" s="54">
        <f t="shared" si="1"/>
        <v>0</v>
      </c>
      <c r="I9" s="54">
        <f t="shared" si="0"/>
        <v>8230028.7775000008</v>
      </c>
      <c r="T9" s="53" t="s">
        <v>22</v>
      </c>
      <c r="AJ9" s="52" t="s">
        <v>23</v>
      </c>
      <c r="AK9" s="53" t="s">
        <v>22</v>
      </c>
      <c r="AL9" s="48" t="s">
        <v>24</v>
      </c>
    </row>
    <row r="10" spans="1:38">
      <c r="A10" s="156">
        <v>4</v>
      </c>
      <c r="B10" s="52" t="s">
        <v>25</v>
      </c>
      <c r="C10" s="54">
        <f>C6*C33</f>
        <v>2043809.0367974071</v>
      </c>
      <c r="D10" s="54">
        <f t="shared" ref="D10:H10" si="2">D6*D33</f>
        <v>3424583.0432468145</v>
      </c>
      <c r="E10" s="54">
        <f t="shared" si="2"/>
        <v>287389.62966797873</v>
      </c>
      <c r="F10" s="54">
        <f t="shared" si="2"/>
        <v>203524.78010370772</v>
      </c>
      <c r="G10" s="54">
        <f t="shared" si="2"/>
        <v>0</v>
      </c>
      <c r="H10" s="54">
        <f t="shared" si="2"/>
        <v>0</v>
      </c>
      <c r="I10" s="54">
        <f t="shared" si="0"/>
        <v>5959306.4898159076</v>
      </c>
      <c r="T10" s="52" t="s">
        <v>25</v>
      </c>
      <c r="AJ10" s="52" t="s">
        <v>26</v>
      </c>
      <c r="AK10" s="52" t="s">
        <v>25</v>
      </c>
      <c r="AL10" s="48" t="s">
        <v>27</v>
      </c>
    </row>
    <row r="11" spans="1:38">
      <c r="A11" s="156">
        <v>5</v>
      </c>
      <c r="B11" s="52" t="s">
        <v>28</v>
      </c>
      <c r="C11" s="54">
        <f>+C6*C36</f>
        <v>51260.499999999993</v>
      </c>
      <c r="D11" s="54">
        <f t="shared" ref="D11:H11" si="3">+D6*D36</f>
        <v>80541</v>
      </c>
      <c r="E11" s="54">
        <f t="shared" si="3"/>
        <v>5181</v>
      </c>
      <c r="F11" s="54">
        <f t="shared" si="3"/>
        <v>4592.2499999999991</v>
      </c>
      <c r="G11" s="54">
        <f t="shared" si="3"/>
        <v>0</v>
      </c>
      <c r="H11" s="54">
        <f t="shared" si="3"/>
        <v>0</v>
      </c>
      <c r="I11" s="54">
        <f t="shared" si="0"/>
        <v>141574.75</v>
      </c>
      <c r="T11" s="52" t="s">
        <v>28</v>
      </c>
      <c r="AJ11" s="52" t="s">
        <v>29</v>
      </c>
      <c r="AK11" s="52" t="s">
        <v>28</v>
      </c>
    </row>
    <row r="12" spans="1:38">
      <c r="A12" s="156">
        <v>6</v>
      </c>
      <c r="B12" s="52" t="s">
        <v>30</v>
      </c>
      <c r="C12" s="54">
        <f>+C6*C37</f>
        <v>12407</v>
      </c>
      <c r="D12" s="54">
        <f t="shared" ref="D12:H12" si="4">+D6*D37</f>
        <v>19494</v>
      </c>
      <c r="E12" s="54">
        <f t="shared" si="4"/>
        <v>1254</v>
      </c>
      <c r="F12" s="54">
        <f t="shared" si="4"/>
        <v>1111.5</v>
      </c>
      <c r="G12" s="54">
        <f t="shared" si="4"/>
        <v>0</v>
      </c>
      <c r="H12" s="54">
        <f t="shared" si="4"/>
        <v>0</v>
      </c>
      <c r="I12" s="54">
        <f t="shared" si="0"/>
        <v>34266.5</v>
      </c>
      <c r="T12" s="52" t="s">
        <v>30</v>
      </c>
      <c r="AJ12" s="52" t="s">
        <v>31</v>
      </c>
      <c r="AK12" s="52" t="s">
        <v>30</v>
      </c>
    </row>
    <row r="13" spans="1:38">
      <c r="A13" s="156">
        <v>7</v>
      </c>
      <c r="B13" s="52" t="s">
        <v>32</v>
      </c>
      <c r="C13" s="54">
        <f>+C6*C38</f>
        <v>83910.5</v>
      </c>
      <c r="D13" s="54">
        <f t="shared" ref="D13:H13" si="5">+D6*D38</f>
        <v>131841</v>
      </c>
      <c r="E13" s="54">
        <f t="shared" si="5"/>
        <v>8481</v>
      </c>
      <c r="F13" s="54">
        <f t="shared" si="5"/>
        <v>7517.25</v>
      </c>
      <c r="G13" s="54">
        <f t="shared" si="5"/>
        <v>0</v>
      </c>
      <c r="H13" s="54">
        <f t="shared" si="5"/>
        <v>0</v>
      </c>
      <c r="I13" s="54">
        <f t="shared" si="0"/>
        <v>231749.75</v>
      </c>
      <c r="T13" s="52" t="s">
        <v>32</v>
      </c>
      <c r="AJ13" s="52" t="s">
        <v>33</v>
      </c>
      <c r="AK13" s="52" t="s">
        <v>32</v>
      </c>
      <c r="AL13" s="48" t="s">
        <v>16</v>
      </c>
    </row>
    <row r="14" spans="1:38">
      <c r="A14" s="156">
        <v>8</v>
      </c>
      <c r="B14" s="55" t="s">
        <v>34</v>
      </c>
      <c r="C14" s="54">
        <f>SUM(C11:C13)</f>
        <v>147578</v>
      </c>
      <c r="D14" s="54">
        <f t="shared" ref="D14:H14" si="6">SUM(D11:D13)</f>
        <v>231876</v>
      </c>
      <c r="E14" s="54">
        <f t="shared" si="6"/>
        <v>14916</v>
      </c>
      <c r="F14" s="54">
        <f t="shared" si="6"/>
        <v>13221</v>
      </c>
      <c r="G14" s="54">
        <f t="shared" si="6"/>
        <v>0</v>
      </c>
      <c r="H14" s="54">
        <f t="shared" si="6"/>
        <v>0</v>
      </c>
      <c r="I14" s="54">
        <f t="shared" si="0"/>
        <v>407591</v>
      </c>
      <c r="T14" s="55" t="s">
        <v>34</v>
      </c>
      <c r="AJ14" s="52" t="s">
        <v>35</v>
      </c>
      <c r="AK14" s="55" t="s">
        <v>34</v>
      </c>
    </row>
    <row r="15" spans="1:38">
      <c r="A15" s="156">
        <v>9</v>
      </c>
      <c r="B15" s="55" t="s">
        <v>36</v>
      </c>
      <c r="C15" s="54">
        <f>+C9-C10-C14</f>
        <v>788490.30820259312</v>
      </c>
      <c r="D15" s="54">
        <f t="shared" ref="D15:H15" si="7">+D9-D10-D14</f>
        <v>1025553.4467531857</v>
      </c>
      <c r="E15" s="54">
        <f t="shared" si="7"/>
        <v>-1123.5396679787082</v>
      </c>
      <c r="F15" s="54">
        <f t="shared" si="7"/>
        <v>50211.072396292322</v>
      </c>
      <c r="G15" s="54">
        <f t="shared" si="7"/>
        <v>0</v>
      </c>
      <c r="H15" s="54">
        <f t="shared" si="7"/>
        <v>0</v>
      </c>
      <c r="I15" s="54">
        <f t="shared" si="0"/>
        <v>1863131.2876840925</v>
      </c>
      <c r="T15" s="55" t="s">
        <v>36</v>
      </c>
      <c r="AJ15" s="52" t="s">
        <v>37</v>
      </c>
      <c r="AK15" s="55" t="s">
        <v>36</v>
      </c>
    </row>
    <row r="16" spans="1:38">
      <c r="A16" s="156">
        <v>10</v>
      </c>
      <c r="B16" s="52" t="s">
        <v>38</v>
      </c>
      <c r="C16" s="56">
        <f>+C15/C9</f>
        <v>0.26460495413531626</v>
      </c>
      <c r="D16" s="56">
        <f t="shared" ref="D16:H16" si="8">+D15/D9</f>
        <v>0.21904115995922635</v>
      </c>
      <c r="E16" s="56">
        <f t="shared" si="8"/>
        <v>-3.7304332006551522E-3</v>
      </c>
      <c r="F16" s="56">
        <f t="shared" si="8"/>
        <v>0.18808684596808511</v>
      </c>
      <c r="G16" s="56" t="e">
        <f t="shared" si="8"/>
        <v>#DIV/0!</v>
      </c>
      <c r="H16" s="56" t="e">
        <f t="shared" si="8"/>
        <v>#DIV/0!</v>
      </c>
      <c r="I16" s="56">
        <f t="shared" ref="I16" si="9">+I15/I9</f>
        <v>0.22638211093230801</v>
      </c>
      <c r="T16" s="52" t="s">
        <v>38</v>
      </c>
      <c r="AJ16" s="52" t="s">
        <v>39</v>
      </c>
      <c r="AK16" s="52" t="s">
        <v>38</v>
      </c>
    </row>
    <row r="17" spans="1:38">
      <c r="A17" s="156">
        <v>11</v>
      </c>
      <c r="B17" s="52" t="s">
        <v>40</v>
      </c>
      <c r="C17" s="54">
        <f>C6*C43+C18</f>
        <v>202006.22222222225</v>
      </c>
      <c r="D17" s="54">
        <f t="shared" ref="D17:H17" si="10">D6*D43+D18</f>
        <v>337372.4444444445</v>
      </c>
      <c r="E17" s="54">
        <f t="shared" si="10"/>
        <v>33180.083333333336</v>
      </c>
      <c r="F17" s="54">
        <f t="shared" si="10"/>
        <v>31395.083333333336</v>
      </c>
      <c r="G17" s="54">
        <f t="shared" si="10"/>
        <v>0</v>
      </c>
      <c r="H17" s="54">
        <f t="shared" si="10"/>
        <v>0</v>
      </c>
      <c r="I17" s="54">
        <f t="shared" si="0"/>
        <v>603953.83333333349</v>
      </c>
      <c r="J17" s="69"/>
      <c r="T17" s="52" t="s">
        <v>40</v>
      </c>
      <c r="AJ17" s="52" t="s">
        <v>41</v>
      </c>
      <c r="AK17" s="52" t="s">
        <v>40</v>
      </c>
    </row>
    <row r="18" spans="1:38" s="46" customFormat="1">
      <c r="A18" s="156">
        <v>12</v>
      </c>
      <c r="B18" s="57" t="s">
        <v>142</v>
      </c>
      <c r="C18" s="58">
        <f>$I$18/$I$6*C6</f>
        <v>46592.222222222226</v>
      </c>
      <c r="D18" s="58">
        <f t="shared" ref="D18:H18" si="11">$I$18/$I$6*D6</f>
        <v>93184.444444444453</v>
      </c>
      <c r="E18" s="58">
        <f t="shared" si="11"/>
        <v>17472.083333333336</v>
      </c>
      <c r="F18" s="58">
        <f t="shared" si="11"/>
        <v>17472.083333333336</v>
      </c>
      <c r="G18" s="58">
        <f t="shared" si="11"/>
        <v>0</v>
      </c>
      <c r="H18" s="58">
        <f t="shared" si="11"/>
        <v>0</v>
      </c>
      <c r="I18" s="58">
        <f>项目投资!G26</f>
        <v>174720.83333333334</v>
      </c>
      <c r="J18" s="70" t="s">
        <v>143</v>
      </c>
      <c r="K18" s="70"/>
      <c r="L18" s="70"/>
    </row>
    <row r="19" spans="1:38">
      <c r="A19" s="156">
        <v>13</v>
      </c>
      <c r="B19" s="52" t="s">
        <v>42</v>
      </c>
      <c r="C19" s="54">
        <f>C6*C44</f>
        <v>24487.5</v>
      </c>
      <c r="D19" s="54">
        <f t="shared" ref="D19:H19" si="12">D6*D44</f>
        <v>38475</v>
      </c>
      <c r="E19" s="54">
        <f t="shared" si="12"/>
        <v>2475</v>
      </c>
      <c r="F19" s="54">
        <f t="shared" si="12"/>
        <v>2193.75</v>
      </c>
      <c r="G19" s="54">
        <f t="shared" si="12"/>
        <v>0</v>
      </c>
      <c r="H19" s="54">
        <f t="shared" si="12"/>
        <v>0</v>
      </c>
      <c r="I19" s="54">
        <f t="shared" ref="I19:I20" si="13">SUM(C19:H19)</f>
        <v>67631.25</v>
      </c>
      <c r="J19" s="46"/>
      <c r="T19" s="52" t="s">
        <v>42</v>
      </c>
      <c r="AJ19" s="52" t="s">
        <v>43</v>
      </c>
      <c r="AK19" s="52" t="s">
        <v>42</v>
      </c>
      <c r="AL19" s="48" t="s">
        <v>16</v>
      </c>
    </row>
    <row r="20" spans="1:38">
      <c r="A20" s="156">
        <v>14</v>
      </c>
      <c r="B20" s="52" t="s">
        <v>44</v>
      </c>
      <c r="C20" s="54">
        <f>C6*C45</f>
        <v>98276.5</v>
      </c>
      <c r="D20" s="54">
        <f t="shared" ref="D20:H20" si="14">D6*D45</f>
        <v>154412.99999999997</v>
      </c>
      <c r="E20" s="54">
        <f t="shared" si="14"/>
        <v>9933</v>
      </c>
      <c r="F20" s="54">
        <f t="shared" si="14"/>
        <v>8804.25</v>
      </c>
      <c r="G20" s="54">
        <f t="shared" si="14"/>
        <v>0</v>
      </c>
      <c r="H20" s="54">
        <f t="shared" si="14"/>
        <v>0</v>
      </c>
      <c r="I20" s="54">
        <f t="shared" si="13"/>
        <v>271426.75</v>
      </c>
      <c r="T20" s="52" t="s">
        <v>44</v>
      </c>
      <c r="AJ20" s="52" t="s">
        <v>45</v>
      </c>
      <c r="AK20" s="52" t="s">
        <v>44</v>
      </c>
    </row>
    <row r="21" spans="1:38">
      <c r="A21" s="156">
        <v>15</v>
      </c>
      <c r="B21" s="52" t="s">
        <v>46</v>
      </c>
      <c r="C21" s="59">
        <f>$I$21/$I$6*C6</f>
        <v>9711.1111111111095</v>
      </c>
      <c r="D21" s="59">
        <f t="shared" ref="D21:H21" si="15">$I$21/$I$6*D6</f>
        <v>19422.222222222219</v>
      </c>
      <c r="E21" s="59">
        <f t="shared" si="15"/>
        <v>3641.6666666666665</v>
      </c>
      <c r="F21" s="59">
        <f t="shared" si="15"/>
        <v>3641.6666666666665</v>
      </c>
      <c r="G21" s="59">
        <f t="shared" si="15"/>
        <v>0</v>
      </c>
      <c r="H21" s="59">
        <f t="shared" si="15"/>
        <v>0</v>
      </c>
      <c r="I21" s="54">
        <f>项目投资!G27</f>
        <v>36416.666666666664</v>
      </c>
      <c r="T21" s="52" t="s">
        <v>46</v>
      </c>
      <c r="AJ21" s="52"/>
      <c r="AK21" s="52"/>
    </row>
    <row r="22" spans="1:38">
      <c r="A22" s="156">
        <v>16</v>
      </c>
      <c r="B22" s="52" t="s">
        <v>47</v>
      </c>
      <c r="C22" s="54">
        <f>C6*C47</f>
        <v>163250</v>
      </c>
      <c r="D22" s="54">
        <f t="shared" ref="D22:H22" si="16">D6*D47</f>
        <v>256500</v>
      </c>
      <c r="E22" s="54">
        <f t="shared" si="16"/>
        <v>16500</v>
      </c>
      <c r="F22" s="54">
        <f t="shared" si="16"/>
        <v>14625</v>
      </c>
      <c r="G22" s="54">
        <f t="shared" si="16"/>
        <v>0</v>
      </c>
      <c r="H22" s="54">
        <f t="shared" si="16"/>
        <v>0</v>
      </c>
      <c r="I22" s="54">
        <f t="shared" ref="I22" si="17">SUM(C22:H22)</f>
        <v>450875</v>
      </c>
      <c r="T22" s="52" t="s">
        <v>47</v>
      </c>
      <c r="AJ22" s="52" t="s">
        <v>48</v>
      </c>
      <c r="AK22" s="52" t="s">
        <v>47</v>
      </c>
    </row>
    <row r="23" spans="1:38">
      <c r="A23" s="156">
        <v>17</v>
      </c>
      <c r="B23" s="55" t="s">
        <v>49</v>
      </c>
      <c r="C23" s="59">
        <f>+C22+C21+C20+C19+C17</f>
        <v>497731.33333333337</v>
      </c>
      <c r="D23" s="59">
        <f t="shared" ref="D23:H23" si="18">+D22+D21+D20+D19+D17</f>
        <v>806182.66666666674</v>
      </c>
      <c r="E23" s="59">
        <f t="shared" si="18"/>
        <v>65729.75</v>
      </c>
      <c r="F23" s="59">
        <f t="shared" si="18"/>
        <v>60659.75</v>
      </c>
      <c r="G23" s="59">
        <f t="shared" si="18"/>
        <v>0</v>
      </c>
      <c r="H23" s="59">
        <f t="shared" si="18"/>
        <v>0</v>
      </c>
      <c r="I23" s="59">
        <f t="shared" ref="I23" si="19">+I22+I21+I20+I19+I17</f>
        <v>1430303.5000000002</v>
      </c>
      <c r="T23" s="55" t="s">
        <v>49</v>
      </c>
      <c r="AJ23" s="52" t="s">
        <v>50</v>
      </c>
      <c r="AK23" s="55" t="s">
        <v>49</v>
      </c>
    </row>
    <row r="24" spans="1:38">
      <c r="A24" s="156">
        <v>18</v>
      </c>
      <c r="B24" s="60" t="s">
        <v>51</v>
      </c>
      <c r="C24" s="59">
        <f>+C15-C23</f>
        <v>290758.97486925975</v>
      </c>
      <c r="D24" s="59">
        <f t="shared" ref="D24:H24" si="20">+D15-D23</f>
        <v>219370.78008651896</v>
      </c>
      <c r="E24" s="59">
        <f t="shared" si="20"/>
        <v>-66853.289667978708</v>
      </c>
      <c r="F24" s="59">
        <f t="shared" si="20"/>
        <v>-10448.677603707678</v>
      </c>
      <c r="G24" s="59">
        <f t="shared" si="20"/>
        <v>0</v>
      </c>
      <c r="H24" s="59">
        <f t="shared" si="20"/>
        <v>0</v>
      </c>
      <c r="I24" s="59">
        <f t="shared" ref="I24" si="21">+I15-I23</f>
        <v>432827.7876840923</v>
      </c>
      <c r="K24" s="71"/>
      <c r="T24" s="52" t="s">
        <v>51</v>
      </c>
      <c r="AJ24" s="52" t="s">
        <v>52</v>
      </c>
      <c r="AK24" s="52" t="s">
        <v>51</v>
      </c>
    </row>
    <row r="25" spans="1:38">
      <c r="A25" s="156">
        <v>19</v>
      </c>
      <c r="B25" s="52" t="s">
        <v>144</v>
      </c>
      <c r="C25" s="59">
        <f>IF(C24&lt;0,0,C24*0.25)</f>
        <v>72689.743717314937</v>
      </c>
      <c r="D25" s="59">
        <f t="shared" ref="D25:I25" si="22">IF(D24&lt;0,0,D24*0.25)</f>
        <v>54842.695021629741</v>
      </c>
      <c r="E25" s="59">
        <f t="shared" si="22"/>
        <v>0</v>
      </c>
      <c r="F25" s="59">
        <f t="shared" si="22"/>
        <v>0</v>
      </c>
      <c r="G25" s="59">
        <f t="shared" si="22"/>
        <v>0</v>
      </c>
      <c r="H25" s="59">
        <f t="shared" si="22"/>
        <v>0</v>
      </c>
      <c r="I25" s="59">
        <f t="shared" si="22"/>
        <v>108206.94692102307</v>
      </c>
      <c r="J25" s="67"/>
      <c r="K25" s="67"/>
      <c r="L25" s="67"/>
      <c r="T25" s="52" t="s">
        <v>53</v>
      </c>
      <c r="AJ25" s="52" t="s">
        <v>54</v>
      </c>
      <c r="AK25" s="52" t="s">
        <v>53</v>
      </c>
    </row>
    <row r="26" spans="1:38">
      <c r="A26" s="156">
        <v>20</v>
      </c>
      <c r="B26" s="52" t="s">
        <v>55</v>
      </c>
      <c r="C26" s="59">
        <f t="shared" ref="C26:H26" si="23">C24-C25</f>
        <v>218069.23115194481</v>
      </c>
      <c r="D26" s="59">
        <f t="shared" si="23"/>
        <v>164528.08506488922</v>
      </c>
      <c r="E26" s="59">
        <f t="shared" si="23"/>
        <v>-66853.289667978708</v>
      </c>
      <c r="F26" s="59">
        <f t="shared" si="23"/>
        <v>-10448.677603707678</v>
      </c>
      <c r="G26" s="59">
        <f t="shared" si="23"/>
        <v>0</v>
      </c>
      <c r="H26" s="59">
        <f t="shared" si="23"/>
        <v>0</v>
      </c>
      <c r="I26" s="54">
        <f>+SUM(C26:H26)</f>
        <v>305295.34894514759</v>
      </c>
      <c r="J26" s="67"/>
      <c r="K26" s="67"/>
      <c r="L26" s="67"/>
      <c r="T26" s="52" t="s">
        <v>55</v>
      </c>
      <c r="AJ26" s="52" t="s">
        <v>56</v>
      </c>
      <c r="AK26" s="52" t="s">
        <v>55</v>
      </c>
    </row>
    <row r="27" spans="1:38">
      <c r="A27" s="156">
        <v>21</v>
      </c>
      <c r="B27" s="52" t="s">
        <v>59</v>
      </c>
      <c r="C27" s="61">
        <f t="shared" ref="C27:I27" si="24">C26/C7</f>
        <v>6.6789963599370533E-2</v>
      </c>
      <c r="D27" s="61">
        <f t="shared" ref="D27:H27" si="25">D26/D7</f>
        <v>3.2071751474637276E-2</v>
      </c>
      <c r="E27" s="61">
        <f t="shared" si="25"/>
        <v>-0.20258572626660215</v>
      </c>
      <c r="F27" s="61">
        <f t="shared" si="25"/>
        <v>-3.5721974713530523E-2</v>
      </c>
      <c r="G27" s="61" t="e">
        <f t="shared" si="25"/>
        <v>#DIV/0!</v>
      </c>
      <c r="H27" s="61" t="e">
        <f t="shared" si="25"/>
        <v>#DIV/0!</v>
      </c>
      <c r="I27" s="61">
        <f t="shared" si="24"/>
        <v>3.3855874571128097E-2</v>
      </c>
      <c r="J27" s="67"/>
      <c r="K27" s="67"/>
      <c r="L27" s="67"/>
      <c r="T27" s="52" t="s">
        <v>59</v>
      </c>
      <c r="AJ27" s="52" t="s">
        <v>58</v>
      </c>
      <c r="AK27" s="52" t="s">
        <v>59</v>
      </c>
    </row>
    <row r="28" spans="1:38">
      <c r="J28" s="67"/>
      <c r="K28" s="67"/>
      <c r="L28" s="67"/>
      <c r="T28" s="52"/>
    </row>
    <row r="29" spans="1:38">
      <c r="A29" s="48" t="s">
        <v>60</v>
      </c>
      <c r="I29" s="49" t="s">
        <v>145</v>
      </c>
      <c r="J29" s="67"/>
      <c r="K29" s="67"/>
      <c r="L29" s="67"/>
      <c r="T29" s="52"/>
      <c r="AJ29" s="48" t="s">
        <v>60</v>
      </c>
    </row>
    <row r="30" spans="1:38">
      <c r="A30" s="52" t="s">
        <v>61</v>
      </c>
      <c r="B30" s="55" t="s">
        <v>62</v>
      </c>
      <c r="C30" s="59"/>
      <c r="D30" s="59"/>
      <c r="E30" s="59"/>
      <c r="F30" s="59"/>
      <c r="G30" s="59"/>
      <c r="H30" s="59"/>
      <c r="I30" s="59"/>
      <c r="J30" s="67"/>
      <c r="K30" s="67"/>
      <c r="L30" s="67"/>
      <c r="N30" s="67"/>
      <c r="T30" s="55" t="s">
        <v>62</v>
      </c>
      <c r="AJ30" s="52" t="s">
        <v>63</v>
      </c>
      <c r="AK30" s="55" t="s">
        <v>62</v>
      </c>
    </row>
    <row r="31" spans="1:38">
      <c r="A31" s="156">
        <v>1</v>
      </c>
      <c r="B31" s="57" t="s">
        <v>64</v>
      </c>
      <c r="C31" s="63">
        <f>'销量 附加值'!C8</f>
        <v>3265</v>
      </c>
      <c r="D31" s="63">
        <f>'销量 附加值'!D8</f>
        <v>2565</v>
      </c>
      <c r="E31" s="63">
        <f>'销量 附加值'!E8</f>
        <v>880</v>
      </c>
      <c r="F31" s="63">
        <f>'销量 附加值'!F8</f>
        <v>780</v>
      </c>
      <c r="G31" s="63">
        <f>'销量 附加值'!G8</f>
        <v>0</v>
      </c>
      <c r="H31" s="63">
        <f>'销量 附加值'!H8</f>
        <v>0</v>
      </c>
      <c r="I31" s="59"/>
      <c r="J31" s="67"/>
      <c r="K31" s="67"/>
      <c r="L31" s="67"/>
      <c r="N31" s="67"/>
      <c r="T31" s="52" t="s">
        <v>64</v>
      </c>
      <c r="AJ31" s="52" t="s">
        <v>18</v>
      </c>
      <c r="AK31" s="52" t="s">
        <v>64</v>
      </c>
    </row>
    <row r="32" spans="1:38">
      <c r="A32" s="156">
        <v>2</v>
      </c>
      <c r="B32" s="52" t="s">
        <v>146</v>
      </c>
      <c r="C32" s="54">
        <f>C9/C6</f>
        <v>2979.8773450000003</v>
      </c>
      <c r="D32" s="54">
        <f t="shared" ref="D32:H32" si="26">D9/D6</f>
        <v>2341.006245</v>
      </c>
      <c r="E32" s="54">
        <f t="shared" si="26"/>
        <v>803.15224000000012</v>
      </c>
      <c r="F32" s="54">
        <f t="shared" si="26"/>
        <v>711.88494000000014</v>
      </c>
      <c r="G32" s="54" t="e">
        <f t="shared" si="26"/>
        <v>#DIV/0!</v>
      </c>
      <c r="H32" s="54" t="e">
        <f t="shared" si="26"/>
        <v>#DIV/0!</v>
      </c>
      <c r="I32" s="59"/>
      <c r="J32" s="67"/>
      <c r="K32" s="67"/>
      <c r="L32" s="67"/>
      <c r="M32" s="67"/>
      <c r="N32" s="67"/>
      <c r="O32" s="67"/>
      <c r="P32" s="67"/>
      <c r="AJ32" s="52"/>
      <c r="AK32" s="52"/>
    </row>
    <row r="33" spans="1:37">
      <c r="A33" s="156">
        <v>3</v>
      </c>
      <c r="B33" s="57" t="s">
        <v>65</v>
      </c>
      <c r="C33" s="54">
        <f>材料成本!D15</f>
        <v>2043.8090367974071</v>
      </c>
      <c r="D33" s="54">
        <f>材料成本!E15</f>
        <v>1712.2915216234073</v>
      </c>
      <c r="E33" s="54">
        <f>材料成本!F15</f>
        <v>766.37234578127664</v>
      </c>
      <c r="F33" s="54">
        <f>材料成本!G15</f>
        <v>542.7327469432206</v>
      </c>
      <c r="G33" s="54">
        <f>材料成本!H15</f>
        <v>0</v>
      </c>
      <c r="H33" s="54">
        <f>材料成本!I15</f>
        <v>0</v>
      </c>
      <c r="I33" s="59"/>
      <c r="K33" s="67"/>
      <c r="L33" s="67"/>
      <c r="M33" s="67"/>
      <c r="N33" s="67"/>
      <c r="O33" s="67"/>
      <c r="P33" s="67"/>
      <c r="T33" s="52" t="s">
        <v>65</v>
      </c>
      <c r="AJ33" s="52" t="s">
        <v>20</v>
      </c>
      <c r="AK33" s="52" t="s">
        <v>65</v>
      </c>
    </row>
    <row r="34" spans="1:37" ht="17.25" customHeight="1">
      <c r="A34" s="156">
        <v>4</v>
      </c>
      <c r="B34" s="52" t="s">
        <v>67</v>
      </c>
      <c r="C34" s="64">
        <f>C32-C33</f>
        <v>936.06830820259324</v>
      </c>
      <c r="D34" s="64">
        <f t="shared" ref="D34:H34" si="27">D32-D33</f>
        <v>628.7147233765927</v>
      </c>
      <c r="E34" s="64">
        <f t="shared" si="27"/>
        <v>36.779894218723484</v>
      </c>
      <c r="F34" s="64">
        <f t="shared" si="27"/>
        <v>169.15219305677954</v>
      </c>
      <c r="G34" s="64" t="e">
        <f t="shared" si="27"/>
        <v>#DIV/0!</v>
      </c>
      <c r="H34" s="64" t="e">
        <f t="shared" si="27"/>
        <v>#DIV/0!</v>
      </c>
      <c r="I34" s="59"/>
      <c r="K34" s="67"/>
      <c r="L34" s="67"/>
      <c r="M34" s="67"/>
      <c r="N34" s="67"/>
      <c r="O34" s="67"/>
      <c r="P34" s="67"/>
      <c r="T34" s="52" t="s">
        <v>67</v>
      </c>
      <c r="AJ34" s="52" t="s">
        <v>66</v>
      </c>
      <c r="AK34" s="52" t="s">
        <v>67</v>
      </c>
    </row>
    <row r="35" spans="1:37">
      <c r="A35" s="52" t="s">
        <v>63</v>
      </c>
      <c r="B35" s="55" t="s">
        <v>8</v>
      </c>
      <c r="C35" s="59"/>
      <c r="D35" s="59"/>
      <c r="E35" s="59"/>
      <c r="F35" s="59"/>
      <c r="G35" s="59"/>
      <c r="H35" s="59"/>
      <c r="I35" s="59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55" t="s">
        <v>8</v>
      </c>
      <c r="AJ35" s="52" t="s">
        <v>69</v>
      </c>
      <c r="AK35" s="55" t="s">
        <v>8</v>
      </c>
    </row>
    <row r="36" spans="1:37">
      <c r="A36" s="156">
        <v>1</v>
      </c>
      <c r="B36" s="52" t="s">
        <v>70</v>
      </c>
      <c r="C36" s="58">
        <f>'2023年'!C36</f>
        <v>51.260499999999993</v>
      </c>
      <c r="D36" s="58">
        <f>'2023年'!D36</f>
        <v>40.270499999999998</v>
      </c>
      <c r="E36" s="58">
        <f>'2023年'!E36</f>
        <v>13.815999999999999</v>
      </c>
      <c r="F36" s="58">
        <f>'2023年'!F36</f>
        <v>12.245999999999999</v>
      </c>
      <c r="G36" s="58">
        <f>'2023年'!G36</f>
        <v>0</v>
      </c>
      <c r="H36" s="58"/>
      <c r="I36" s="63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52" t="s">
        <v>70</v>
      </c>
      <c r="AJ36" s="52" t="s">
        <v>66</v>
      </c>
      <c r="AK36" s="52" t="s">
        <v>70</v>
      </c>
    </row>
    <row r="37" spans="1:37">
      <c r="A37" s="156">
        <v>2</v>
      </c>
      <c r="B37" s="52" t="s">
        <v>71</v>
      </c>
      <c r="C37" s="58">
        <f>'2023年'!C37</f>
        <v>12.407</v>
      </c>
      <c r="D37" s="58">
        <f>'2023年'!D37</f>
        <v>9.7469999999999999</v>
      </c>
      <c r="E37" s="58">
        <f>'2023年'!E37</f>
        <v>3.3439999999999999</v>
      </c>
      <c r="F37" s="58">
        <f>'2023年'!F37</f>
        <v>2.964</v>
      </c>
      <c r="G37" s="58">
        <f>'2023年'!G37</f>
        <v>0</v>
      </c>
      <c r="H37" s="58"/>
      <c r="I37" s="63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52" t="s">
        <v>71</v>
      </c>
      <c r="AJ37" s="52" t="s">
        <v>23</v>
      </c>
      <c r="AK37" s="52" t="s">
        <v>71</v>
      </c>
    </row>
    <row r="38" spans="1:37">
      <c r="A38" s="156">
        <v>3</v>
      </c>
      <c r="B38" s="52" t="s">
        <v>72</v>
      </c>
      <c r="C38" s="58">
        <f>'2023年'!C38</f>
        <v>83.910499999999999</v>
      </c>
      <c r="D38" s="58">
        <f>'2023年'!D38</f>
        <v>65.920500000000004</v>
      </c>
      <c r="E38" s="58">
        <f>'2023年'!E38</f>
        <v>22.616</v>
      </c>
      <c r="F38" s="58">
        <f>'2023年'!F38</f>
        <v>20.045999999999999</v>
      </c>
      <c r="G38" s="58">
        <f>'2023年'!G38</f>
        <v>0</v>
      </c>
      <c r="H38" s="58"/>
      <c r="I38" s="63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52" t="s">
        <v>72</v>
      </c>
      <c r="AJ38" s="52" t="s">
        <v>29</v>
      </c>
      <c r="AK38" s="52" t="s">
        <v>72</v>
      </c>
    </row>
    <row r="39" spans="1:37">
      <c r="A39" s="52" t="s">
        <v>69</v>
      </c>
      <c r="B39" s="55" t="s">
        <v>74</v>
      </c>
      <c r="C39" s="59"/>
      <c r="D39" s="59"/>
      <c r="E39" s="59"/>
      <c r="F39" s="59"/>
      <c r="G39" s="59"/>
      <c r="H39" s="59"/>
      <c r="I39" s="59"/>
      <c r="T39" s="55" t="s">
        <v>74</v>
      </c>
      <c r="AJ39" s="52" t="s">
        <v>73</v>
      </c>
      <c r="AK39" s="55" t="s">
        <v>74</v>
      </c>
    </row>
    <row r="40" spans="1:37">
      <c r="A40" s="156">
        <v>1</v>
      </c>
      <c r="B40" s="52" t="s">
        <v>76</v>
      </c>
      <c r="C40" s="59">
        <f>C34-C36-C37-C38</f>
        <v>788.49030820259327</v>
      </c>
      <c r="D40" s="59">
        <f t="shared" ref="D40:H40" si="28">D34-D36-D37-D38</f>
        <v>512.77672337659283</v>
      </c>
      <c r="E40" s="59">
        <f t="shared" si="28"/>
        <v>-2.9961057812765155</v>
      </c>
      <c r="F40" s="59">
        <f t="shared" si="28"/>
        <v>133.89619305677954</v>
      </c>
      <c r="G40" s="59" t="e">
        <f t="shared" si="28"/>
        <v>#DIV/0!</v>
      </c>
      <c r="H40" s="59" t="e">
        <f t="shared" si="28"/>
        <v>#DIV/0!</v>
      </c>
      <c r="I40" s="59"/>
      <c r="T40" s="52" t="s">
        <v>76</v>
      </c>
      <c r="AJ40" s="52" t="s">
        <v>18</v>
      </c>
      <c r="AK40" s="52" t="s">
        <v>76</v>
      </c>
    </row>
    <row r="41" spans="1:37">
      <c r="A41" s="156">
        <v>2</v>
      </c>
      <c r="B41" s="52" t="s">
        <v>77</v>
      </c>
      <c r="C41" s="59"/>
      <c r="D41" s="59"/>
      <c r="E41" s="59"/>
      <c r="F41" s="59"/>
      <c r="G41" s="59"/>
      <c r="H41" s="59"/>
      <c r="I41" s="59"/>
      <c r="T41" s="52" t="s">
        <v>77</v>
      </c>
      <c r="AJ41" s="52" t="s">
        <v>20</v>
      </c>
      <c r="AK41" s="52" t="s">
        <v>77</v>
      </c>
    </row>
    <row r="42" spans="1:37">
      <c r="A42" s="52" t="s">
        <v>73</v>
      </c>
      <c r="B42" s="55" t="s">
        <v>79</v>
      </c>
      <c r="C42" s="59"/>
      <c r="D42" s="59"/>
      <c r="E42" s="59"/>
      <c r="F42" s="59"/>
      <c r="G42" s="59"/>
      <c r="H42" s="59"/>
      <c r="I42" s="59"/>
      <c r="T42" s="55" t="s">
        <v>79</v>
      </c>
      <c r="AJ42" s="52" t="s">
        <v>78</v>
      </c>
      <c r="AK42" s="55" t="s">
        <v>79</v>
      </c>
    </row>
    <row r="43" spans="1:37">
      <c r="A43" s="156">
        <v>1</v>
      </c>
      <c r="B43" s="60" t="s">
        <v>80</v>
      </c>
      <c r="C43" s="58">
        <f>'2023年'!C43</f>
        <v>155.41400000000002</v>
      </c>
      <c r="D43" s="58">
        <f>'2023年'!D43</f>
        <v>122.09400000000001</v>
      </c>
      <c r="E43" s="58">
        <f>'2023年'!E43</f>
        <v>41.888000000000005</v>
      </c>
      <c r="F43" s="58">
        <f>'2023年'!F43</f>
        <v>37.128</v>
      </c>
      <c r="G43" s="58">
        <f>'2023年'!G43</f>
        <v>0</v>
      </c>
      <c r="H43" s="58"/>
      <c r="I43" s="59"/>
      <c r="T43" s="52" t="s">
        <v>80</v>
      </c>
      <c r="AJ43" s="52" t="s">
        <v>18</v>
      </c>
      <c r="AK43" s="52" t="s">
        <v>80</v>
      </c>
    </row>
    <row r="44" spans="1:37">
      <c r="A44" s="156">
        <v>2</v>
      </c>
      <c r="B44" s="60" t="s">
        <v>81</v>
      </c>
      <c r="C44" s="58">
        <f>'2023年'!C44</f>
        <v>24.487500000000001</v>
      </c>
      <c r="D44" s="58">
        <f>'2023年'!D44</f>
        <v>19.237500000000001</v>
      </c>
      <c r="E44" s="58">
        <f>'2023年'!E44</f>
        <v>6.6</v>
      </c>
      <c r="F44" s="58">
        <f>'2023年'!F44</f>
        <v>5.85</v>
      </c>
      <c r="G44" s="58">
        <f>'2023年'!G44</f>
        <v>0</v>
      </c>
      <c r="H44" s="58"/>
      <c r="I44" s="59"/>
      <c r="T44" s="52" t="s">
        <v>81</v>
      </c>
      <c r="AJ44" s="52" t="s">
        <v>20</v>
      </c>
      <c r="AK44" s="52" t="s">
        <v>81</v>
      </c>
    </row>
    <row r="45" spans="1:37">
      <c r="A45" s="156">
        <v>3</v>
      </c>
      <c r="B45" s="60" t="s">
        <v>82</v>
      </c>
      <c r="C45" s="58">
        <f>'2023年'!C45</f>
        <v>98.276499999999999</v>
      </c>
      <c r="D45" s="58">
        <f>'2023年'!D45</f>
        <v>77.206499999999991</v>
      </c>
      <c r="E45" s="58">
        <f>'2023年'!E45</f>
        <v>26.488</v>
      </c>
      <c r="F45" s="58">
        <f>'2023年'!F45</f>
        <v>23.477999999999998</v>
      </c>
      <c r="G45" s="58">
        <f>'2023年'!G45</f>
        <v>0</v>
      </c>
      <c r="H45" s="58"/>
      <c r="I45" s="59"/>
      <c r="T45" s="52" t="s">
        <v>82</v>
      </c>
      <c r="AJ45" s="52" t="s">
        <v>66</v>
      </c>
      <c r="AK45" s="52" t="s">
        <v>82</v>
      </c>
    </row>
    <row r="46" spans="1:37" s="47" customFormat="1">
      <c r="A46" s="156">
        <v>4</v>
      </c>
      <c r="B46" s="60" t="s">
        <v>83</v>
      </c>
      <c r="C46" s="65">
        <f>C21/C6</f>
        <v>9.7111111111111104</v>
      </c>
      <c r="D46" s="65">
        <f t="shared" ref="D46:H46" si="29">D21/D6</f>
        <v>9.7111111111111104</v>
      </c>
      <c r="E46" s="65">
        <f t="shared" si="29"/>
        <v>9.7111111111111104</v>
      </c>
      <c r="F46" s="65">
        <f t="shared" si="29"/>
        <v>9.7111111111111104</v>
      </c>
      <c r="G46" s="65" t="e">
        <f t="shared" si="29"/>
        <v>#DIV/0!</v>
      </c>
      <c r="H46" s="65" t="e">
        <f t="shared" si="29"/>
        <v>#DIV/0!</v>
      </c>
      <c r="I46" s="65"/>
      <c r="T46" s="60" t="s">
        <v>85</v>
      </c>
      <c r="AJ46" s="60" t="s">
        <v>26</v>
      </c>
      <c r="AK46" s="60" t="s">
        <v>85</v>
      </c>
    </row>
    <row r="47" spans="1:37" s="47" customFormat="1">
      <c r="A47" s="156">
        <v>5</v>
      </c>
      <c r="B47" s="60" t="s">
        <v>85</v>
      </c>
      <c r="C47" s="58">
        <f>'2023年'!C47</f>
        <v>163.25</v>
      </c>
      <c r="D47" s="58">
        <f>'2023年'!D47</f>
        <v>128.25</v>
      </c>
      <c r="E47" s="58">
        <f>'2023年'!E47</f>
        <v>44</v>
      </c>
      <c r="F47" s="58">
        <f>'2023年'!F47</f>
        <v>39</v>
      </c>
      <c r="G47" s="58">
        <f>'2023年'!G47</f>
        <v>0</v>
      </c>
      <c r="H47" s="65"/>
      <c r="I47" s="65"/>
      <c r="T47" s="60" t="s">
        <v>85</v>
      </c>
      <c r="AJ47" s="60" t="s">
        <v>26</v>
      </c>
      <c r="AK47" s="60" t="s">
        <v>85</v>
      </c>
    </row>
    <row r="48" spans="1:37">
      <c r="A48" s="52" t="s">
        <v>78</v>
      </c>
      <c r="B48" s="55" t="s">
        <v>96</v>
      </c>
      <c r="C48" s="59">
        <f>C40-C43-C44-C45-C47-C46</f>
        <v>337.35119709148222</v>
      </c>
      <c r="D48" s="59">
        <f t="shared" ref="D48:H48" si="30">D40-D43-D44-D45-D47-D46</f>
        <v>156.27761226548171</v>
      </c>
      <c r="E48" s="59">
        <f t="shared" si="30"/>
        <v>-131.68321689238763</v>
      </c>
      <c r="F48" s="59">
        <f t="shared" si="30"/>
        <v>18.72908194566844</v>
      </c>
      <c r="G48" s="59" t="e">
        <f t="shared" si="30"/>
        <v>#DIV/0!</v>
      </c>
      <c r="H48" s="59" t="e">
        <f t="shared" si="30"/>
        <v>#DIV/0!</v>
      </c>
      <c r="I48" s="59"/>
      <c r="T48" s="55" t="s">
        <v>96</v>
      </c>
      <c r="AJ48" s="52" t="s">
        <v>95</v>
      </c>
      <c r="AK48" s="55" t="s">
        <v>96</v>
      </c>
    </row>
    <row r="51" spans="2:14">
      <c r="C51" s="66"/>
      <c r="D51" s="66"/>
      <c r="E51" s="66"/>
      <c r="F51" s="66"/>
      <c r="G51" s="66"/>
      <c r="H51" s="66"/>
    </row>
    <row r="54" spans="2:14">
      <c r="B54" s="67"/>
      <c r="C54" s="68"/>
      <c r="D54" s="68"/>
      <c r="E54" s="68"/>
      <c r="F54" s="68"/>
      <c r="G54" s="68"/>
      <c r="H54" s="68"/>
      <c r="I54" s="68"/>
      <c r="J54" s="67"/>
      <c r="K54" s="67"/>
      <c r="L54" s="67"/>
      <c r="M54" s="67"/>
      <c r="N54" s="67"/>
    </row>
    <row r="55" spans="2:14">
      <c r="B55" s="67"/>
      <c r="C55" s="68"/>
      <c r="D55" s="68"/>
      <c r="E55" s="68"/>
      <c r="F55" s="68"/>
      <c r="G55" s="68"/>
      <c r="H55" s="68"/>
      <c r="I55" s="68"/>
      <c r="J55" s="67"/>
      <c r="K55" s="67"/>
      <c r="L55" s="67"/>
      <c r="M55" s="67"/>
      <c r="N55" s="67"/>
    </row>
    <row r="56" spans="2:14">
      <c r="B56" s="67"/>
      <c r="C56" s="68"/>
      <c r="D56" s="68"/>
      <c r="E56" s="68"/>
      <c r="F56" s="68"/>
      <c r="G56" s="68"/>
      <c r="H56" s="68"/>
      <c r="I56" s="68"/>
      <c r="J56" s="67"/>
      <c r="K56" s="67"/>
      <c r="L56" s="67"/>
      <c r="M56" s="67"/>
      <c r="N56" s="67"/>
    </row>
    <row r="57" spans="2:14">
      <c r="B57" s="67"/>
      <c r="C57" s="68"/>
      <c r="D57" s="68"/>
      <c r="E57" s="68"/>
      <c r="F57" s="68"/>
      <c r="G57" s="68"/>
      <c r="H57" s="68"/>
      <c r="I57" s="68"/>
      <c r="J57" s="67"/>
      <c r="K57" s="67"/>
      <c r="L57" s="67"/>
      <c r="M57" s="67"/>
      <c r="N57" s="67"/>
    </row>
    <row r="58" spans="2:14">
      <c r="B58" s="67"/>
      <c r="C58" s="68"/>
      <c r="D58" s="68"/>
      <c r="E58" s="68"/>
      <c r="F58" s="68"/>
      <c r="G58" s="68"/>
      <c r="H58" s="68"/>
      <c r="I58" s="68"/>
      <c r="J58" s="67"/>
      <c r="K58" s="67"/>
      <c r="L58" s="67"/>
      <c r="M58" s="67"/>
      <c r="N58" s="67"/>
    </row>
    <row r="59" spans="2:14">
      <c r="B59" s="67"/>
      <c r="C59" s="68"/>
      <c r="D59" s="68"/>
      <c r="E59" s="68"/>
      <c r="F59" s="68"/>
      <c r="G59" s="68"/>
      <c r="H59" s="68"/>
      <c r="I59" s="68"/>
      <c r="J59" s="67"/>
      <c r="K59" s="67"/>
      <c r="L59" s="67"/>
      <c r="M59" s="67"/>
      <c r="N59" s="67"/>
    </row>
    <row r="60" spans="2:14">
      <c r="B60" s="67"/>
      <c r="C60" s="68"/>
      <c r="D60" s="68"/>
      <c r="E60" s="68"/>
      <c r="F60" s="68"/>
      <c r="G60" s="68"/>
      <c r="H60" s="68"/>
      <c r="I60" s="68"/>
      <c r="J60" s="67"/>
      <c r="K60" s="67"/>
      <c r="L60" s="67"/>
      <c r="M60" s="67"/>
      <c r="N60" s="67"/>
    </row>
    <row r="61" spans="2:14">
      <c r="B61" s="67"/>
      <c r="C61" s="68"/>
      <c r="D61" s="68"/>
      <c r="E61" s="68"/>
      <c r="F61" s="68"/>
      <c r="G61" s="68"/>
      <c r="H61" s="68"/>
      <c r="I61" s="68"/>
      <c r="J61" s="67"/>
      <c r="K61" s="67"/>
      <c r="L61" s="67"/>
      <c r="M61" s="67"/>
      <c r="N61" s="67"/>
    </row>
    <row r="62" spans="2:14">
      <c r="B62" s="67"/>
      <c r="C62" s="68"/>
      <c r="D62" s="68"/>
      <c r="E62" s="68"/>
      <c r="F62" s="68"/>
      <c r="G62" s="68"/>
      <c r="H62" s="68"/>
      <c r="I62" s="68"/>
      <c r="J62" s="67"/>
      <c r="K62" s="67"/>
      <c r="L62" s="67"/>
      <c r="M62" s="67"/>
      <c r="N62" s="67"/>
    </row>
    <row r="63" spans="2:14">
      <c r="B63" s="67"/>
      <c r="C63" s="68"/>
      <c r="D63" s="68"/>
      <c r="E63" s="68"/>
      <c r="F63" s="68"/>
      <c r="G63" s="68"/>
      <c r="H63" s="68"/>
      <c r="I63" s="68"/>
      <c r="J63" s="67"/>
      <c r="K63" s="67"/>
      <c r="L63" s="67"/>
      <c r="M63" s="67"/>
      <c r="N63" s="67"/>
    </row>
    <row r="64" spans="2:14">
      <c r="B64" s="67"/>
      <c r="C64" s="68"/>
      <c r="D64" s="68"/>
      <c r="E64" s="68"/>
      <c r="F64" s="68"/>
      <c r="G64" s="68"/>
      <c r="H64" s="68"/>
      <c r="I64" s="68"/>
      <c r="J64" s="67"/>
      <c r="K64" s="67"/>
      <c r="L64" s="67"/>
      <c r="M64" s="67"/>
      <c r="N64" s="67"/>
    </row>
    <row r="65" spans="2:14">
      <c r="B65" s="67"/>
      <c r="C65" s="68"/>
      <c r="D65" s="68"/>
      <c r="E65" s="68"/>
      <c r="F65" s="68"/>
      <c r="G65" s="68"/>
      <c r="H65" s="68"/>
      <c r="I65" s="68"/>
      <c r="J65" s="67"/>
      <c r="K65" s="67"/>
      <c r="L65" s="67"/>
      <c r="M65" s="67"/>
      <c r="N65" s="67"/>
    </row>
    <row r="66" spans="2:14">
      <c r="B66" s="67"/>
      <c r="C66" s="68"/>
      <c r="D66" s="68"/>
      <c r="E66" s="68"/>
      <c r="F66" s="68"/>
      <c r="G66" s="68"/>
      <c r="H66" s="68"/>
      <c r="I66" s="68"/>
      <c r="J66" s="67"/>
      <c r="K66" s="67"/>
      <c r="L66" s="67"/>
      <c r="M66" s="67"/>
      <c r="N66" s="67"/>
    </row>
    <row r="67" spans="2:14">
      <c r="B67" s="67"/>
      <c r="C67" s="68"/>
      <c r="D67" s="68"/>
      <c r="E67" s="68"/>
      <c r="F67" s="68"/>
      <c r="G67" s="68"/>
      <c r="H67" s="68"/>
      <c r="I67" s="68"/>
      <c r="J67" s="67"/>
    </row>
    <row r="68" spans="2:14">
      <c r="B68" s="67"/>
      <c r="C68" s="68"/>
      <c r="D68" s="68"/>
      <c r="E68" s="68"/>
      <c r="F68" s="68"/>
      <c r="G68" s="68"/>
      <c r="H68" s="68"/>
      <c r="I68" s="68"/>
      <c r="J68" s="67"/>
    </row>
    <row r="69" spans="2:14">
      <c r="B69" s="67"/>
      <c r="C69" s="68"/>
      <c r="D69" s="68"/>
      <c r="E69" s="68"/>
      <c r="F69" s="68"/>
      <c r="G69" s="68"/>
      <c r="H69" s="68"/>
      <c r="I69" s="68"/>
      <c r="J69" s="67"/>
    </row>
    <row r="70" spans="2:14">
      <c r="B70" s="67"/>
      <c r="C70" s="68"/>
      <c r="D70" s="68"/>
      <c r="E70" s="68"/>
      <c r="F70" s="68"/>
      <c r="G70" s="68"/>
      <c r="H70" s="68"/>
      <c r="I70" s="68"/>
      <c r="J70" s="67"/>
    </row>
    <row r="71" spans="2:14">
      <c r="B71" s="67"/>
      <c r="C71" s="68"/>
      <c r="D71" s="68"/>
      <c r="E71" s="68"/>
      <c r="F71" s="68"/>
      <c r="G71" s="68"/>
      <c r="H71" s="68"/>
      <c r="I71" s="68"/>
      <c r="J71" s="67"/>
    </row>
    <row r="72" spans="2:14">
      <c r="B72" s="67"/>
      <c r="C72" s="68"/>
      <c r="D72" s="68"/>
      <c r="E72" s="68"/>
      <c r="F72" s="68"/>
      <c r="G72" s="68"/>
      <c r="H72" s="68"/>
      <c r="I72" s="68"/>
      <c r="J72" s="67"/>
    </row>
    <row r="73" spans="2:14">
      <c r="B73" s="67"/>
      <c r="C73" s="68"/>
      <c r="D73" s="68"/>
      <c r="E73" s="68"/>
      <c r="F73" s="68"/>
      <c r="G73" s="68"/>
      <c r="H73" s="68"/>
      <c r="I73" s="68"/>
      <c r="J73" s="67"/>
    </row>
    <row r="74" spans="2:14">
      <c r="B74" s="67"/>
      <c r="C74" s="68"/>
      <c r="D74" s="68"/>
      <c r="E74" s="68"/>
      <c r="F74" s="68"/>
      <c r="G74" s="68"/>
      <c r="H74" s="68"/>
      <c r="I74" s="68"/>
      <c r="J74" s="67"/>
    </row>
  </sheetData>
  <mergeCells count="8">
    <mergeCell ref="I3:I5"/>
    <mergeCell ref="C2:I2"/>
    <mergeCell ref="C1:I1"/>
    <mergeCell ref="A1:B1"/>
    <mergeCell ref="A2:B2"/>
    <mergeCell ref="A3:B3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C8" sqref="C8:H8"/>
    </sheetView>
  </sheetViews>
  <sheetFormatPr defaultColWidth="9" defaultRowHeight="16.5"/>
  <cols>
    <col min="1" max="1" width="5.125" style="48" customWidth="1"/>
    <col min="2" max="2" width="17.5" style="48" customWidth="1"/>
    <col min="3" max="8" width="13.25" style="49" customWidth="1"/>
    <col min="9" max="9" width="18.75" style="49" customWidth="1"/>
    <col min="10" max="10" width="12.375" style="48" customWidth="1"/>
    <col min="11" max="11" width="10.125" style="48" customWidth="1"/>
    <col min="12" max="18" width="9" style="48" customWidth="1"/>
    <col min="19" max="35" width="9" style="48"/>
    <col min="36" max="36" width="4.375" style="48" customWidth="1"/>
    <col min="37" max="37" width="13.875" style="48" customWidth="1"/>
    <col min="38" max="16384" width="9" style="48"/>
  </cols>
  <sheetData>
    <row r="1" spans="1:38">
      <c r="A1" s="217" t="s">
        <v>136</v>
      </c>
      <c r="B1" s="217"/>
      <c r="C1" s="221" t="s">
        <v>252</v>
      </c>
      <c r="D1" s="222"/>
      <c r="E1" s="222"/>
      <c r="F1" s="222"/>
      <c r="G1" s="222"/>
      <c r="H1" s="222"/>
      <c r="I1" s="223"/>
    </row>
    <row r="2" spans="1:38">
      <c r="A2" s="217" t="s">
        <v>137</v>
      </c>
      <c r="B2" s="217"/>
      <c r="C2" s="224" t="str">
        <f>'2023年'!C2:I2</f>
        <v>一汽解放</v>
      </c>
      <c r="D2" s="224"/>
      <c r="E2" s="224"/>
      <c r="F2" s="224"/>
      <c r="G2" s="224"/>
      <c r="H2" s="224"/>
      <c r="I2" s="224"/>
    </row>
    <row r="3" spans="1:38">
      <c r="A3" s="217" t="s">
        <v>138</v>
      </c>
      <c r="B3" s="217"/>
      <c r="C3" s="157" t="str">
        <f>'销量 附加值'!C5</f>
        <v>驾驶员座总成</v>
      </c>
      <c r="D3" s="157" t="str">
        <f>'销量 附加值'!D5</f>
        <v>驾驶员座总成</v>
      </c>
      <c r="E3" s="157" t="str">
        <f>'销量 附加值'!E5</f>
        <v>前座总成</v>
      </c>
      <c r="F3" s="157" t="str">
        <f>'销量 附加值'!F5</f>
        <v>前座总成</v>
      </c>
      <c r="G3" s="157">
        <f>'销量 附加值'!G5</f>
        <v>0</v>
      </c>
      <c r="H3" s="157">
        <f>'销量 附加值'!H5</f>
        <v>0</v>
      </c>
      <c r="I3" s="218" t="s">
        <v>14</v>
      </c>
    </row>
    <row r="4" spans="1:38">
      <c r="A4" s="217" t="s">
        <v>139</v>
      </c>
      <c r="B4" s="217"/>
      <c r="C4" s="157" t="str">
        <f>'销量 附加值'!C6</f>
        <v>/</v>
      </c>
      <c r="D4" s="157" t="str">
        <f>'销量 附加值'!D6</f>
        <v>/</v>
      </c>
      <c r="E4" s="157" t="str">
        <f>'销量 附加值'!E6</f>
        <v>/</v>
      </c>
      <c r="F4" s="157" t="str">
        <f>'销量 附加值'!F6</f>
        <v>/</v>
      </c>
      <c r="G4" s="157">
        <f>'销量 附加值'!G6</f>
        <v>0</v>
      </c>
      <c r="H4" s="157">
        <f>'销量 附加值'!H6</f>
        <v>0</v>
      </c>
      <c r="I4" s="219"/>
    </row>
    <row r="5" spans="1:38">
      <c r="A5" s="217" t="s">
        <v>140</v>
      </c>
      <c r="B5" s="217"/>
      <c r="C5" s="51"/>
      <c r="D5" s="51"/>
      <c r="E5" s="51"/>
      <c r="F5" s="51"/>
      <c r="G5" s="51"/>
      <c r="H5" s="51"/>
      <c r="I5" s="220"/>
      <c r="AL5" s="48" t="s">
        <v>15</v>
      </c>
    </row>
    <row r="6" spans="1:38" ht="17.25">
      <c r="A6" s="52" t="s">
        <v>13</v>
      </c>
      <c r="B6" s="53" t="s">
        <v>141</v>
      </c>
      <c r="C6" s="21">
        <f>'销量 附加值'!C13</f>
        <v>1000</v>
      </c>
      <c r="D6" s="21">
        <f>'销量 附加值'!D13</f>
        <v>2000</v>
      </c>
      <c r="E6" s="21">
        <f>'销量 附加值'!E13</f>
        <v>375</v>
      </c>
      <c r="F6" s="21">
        <f>'销量 附加值'!F13</f>
        <v>375</v>
      </c>
      <c r="G6" s="21">
        <f>'销量 附加值'!G13</f>
        <v>0</v>
      </c>
      <c r="H6" s="21">
        <f>'销量 附加值'!H13</f>
        <v>0</v>
      </c>
      <c r="I6" s="54">
        <f>SUM(C6:H6)</f>
        <v>3750</v>
      </c>
      <c r="T6" s="53" t="s">
        <v>3</v>
      </c>
      <c r="AJ6" s="52" t="s">
        <v>13</v>
      </c>
      <c r="AK6" s="53" t="s">
        <v>3</v>
      </c>
      <c r="AL6" s="48" t="s">
        <v>16</v>
      </c>
    </row>
    <row r="7" spans="1:38">
      <c r="A7" s="156">
        <v>1</v>
      </c>
      <c r="B7" s="53" t="s">
        <v>17</v>
      </c>
      <c r="C7" s="54">
        <f>C6*'销量 附加值'!C8</f>
        <v>3265000</v>
      </c>
      <c r="D7" s="54">
        <f>D6*'销量 附加值'!D8</f>
        <v>5130000</v>
      </c>
      <c r="E7" s="54">
        <f>E6*'销量 附加值'!E8</f>
        <v>330000</v>
      </c>
      <c r="F7" s="54">
        <f>F6*'销量 附加值'!F8</f>
        <v>292500</v>
      </c>
      <c r="G7" s="54">
        <f>G6*'销量 附加值'!G8</f>
        <v>0</v>
      </c>
      <c r="H7" s="54">
        <f>H6*'销量 附加值'!H8</f>
        <v>0</v>
      </c>
      <c r="I7" s="54">
        <f t="shared" ref="I7:I22" si="0">SUM(C7:H7)</f>
        <v>9017500</v>
      </c>
      <c r="J7" s="49"/>
      <c r="T7" s="53" t="s">
        <v>17</v>
      </c>
      <c r="AJ7" s="52" t="s">
        <v>18</v>
      </c>
      <c r="AK7" s="53" t="s">
        <v>17</v>
      </c>
      <c r="AL7" s="48" t="s">
        <v>16</v>
      </c>
    </row>
    <row r="8" spans="1:38">
      <c r="A8" s="156">
        <v>2</v>
      </c>
      <c r="B8" s="156" t="s">
        <v>19</v>
      </c>
      <c r="C8" s="54">
        <f>C7*(1-'销量 附加值'!$L$10)</f>
        <v>374518.97535000026</v>
      </c>
      <c r="D8" s="54">
        <f>D7*(1-'销量 附加值'!$L$10)</f>
        <v>588447.8847000004</v>
      </c>
      <c r="E8" s="54">
        <f>E7*(1-'销量 附加值'!$L$10)</f>
        <v>37853.372700000022</v>
      </c>
      <c r="F8" s="54">
        <f>F7*(1-'销量 附加值'!$L$10)</f>
        <v>33551.853075000021</v>
      </c>
      <c r="G8" s="54">
        <f>G7*(1-'销量 附加值'!$L$10)</f>
        <v>0</v>
      </c>
      <c r="H8" s="54">
        <f>H7*(1-'销量 附加值'!$L$10)</f>
        <v>0</v>
      </c>
      <c r="I8" s="54">
        <f t="shared" si="0"/>
        <v>1034372.0858250008</v>
      </c>
      <c r="J8" s="69"/>
      <c r="T8" s="156" t="s">
        <v>21</v>
      </c>
      <c r="AJ8" s="52" t="s">
        <v>20</v>
      </c>
      <c r="AK8" s="156" t="s">
        <v>21</v>
      </c>
      <c r="AL8" s="48" t="s">
        <v>16</v>
      </c>
    </row>
    <row r="9" spans="1:38">
      <c r="A9" s="156">
        <v>3</v>
      </c>
      <c r="B9" s="53" t="s">
        <v>22</v>
      </c>
      <c r="C9" s="54">
        <f>+C7-C8</f>
        <v>2890481.0246499996</v>
      </c>
      <c r="D9" s="54">
        <f t="shared" ref="D9:H9" si="1">+D7-D8</f>
        <v>4541552.1152999997</v>
      </c>
      <c r="E9" s="54">
        <f t="shared" si="1"/>
        <v>292146.62729999999</v>
      </c>
      <c r="F9" s="54">
        <f t="shared" si="1"/>
        <v>258948.14692499998</v>
      </c>
      <c r="G9" s="54">
        <f t="shared" si="1"/>
        <v>0</v>
      </c>
      <c r="H9" s="54">
        <f t="shared" si="1"/>
        <v>0</v>
      </c>
      <c r="I9" s="54">
        <f t="shared" si="0"/>
        <v>7983127.9141749991</v>
      </c>
      <c r="T9" s="53" t="s">
        <v>22</v>
      </c>
      <c r="AJ9" s="52" t="s">
        <v>23</v>
      </c>
      <c r="AK9" s="53" t="s">
        <v>22</v>
      </c>
      <c r="AL9" s="48" t="s">
        <v>24</v>
      </c>
    </row>
    <row r="10" spans="1:38">
      <c r="A10" s="156">
        <v>4</v>
      </c>
      <c r="B10" s="52" t="s">
        <v>25</v>
      </c>
      <c r="C10" s="54">
        <f>C6*C33</f>
        <v>1982494.7656934848</v>
      </c>
      <c r="D10" s="54">
        <f t="shared" ref="D10:H10" si="2">D6*D33</f>
        <v>3321845.5519494102</v>
      </c>
      <c r="E10" s="54">
        <f t="shared" si="2"/>
        <v>278767.9407779394</v>
      </c>
      <c r="F10" s="54">
        <f t="shared" si="2"/>
        <v>197419.03670059651</v>
      </c>
      <c r="G10" s="54">
        <f t="shared" si="2"/>
        <v>0</v>
      </c>
      <c r="H10" s="54">
        <f t="shared" si="2"/>
        <v>0</v>
      </c>
      <c r="I10" s="54">
        <f t="shared" si="0"/>
        <v>5780527.2951214314</v>
      </c>
      <c r="T10" s="52" t="s">
        <v>25</v>
      </c>
      <c r="AJ10" s="52" t="s">
        <v>26</v>
      </c>
      <c r="AK10" s="52" t="s">
        <v>25</v>
      </c>
      <c r="AL10" s="48" t="s">
        <v>27</v>
      </c>
    </row>
    <row r="11" spans="1:38">
      <c r="A11" s="156">
        <v>5</v>
      </c>
      <c r="B11" s="52" t="s">
        <v>28</v>
      </c>
      <c r="C11" s="54">
        <f>+C6*C36</f>
        <v>51260.499999999993</v>
      </c>
      <c r="D11" s="54">
        <f t="shared" ref="D11:H11" si="3">+D6*D36</f>
        <v>80541</v>
      </c>
      <c r="E11" s="54">
        <f t="shared" si="3"/>
        <v>5181</v>
      </c>
      <c r="F11" s="54">
        <f t="shared" si="3"/>
        <v>4592.2499999999991</v>
      </c>
      <c r="G11" s="54">
        <f t="shared" si="3"/>
        <v>0</v>
      </c>
      <c r="H11" s="54">
        <f t="shared" si="3"/>
        <v>0</v>
      </c>
      <c r="I11" s="54">
        <f t="shared" si="0"/>
        <v>141574.75</v>
      </c>
      <c r="T11" s="52" t="s">
        <v>28</v>
      </c>
      <c r="AJ11" s="52" t="s">
        <v>29</v>
      </c>
      <c r="AK11" s="52" t="s">
        <v>28</v>
      </c>
    </row>
    <row r="12" spans="1:38">
      <c r="A12" s="156">
        <v>6</v>
      </c>
      <c r="B12" s="52" t="s">
        <v>30</v>
      </c>
      <c r="C12" s="54">
        <f>+C6*C37</f>
        <v>12407</v>
      </c>
      <c r="D12" s="54">
        <f t="shared" ref="D12:H12" si="4">+D6*D37</f>
        <v>19494</v>
      </c>
      <c r="E12" s="54">
        <f t="shared" si="4"/>
        <v>1254</v>
      </c>
      <c r="F12" s="54">
        <f t="shared" si="4"/>
        <v>1111.5</v>
      </c>
      <c r="G12" s="54">
        <f t="shared" si="4"/>
        <v>0</v>
      </c>
      <c r="H12" s="54">
        <f t="shared" si="4"/>
        <v>0</v>
      </c>
      <c r="I12" s="54">
        <f t="shared" si="0"/>
        <v>34266.5</v>
      </c>
      <c r="T12" s="52" t="s">
        <v>30</v>
      </c>
      <c r="AJ12" s="52" t="s">
        <v>31</v>
      </c>
      <c r="AK12" s="52" t="s">
        <v>30</v>
      </c>
    </row>
    <row r="13" spans="1:38">
      <c r="A13" s="156">
        <v>7</v>
      </c>
      <c r="B13" s="52" t="s">
        <v>32</v>
      </c>
      <c r="C13" s="54">
        <f>+C6*C38</f>
        <v>83910.5</v>
      </c>
      <c r="D13" s="54">
        <f t="shared" ref="D13:H13" si="5">+D6*D38</f>
        <v>131841</v>
      </c>
      <c r="E13" s="54">
        <f t="shared" si="5"/>
        <v>8481</v>
      </c>
      <c r="F13" s="54">
        <f t="shared" si="5"/>
        <v>7517.25</v>
      </c>
      <c r="G13" s="54">
        <f t="shared" si="5"/>
        <v>0</v>
      </c>
      <c r="H13" s="54">
        <f t="shared" si="5"/>
        <v>0</v>
      </c>
      <c r="I13" s="54">
        <f t="shared" si="0"/>
        <v>231749.75</v>
      </c>
      <c r="T13" s="52" t="s">
        <v>32</v>
      </c>
      <c r="AJ13" s="52" t="s">
        <v>33</v>
      </c>
      <c r="AK13" s="52" t="s">
        <v>32</v>
      </c>
      <c r="AL13" s="48" t="s">
        <v>16</v>
      </c>
    </row>
    <row r="14" spans="1:38">
      <c r="A14" s="156">
        <v>8</v>
      </c>
      <c r="B14" s="55" t="s">
        <v>34</v>
      </c>
      <c r="C14" s="54">
        <f>SUM(C11:C13)</f>
        <v>147578</v>
      </c>
      <c r="D14" s="54">
        <f t="shared" ref="D14:H14" si="6">SUM(D11:D13)</f>
        <v>231876</v>
      </c>
      <c r="E14" s="54">
        <f t="shared" si="6"/>
        <v>14916</v>
      </c>
      <c r="F14" s="54">
        <f t="shared" si="6"/>
        <v>13221</v>
      </c>
      <c r="G14" s="54">
        <f t="shared" si="6"/>
        <v>0</v>
      </c>
      <c r="H14" s="54">
        <f t="shared" si="6"/>
        <v>0</v>
      </c>
      <c r="I14" s="54">
        <f t="shared" si="0"/>
        <v>407591</v>
      </c>
      <c r="T14" s="55" t="s">
        <v>34</v>
      </c>
      <c r="AJ14" s="52" t="s">
        <v>35</v>
      </c>
      <c r="AK14" s="55" t="s">
        <v>34</v>
      </c>
    </row>
    <row r="15" spans="1:38">
      <c r="A15" s="156">
        <v>9</v>
      </c>
      <c r="B15" s="55" t="s">
        <v>36</v>
      </c>
      <c r="C15" s="54">
        <f>+C9-C10-C14</f>
        <v>760408.25895651476</v>
      </c>
      <c r="D15" s="54">
        <f t="shared" ref="D15:H15" si="7">+D9-D10-D14</f>
        <v>987830.56335058948</v>
      </c>
      <c r="E15" s="54">
        <f t="shared" si="7"/>
        <v>-1537.3134779394022</v>
      </c>
      <c r="F15" s="54">
        <f t="shared" si="7"/>
        <v>48308.11022440347</v>
      </c>
      <c r="G15" s="54">
        <f t="shared" si="7"/>
        <v>0</v>
      </c>
      <c r="H15" s="54">
        <f t="shared" si="7"/>
        <v>0</v>
      </c>
      <c r="I15" s="54">
        <f t="shared" si="0"/>
        <v>1795009.6190535682</v>
      </c>
      <c r="T15" s="55" t="s">
        <v>36</v>
      </c>
      <c r="AJ15" s="52" t="s">
        <v>37</v>
      </c>
      <c r="AK15" s="55" t="s">
        <v>36</v>
      </c>
    </row>
    <row r="16" spans="1:38">
      <c r="A16" s="156">
        <v>10</v>
      </c>
      <c r="B16" s="52" t="s">
        <v>38</v>
      </c>
      <c r="C16" s="56">
        <f>+C15/C9</f>
        <v>0.26307325752072375</v>
      </c>
      <c r="D16" s="56">
        <f t="shared" ref="D16:H16" si="8">+D15/D9</f>
        <v>0.21750946334463381</v>
      </c>
      <c r="E16" s="56">
        <f t="shared" si="8"/>
        <v>-5.2621298152477503E-3</v>
      </c>
      <c r="F16" s="56">
        <f t="shared" si="8"/>
        <v>0.18655514935349243</v>
      </c>
      <c r="G16" s="56" t="e">
        <f t="shared" si="8"/>
        <v>#DIV/0!</v>
      </c>
      <c r="H16" s="56" t="e">
        <f t="shared" si="8"/>
        <v>#DIV/0!</v>
      </c>
      <c r="I16" s="56">
        <f t="shared" ref="I16" si="9">+I15/I9</f>
        <v>0.22485041431771546</v>
      </c>
      <c r="T16" s="52" t="s">
        <v>38</v>
      </c>
      <c r="AJ16" s="52" t="s">
        <v>39</v>
      </c>
      <c r="AK16" s="52" t="s">
        <v>38</v>
      </c>
    </row>
    <row r="17" spans="1:38">
      <c r="A17" s="156">
        <v>11</v>
      </c>
      <c r="B17" s="52" t="s">
        <v>40</v>
      </c>
      <c r="C17" s="54">
        <f>C6*C43+C18</f>
        <v>202006.22222222225</v>
      </c>
      <c r="D17" s="54">
        <f t="shared" ref="D17:H17" si="10">D6*D43+D18</f>
        <v>337372.4444444445</v>
      </c>
      <c r="E17" s="54">
        <f t="shared" si="10"/>
        <v>33180.083333333336</v>
      </c>
      <c r="F17" s="54">
        <f t="shared" si="10"/>
        <v>31395.083333333336</v>
      </c>
      <c r="G17" s="54">
        <f t="shared" si="10"/>
        <v>0</v>
      </c>
      <c r="H17" s="54">
        <f t="shared" si="10"/>
        <v>0</v>
      </c>
      <c r="I17" s="54">
        <f t="shared" si="0"/>
        <v>603953.83333333349</v>
      </c>
      <c r="J17" s="69"/>
      <c r="T17" s="52" t="s">
        <v>40</v>
      </c>
      <c r="AJ17" s="52" t="s">
        <v>41</v>
      </c>
      <c r="AK17" s="52" t="s">
        <v>40</v>
      </c>
    </row>
    <row r="18" spans="1:38" s="46" customFormat="1">
      <c r="A18" s="156">
        <v>12</v>
      </c>
      <c r="B18" s="57" t="s">
        <v>142</v>
      </c>
      <c r="C18" s="58">
        <f>$I$18/$I$6*C6</f>
        <v>46592.222222222226</v>
      </c>
      <c r="D18" s="58">
        <f t="shared" ref="D18:H18" si="11">$I$18/$I$6*D6</f>
        <v>93184.444444444453</v>
      </c>
      <c r="E18" s="58">
        <f t="shared" si="11"/>
        <v>17472.083333333336</v>
      </c>
      <c r="F18" s="58">
        <f t="shared" si="11"/>
        <v>17472.083333333336</v>
      </c>
      <c r="G18" s="58">
        <f t="shared" si="11"/>
        <v>0</v>
      </c>
      <c r="H18" s="58">
        <f t="shared" si="11"/>
        <v>0</v>
      </c>
      <c r="I18" s="58">
        <f>项目投资!H26</f>
        <v>174720.83333333334</v>
      </c>
      <c r="J18" s="70" t="s">
        <v>143</v>
      </c>
      <c r="K18" s="70"/>
      <c r="L18" s="70"/>
    </row>
    <row r="19" spans="1:38">
      <c r="A19" s="156">
        <v>13</v>
      </c>
      <c r="B19" s="52" t="s">
        <v>42</v>
      </c>
      <c r="C19" s="54">
        <f>C6*C44</f>
        <v>24487.5</v>
      </c>
      <c r="D19" s="54">
        <f t="shared" ref="D19:H19" si="12">D6*D44</f>
        <v>38475</v>
      </c>
      <c r="E19" s="54">
        <f t="shared" si="12"/>
        <v>2475</v>
      </c>
      <c r="F19" s="54">
        <f t="shared" si="12"/>
        <v>2193.75</v>
      </c>
      <c r="G19" s="54">
        <f t="shared" si="12"/>
        <v>0</v>
      </c>
      <c r="H19" s="54">
        <f t="shared" si="12"/>
        <v>0</v>
      </c>
      <c r="I19" s="54">
        <f t="shared" si="0"/>
        <v>67631.25</v>
      </c>
      <c r="J19" s="46"/>
      <c r="T19" s="52" t="s">
        <v>42</v>
      </c>
      <c r="AJ19" s="52" t="s">
        <v>43</v>
      </c>
      <c r="AK19" s="52" t="s">
        <v>42</v>
      </c>
      <c r="AL19" s="48" t="s">
        <v>16</v>
      </c>
    </row>
    <row r="20" spans="1:38">
      <c r="A20" s="156">
        <v>14</v>
      </c>
      <c r="B20" s="52" t="s">
        <v>44</v>
      </c>
      <c r="C20" s="54">
        <f>C6*C45</f>
        <v>98276.5</v>
      </c>
      <c r="D20" s="54">
        <f t="shared" ref="D20:H20" si="13">D6*D45</f>
        <v>154412.99999999997</v>
      </c>
      <c r="E20" s="54">
        <f t="shared" si="13"/>
        <v>9933</v>
      </c>
      <c r="F20" s="54">
        <f t="shared" si="13"/>
        <v>8804.25</v>
      </c>
      <c r="G20" s="54">
        <f t="shared" si="13"/>
        <v>0</v>
      </c>
      <c r="H20" s="54">
        <f t="shared" si="13"/>
        <v>0</v>
      </c>
      <c r="I20" s="54">
        <f t="shared" si="0"/>
        <v>271426.75</v>
      </c>
      <c r="T20" s="52" t="s">
        <v>44</v>
      </c>
      <c r="AJ20" s="52" t="s">
        <v>45</v>
      </c>
      <c r="AK20" s="52" t="s">
        <v>44</v>
      </c>
    </row>
    <row r="21" spans="1:38">
      <c r="A21" s="156">
        <v>15</v>
      </c>
      <c r="B21" s="52" t="s">
        <v>46</v>
      </c>
      <c r="C21" s="59">
        <f>$I$21/$I$6*C6</f>
        <v>9711.1111111111095</v>
      </c>
      <c r="D21" s="59">
        <f t="shared" ref="D21:H21" si="14">$I$21/$I$6*D6</f>
        <v>19422.222222222219</v>
      </c>
      <c r="E21" s="59">
        <f t="shared" si="14"/>
        <v>3641.6666666666665</v>
      </c>
      <c r="F21" s="59">
        <f t="shared" si="14"/>
        <v>3641.6666666666665</v>
      </c>
      <c r="G21" s="59">
        <f t="shared" si="14"/>
        <v>0</v>
      </c>
      <c r="H21" s="59">
        <f t="shared" si="14"/>
        <v>0</v>
      </c>
      <c r="I21" s="54">
        <f>项目投资!H27</f>
        <v>36416.666666666664</v>
      </c>
      <c r="T21" s="52" t="s">
        <v>46</v>
      </c>
      <c r="AJ21" s="52"/>
      <c r="AK21" s="52"/>
    </row>
    <row r="22" spans="1:38">
      <c r="A22" s="156">
        <v>16</v>
      </c>
      <c r="B22" s="52" t="s">
        <v>47</v>
      </c>
      <c r="C22" s="54">
        <f>C6*C47</f>
        <v>163250</v>
      </c>
      <c r="D22" s="54">
        <f t="shared" ref="D22:H22" si="15">D6*D47</f>
        <v>256500</v>
      </c>
      <c r="E22" s="54">
        <f t="shared" si="15"/>
        <v>16500</v>
      </c>
      <c r="F22" s="54">
        <f t="shared" si="15"/>
        <v>14625</v>
      </c>
      <c r="G22" s="54">
        <f t="shared" si="15"/>
        <v>0</v>
      </c>
      <c r="H22" s="54">
        <f t="shared" si="15"/>
        <v>0</v>
      </c>
      <c r="I22" s="54">
        <f t="shared" si="0"/>
        <v>450875</v>
      </c>
      <c r="T22" s="52" t="s">
        <v>47</v>
      </c>
      <c r="AJ22" s="52" t="s">
        <v>48</v>
      </c>
      <c r="AK22" s="52" t="s">
        <v>47</v>
      </c>
    </row>
    <row r="23" spans="1:38">
      <c r="A23" s="156">
        <v>17</v>
      </c>
      <c r="B23" s="55" t="s">
        <v>49</v>
      </c>
      <c r="C23" s="59">
        <f>+C22+C21+C20+C19+C17</f>
        <v>497731.33333333337</v>
      </c>
      <c r="D23" s="59">
        <f t="shared" ref="D23:H23" si="16">+D22+D21+D20+D19+D17</f>
        <v>806182.66666666674</v>
      </c>
      <c r="E23" s="59">
        <f t="shared" si="16"/>
        <v>65729.75</v>
      </c>
      <c r="F23" s="59">
        <f t="shared" si="16"/>
        <v>60659.75</v>
      </c>
      <c r="G23" s="59">
        <f t="shared" si="16"/>
        <v>0</v>
      </c>
      <c r="H23" s="59">
        <f t="shared" si="16"/>
        <v>0</v>
      </c>
      <c r="I23" s="59">
        <f t="shared" ref="I23" si="17">+I22+I21+I20+I19+I17</f>
        <v>1430303.5000000002</v>
      </c>
      <c r="T23" s="55" t="s">
        <v>49</v>
      </c>
      <c r="AJ23" s="52" t="s">
        <v>50</v>
      </c>
      <c r="AK23" s="55" t="s">
        <v>49</v>
      </c>
    </row>
    <row r="24" spans="1:38">
      <c r="A24" s="156">
        <v>18</v>
      </c>
      <c r="B24" s="60" t="s">
        <v>51</v>
      </c>
      <c r="C24" s="59">
        <f>+C15-C23</f>
        <v>262676.92562318139</v>
      </c>
      <c r="D24" s="59">
        <f t="shared" ref="D24:H24" si="18">+D15-D23</f>
        <v>181647.89668392274</v>
      </c>
      <c r="E24" s="59">
        <f t="shared" si="18"/>
        <v>-67267.063477939402</v>
      </c>
      <c r="F24" s="59">
        <f t="shared" si="18"/>
        <v>-12351.63977559653</v>
      </c>
      <c r="G24" s="59">
        <f t="shared" si="18"/>
        <v>0</v>
      </c>
      <c r="H24" s="59">
        <f t="shared" si="18"/>
        <v>0</v>
      </c>
      <c r="I24" s="59">
        <f t="shared" ref="I24" si="19">+I15-I23</f>
        <v>364706.11905356799</v>
      </c>
      <c r="K24" s="71"/>
      <c r="T24" s="52" t="s">
        <v>51</v>
      </c>
      <c r="AJ24" s="52" t="s">
        <v>52</v>
      </c>
      <c r="AK24" s="52" t="s">
        <v>51</v>
      </c>
    </row>
    <row r="25" spans="1:38">
      <c r="A25" s="156">
        <v>19</v>
      </c>
      <c r="B25" s="52" t="s">
        <v>144</v>
      </c>
      <c r="C25" s="59">
        <f>IF(C24&lt;0,0,C24*0.25)</f>
        <v>65669.231405795348</v>
      </c>
      <c r="D25" s="59">
        <f>IF(D24&lt;0,0,D24*0.15)</f>
        <v>27247.18450258841</v>
      </c>
      <c r="E25" s="59">
        <f t="shared" ref="E25:I25" si="20">IF(E24&lt;0,0,E24*0.25)</f>
        <v>0</v>
      </c>
      <c r="F25" s="59">
        <f>IF(F24&lt;0,0,F24*0.15)</f>
        <v>0</v>
      </c>
      <c r="G25" s="59">
        <f t="shared" si="20"/>
        <v>0</v>
      </c>
      <c r="H25" s="59">
        <f t="shared" si="20"/>
        <v>0</v>
      </c>
      <c r="I25" s="59">
        <f t="shared" si="20"/>
        <v>91176.529763391998</v>
      </c>
      <c r="J25" s="67"/>
      <c r="K25" s="67"/>
      <c r="L25" s="67"/>
      <c r="T25" s="52" t="s">
        <v>53</v>
      </c>
      <c r="AJ25" s="52" t="s">
        <v>54</v>
      </c>
      <c r="AK25" s="52" t="s">
        <v>53</v>
      </c>
    </row>
    <row r="26" spans="1:38">
      <c r="A26" s="156">
        <v>20</v>
      </c>
      <c r="B26" s="52" t="s">
        <v>55</v>
      </c>
      <c r="C26" s="59">
        <f t="shared" ref="C26:H26" si="21">C24-C25</f>
        <v>197007.69421738604</v>
      </c>
      <c r="D26" s="59">
        <f t="shared" si="21"/>
        <v>154400.71218133433</v>
      </c>
      <c r="E26" s="59">
        <f t="shared" si="21"/>
        <v>-67267.063477939402</v>
      </c>
      <c r="F26" s="59">
        <f t="shared" si="21"/>
        <v>-12351.63977559653</v>
      </c>
      <c r="G26" s="59">
        <f t="shared" si="21"/>
        <v>0</v>
      </c>
      <c r="H26" s="59">
        <f t="shared" si="21"/>
        <v>0</v>
      </c>
      <c r="I26" s="54">
        <f>+SUM(C26:H26)</f>
        <v>271789.70314518444</v>
      </c>
      <c r="J26" s="67"/>
      <c r="K26" s="67"/>
      <c r="L26" s="67"/>
      <c r="T26" s="52" t="s">
        <v>55</v>
      </c>
      <c r="AJ26" s="52" t="s">
        <v>56</v>
      </c>
      <c r="AK26" s="52" t="s">
        <v>55</v>
      </c>
    </row>
    <row r="27" spans="1:38">
      <c r="A27" s="156">
        <v>21</v>
      </c>
      <c r="B27" s="52" t="s">
        <v>59</v>
      </c>
      <c r="C27" s="61">
        <f t="shared" ref="C27:I27" si="22">C26/C7</f>
        <v>6.0339263159995729E-2</v>
      </c>
      <c r="D27" s="61">
        <f t="shared" ref="D27:H27" si="23">D26/D7</f>
        <v>3.0097604713710396E-2</v>
      </c>
      <c r="E27" s="61">
        <f t="shared" si="23"/>
        <v>-0.20383958629678606</v>
      </c>
      <c r="F27" s="61">
        <f t="shared" si="23"/>
        <v>-4.2227828292637708E-2</v>
      </c>
      <c r="G27" s="61" t="e">
        <f t="shared" si="23"/>
        <v>#DIV/0!</v>
      </c>
      <c r="H27" s="61" t="e">
        <f t="shared" si="23"/>
        <v>#DIV/0!</v>
      </c>
      <c r="I27" s="61">
        <f t="shared" si="22"/>
        <v>3.0140249863619011E-2</v>
      </c>
      <c r="J27" s="67"/>
      <c r="K27" s="67"/>
      <c r="L27" s="67"/>
      <c r="T27" s="52" t="s">
        <v>59</v>
      </c>
      <c r="AJ27" s="52" t="s">
        <v>58</v>
      </c>
      <c r="AK27" s="52" t="s">
        <v>59</v>
      </c>
    </row>
    <row r="28" spans="1:38">
      <c r="J28" s="67"/>
      <c r="K28" s="67"/>
      <c r="L28" s="67"/>
      <c r="T28" s="52"/>
    </row>
    <row r="29" spans="1:38">
      <c r="A29" s="48" t="s">
        <v>60</v>
      </c>
      <c r="I29" s="49" t="s">
        <v>145</v>
      </c>
      <c r="J29" s="67"/>
      <c r="K29" s="67"/>
      <c r="L29" s="67"/>
      <c r="T29" s="52"/>
      <c r="AJ29" s="48" t="s">
        <v>60</v>
      </c>
    </row>
    <row r="30" spans="1:38">
      <c r="A30" s="52" t="s">
        <v>61</v>
      </c>
      <c r="B30" s="55" t="s">
        <v>62</v>
      </c>
      <c r="C30" s="59"/>
      <c r="D30" s="59"/>
      <c r="E30" s="59"/>
      <c r="F30" s="59"/>
      <c r="G30" s="59"/>
      <c r="H30" s="59"/>
      <c r="I30" s="59"/>
      <c r="J30" s="67"/>
      <c r="K30" s="67"/>
      <c r="L30" s="67"/>
      <c r="N30" s="67"/>
      <c r="T30" s="55" t="s">
        <v>62</v>
      </c>
      <c r="AJ30" s="52" t="s">
        <v>63</v>
      </c>
      <c r="AK30" s="55" t="s">
        <v>62</v>
      </c>
    </row>
    <row r="31" spans="1:38">
      <c r="A31" s="156">
        <v>1</v>
      </c>
      <c r="B31" s="57" t="s">
        <v>64</v>
      </c>
      <c r="C31" s="63">
        <f>'销量 附加值'!C8</f>
        <v>3265</v>
      </c>
      <c r="D31" s="63">
        <f>'销量 附加值'!D8</f>
        <v>2565</v>
      </c>
      <c r="E31" s="63">
        <f>'销量 附加值'!E8</f>
        <v>880</v>
      </c>
      <c r="F31" s="63">
        <f>'销量 附加值'!F8</f>
        <v>780</v>
      </c>
      <c r="G31" s="63">
        <f>'销量 附加值'!G8</f>
        <v>0</v>
      </c>
      <c r="H31" s="63">
        <f>'销量 附加值'!H8</f>
        <v>0</v>
      </c>
      <c r="I31" s="59"/>
      <c r="J31" s="67"/>
      <c r="K31" s="67"/>
      <c r="L31" s="67"/>
      <c r="N31" s="67"/>
      <c r="T31" s="52" t="s">
        <v>64</v>
      </c>
      <c r="AJ31" s="52" t="s">
        <v>18</v>
      </c>
      <c r="AK31" s="52" t="s">
        <v>64</v>
      </c>
    </row>
    <row r="32" spans="1:38">
      <c r="A32" s="156">
        <v>2</v>
      </c>
      <c r="B32" s="52" t="s">
        <v>146</v>
      </c>
      <c r="C32" s="54">
        <f>C9/C6</f>
        <v>2890.4810246499997</v>
      </c>
      <c r="D32" s="54">
        <f t="shared" ref="D32:H32" si="24">D9/D6</f>
        <v>2270.77605765</v>
      </c>
      <c r="E32" s="54">
        <f t="shared" si="24"/>
        <v>779.05767279999998</v>
      </c>
      <c r="F32" s="54">
        <f t="shared" si="24"/>
        <v>690.52839179999989</v>
      </c>
      <c r="G32" s="54" t="e">
        <f t="shared" si="24"/>
        <v>#DIV/0!</v>
      </c>
      <c r="H32" s="54" t="e">
        <f t="shared" si="24"/>
        <v>#DIV/0!</v>
      </c>
      <c r="I32" s="59"/>
      <c r="J32" s="67"/>
      <c r="K32" s="67"/>
      <c r="L32" s="67"/>
      <c r="M32" s="67"/>
      <c r="N32" s="67"/>
      <c r="O32" s="67"/>
      <c r="P32" s="67"/>
      <c r="AJ32" s="52"/>
      <c r="AK32" s="52"/>
    </row>
    <row r="33" spans="1:37">
      <c r="A33" s="156">
        <v>3</v>
      </c>
      <c r="B33" s="57" t="s">
        <v>65</v>
      </c>
      <c r="C33" s="54">
        <f>材料成本!D16</f>
        <v>1982.4947656934849</v>
      </c>
      <c r="D33" s="54">
        <f>材料成本!E16</f>
        <v>1660.922775974705</v>
      </c>
      <c r="E33" s="54">
        <f>材料成本!F16</f>
        <v>743.38117540783833</v>
      </c>
      <c r="F33" s="54">
        <f>材料成本!G16</f>
        <v>526.45076453492402</v>
      </c>
      <c r="G33" s="54">
        <f>材料成本!H16</f>
        <v>0</v>
      </c>
      <c r="H33" s="54">
        <f>材料成本!I16</f>
        <v>0</v>
      </c>
      <c r="I33" s="59"/>
      <c r="K33" s="67"/>
      <c r="L33" s="67"/>
      <c r="M33" s="67"/>
      <c r="N33" s="67"/>
      <c r="O33" s="67"/>
      <c r="P33" s="67"/>
      <c r="T33" s="52" t="s">
        <v>65</v>
      </c>
      <c r="AJ33" s="52" t="s">
        <v>20</v>
      </c>
      <c r="AK33" s="52" t="s">
        <v>65</v>
      </c>
    </row>
    <row r="34" spans="1:37" ht="17.25" customHeight="1">
      <c r="A34" s="156">
        <v>4</v>
      </c>
      <c r="B34" s="52" t="s">
        <v>67</v>
      </c>
      <c r="C34" s="64">
        <f>C32-C33</f>
        <v>907.9862589565148</v>
      </c>
      <c r="D34" s="64">
        <f t="shared" ref="D34:H34" si="25">D32-D33</f>
        <v>609.85328167529497</v>
      </c>
      <c r="E34" s="64">
        <f t="shared" si="25"/>
        <v>35.67649739216165</v>
      </c>
      <c r="F34" s="64">
        <f t="shared" si="25"/>
        <v>164.07762726507588</v>
      </c>
      <c r="G34" s="64" t="e">
        <f t="shared" si="25"/>
        <v>#DIV/0!</v>
      </c>
      <c r="H34" s="64" t="e">
        <f t="shared" si="25"/>
        <v>#DIV/0!</v>
      </c>
      <c r="I34" s="59"/>
      <c r="K34" s="67"/>
      <c r="L34" s="67"/>
      <c r="M34" s="67"/>
      <c r="N34" s="67"/>
      <c r="O34" s="67"/>
      <c r="P34" s="67"/>
      <c r="T34" s="52" t="s">
        <v>67</v>
      </c>
      <c r="AJ34" s="52" t="s">
        <v>66</v>
      </c>
      <c r="AK34" s="52" t="s">
        <v>67</v>
      </c>
    </row>
    <row r="35" spans="1:37">
      <c r="A35" s="52" t="s">
        <v>63</v>
      </c>
      <c r="B35" s="55" t="s">
        <v>8</v>
      </c>
      <c r="C35" s="59"/>
      <c r="D35" s="59"/>
      <c r="E35" s="59"/>
      <c r="F35" s="59"/>
      <c r="G35" s="59"/>
      <c r="H35" s="59"/>
      <c r="I35" s="59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55" t="s">
        <v>8</v>
      </c>
      <c r="AJ35" s="52" t="s">
        <v>69</v>
      </c>
      <c r="AK35" s="55" t="s">
        <v>8</v>
      </c>
    </row>
    <row r="36" spans="1:37">
      <c r="A36" s="156">
        <v>1</v>
      </c>
      <c r="B36" s="52" t="s">
        <v>70</v>
      </c>
      <c r="C36" s="58">
        <f>'2023年'!C36</f>
        <v>51.260499999999993</v>
      </c>
      <c r="D36" s="58">
        <f>'2023年'!D36</f>
        <v>40.270499999999998</v>
      </c>
      <c r="E36" s="58">
        <f>'2023年'!E36</f>
        <v>13.815999999999999</v>
      </c>
      <c r="F36" s="58">
        <f>'2023年'!F36</f>
        <v>12.245999999999999</v>
      </c>
      <c r="G36" s="58">
        <f>'2023年'!G36</f>
        <v>0</v>
      </c>
      <c r="H36" s="58"/>
      <c r="I36" s="63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52" t="s">
        <v>70</v>
      </c>
      <c r="AJ36" s="52" t="s">
        <v>66</v>
      </c>
      <c r="AK36" s="52" t="s">
        <v>70</v>
      </c>
    </row>
    <row r="37" spans="1:37">
      <c r="A37" s="156">
        <v>2</v>
      </c>
      <c r="B37" s="52" t="s">
        <v>71</v>
      </c>
      <c r="C37" s="58">
        <f>'2023年'!C37</f>
        <v>12.407</v>
      </c>
      <c r="D37" s="58">
        <f>'2023年'!D37</f>
        <v>9.7469999999999999</v>
      </c>
      <c r="E37" s="58">
        <f>'2023年'!E37</f>
        <v>3.3439999999999999</v>
      </c>
      <c r="F37" s="58">
        <f>'2023年'!F37</f>
        <v>2.964</v>
      </c>
      <c r="G37" s="58">
        <f>'2023年'!G37</f>
        <v>0</v>
      </c>
      <c r="H37" s="58"/>
      <c r="I37" s="63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52" t="s">
        <v>71</v>
      </c>
      <c r="AJ37" s="52" t="s">
        <v>23</v>
      </c>
      <c r="AK37" s="52" t="s">
        <v>71</v>
      </c>
    </row>
    <row r="38" spans="1:37">
      <c r="A38" s="156">
        <v>3</v>
      </c>
      <c r="B38" s="52" t="s">
        <v>72</v>
      </c>
      <c r="C38" s="58">
        <f>'2023年'!C38</f>
        <v>83.910499999999999</v>
      </c>
      <c r="D38" s="58">
        <f>'2023年'!D38</f>
        <v>65.920500000000004</v>
      </c>
      <c r="E38" s="58">
        <f>'2023年'!E38</f>
        <v>22.616</v>
      </c>
      <c r="F38" s="58">
        <f>'2023年'!F38</f>
        <v>20.045999999999999</v>
      </c>
      <c r="G38" s="58">
        <f>'2023年'!G38</f>
        <v>0</v>
      </c>
      <c r="H38" s="58"/>
      <c r="I38" s="63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52" t="s">
        <v>72</v>
      </c>
      <c r="AJ38" s="52" t="s">
        <v>29</v>
      </c>
      <c r="AK38" s="52" t="s">
        <v>72</v>
      </c>
    </row>
    <row r="39" spans="1:37">
      <c r="A39" s="52" t="s">
        <v>69</v>
      </c>
      <c r="B39" s="55" t="s">
        <v>74</v>
      </c>
      <c r="C39" s="59"/>
      <c r="D39" s="59"/>
      <c r="E39" s="59"/>
      <c r="F39" s="59"/>
      <c r="G39" s="59"/>
      <c r="H39" s="59"/>
      <c r="I39" s="59"/>
      <c r="T39" s="55" t="s">
        <v>74</v>
      </c>
      <c r="AJ39" s="52" t="s">
        <v>73</v>
      </c>
      <c r="AK39" s="55" t="s">
        <v>74</v>
      </c>
    </row>
    <row r="40" spans="1:37">
      <c r="A40" s="156">
        <v>1</v>
      </c>
      <c r="B40" s="52" t="s">
        <v>76</v>
      </c>
      <c r="C40" s="59">
        <f>C34-C36-C37-C38</f>
        <v>760.40825895651483</v>
      </c>
      <c r="D40" s="59">
        <f t="shared" ref="D40:H40" si="26">D34-D36-D37-D38</f>
        <v>493.91528167529503</v>
      </c>
      <c r="E40" s="59">
        <f t="shared" si="26"/>
        <v>-4.0995026078383496</v>
      </c>
      <c r="F40" s="59">
        <f t="shared" si="26"/>
        <v>128.82162726507588</v>
      </c>
      <c r="G40" s="59" t="e">
        <f t="shared" si="26"/>
        <v>#DIV/0!</v>
      </c>
      <c r="H40" s="59" t="e">
        <f t="shared" si="26"/>
        <v>#DIV/0!</v>
      </c>
      <c r="I40" s="59"/>
      <c r="T40" s="52" t="s">
        <v>76</v>
      </c>
      <c r="AJ40" s="52" t="s">
        <v>18</v>
      </c>
      <c r="AK40" s="52" t="s">
        <v>76</v>
      </c>
    </row>
    <row r="41" spans="1:37">
      <c r="A41" s="156">
        <v>2</v>
      </c>
      <c r="B41" s="52" t="s">
        <v>77</v>
      </c>
      <c r="C41" s="59"/>
      <c r="D41" s="59"/>
      <c r="E41" s="59"/>
      <c r="F41" s="59"/>
      <c r="G41" s="59"/>
      <c r="H41" s="59"/>
      <c r="I41" s="59"/>
      <c r="T41" s="52" t="s">
        <v>77</v>
      </c>
      <c r="AJ41" s="52" t="s">
        <v>20</v>
      </c>
      <c r="AK41" s="52" t="s">
        <v>77</v>
      </c>
    </row>
    <row r="42" spans="1:37">
      <c r="A42" s="52" t="s">
        <v>73</v>
      </c>
      <c r="B42" s="55" t="s">
        <v>79</v>
      </c>
      <c r="C42" s="59"/>
      <c r="D42" s="59"/>
      <c r="E42" s="59"/>
      <c r="F42" s="59"/>
      <c r="G42" s="59"/>
      <c r="H42" s="59"/>
      <c r="I42" s="59"/>
      <c r="T42" s="55" t="s">
        <v>79</v>
      </c>
      <c r="AJ42" s="52" t="s">
        <v>78</v>
      </c>
      <c r="AK42" s="55" t="s">
        <v>79</v>
      </c>
    </row>
    <row r="43" spans="1:37">
      <c r="A43" s="156">
        <v>1</v>
      </c>
      <c r="B43" s="60" t="s">
        <v>80</v>
      </c>
      <c r="C43" s="58">
        <f>'2023年'!C43</f>
        <v>155.41400000000002</v>
      </c>
      <c r="D43" s="58">
        <f>'2023年'!D43</f>
        <v>122.09400000000001</v>
      </c>
      <c r="E43" s="58">
        <f>'2023年'!E43</f>
        <v>41.888000000000005</v>
      </c>
      <c r="F43" s="58">
        <f>'2023年'!F43</f>
        <v>37.128</v>
      </c>
      <c r="G43" s="58">
        <f>'2023年'!G43</f>
        <v>0</v>
      </c>
      <c r="H43" s="58"/>
      <c r="I43" s="59"/>
      <c r="T43" s="52" t="s">
        <v>80</v>
      </c>
      <c r="AJ43" s="52" t="s">
        <v>18</v>
      </c>
      <c r="AK43" s="52" t="s">
        <v>80</v>
      </c>
    </row>
    <row r="44" spans="1:37">
      <c r="A44" s="156">
        <v>2</v>
      </c>
      <c r="B44" s="60" t="s">
        <v>81</v>
      </c>
      <c r="C44" s="58">
        <f>'2023年'!C44</f>
        <v>24.487500000000001</v>
      </c>
      <c r="D44" s="58">
        <f>'2023年'!D44</f>
        <v>19.237500000000001</v>
      </c>
      <c r="E44" s="58">
        <f>'2023年'!E44</f>
        <v>6.6</v>
      </c>
      <c r="F44" s="58">
        <f>'2023年'!F44</f>
        <v>5.85</v>
      </c>
      <c r="G44" s="58">
        <f>'2023年'!G44</f>
        <v>0</v>
      </c>
      <c r="H44" s="58"/>
      <c r="I44" s="59"/>
      <c r="T44" s="52" t="s">
        <v>81</v>
      </c>
      <c r="AJ44" s="52" t="s">
        <v>20</v>
      </c>
      <c r="AK44" s="52" t="s">
        <v>81</v>
      </c>
    </row>
    <row r="45" spans="1:37">
      <c r="A45" s="156">
        <v>3</v>
      </c>
      <c r="B45" s="60" t="s">
        <v>82</v>
      </c>
      <c r="C45" s="58">
        <f>'2023年'!C45</f>
        <v>98.276499999999999</v>
      </c>
      <c r="D45" s="58">
        <f>'2023年'!D45</f>
        <v>77.206499999999991</v>
      </c>
      <c r="E45" s="58">
        <f>'2023年'!E45</f>
        <v>26.488</v>
      </c>
      <c r="F45" s="58">
        <f>'2023年'!F45</f>
        <v>23.477999999999998</v>
      </c>
      <c r="G45" s="58">
        <f>'2023年'!G45</f>
        <v>0</v>
      </c>
      <c r="H45" s="58"/>
      <c r="I45" s="59"/>
      <c r="T45" s="52" t="s">
        <v>82</v>
      </c>
      <c r="AJ45" s="52" t="s">
        <v>66</v>
      </c>
      <c r="AK45" s="52" t="s">
        <v>82</v>
      </c>
    </row>
    <row r="46" spans="1:37" s="47" customFormat="1">
      <c r="A46" s="156">
        <v>4</v>
      </c>
      <c r="B46" s="60" t="s">
        <v>83</v>
      </c>
      <c r="C46" s="65">
        <f>C21/C6</f>
        <v>9.7111111111111104</v>
      </c>
      <c r="D46" s="65">
        <f t="shared" ref="D46:H46" si="27">D21/D6</f>
        <v>9.7111111111111104</v>
      </c>
      <c r="E46" s="65">
        <f t="shared" si="27"/>
        <v>9.7111111111111104</v>
      </c>
      <c r="F46" s="65">
        <f t="shared" si="27"/>
        <v>9.7111111111111104</v>
      </c>
      <c r="G46" s="65" t="e">
        <f t="shared" si="27"/>
        <v>#DIV/0!</v>
      </c>
      <c r="H46" s="65" t="e">
        <f t="shared" si="27"/>
        <v>#DIV/0!</v>
      </c>
      <c r="I46" s="65"/>
      <c r="T46" s="60" t="s">
        <v>85</v>
      </c>
      <c r="AJ46" s="60" t="s">
        <v>26</v>
      </c>
      <c r="AK46" s="60" t="s">
        <v>85</v>
      </c>
    </row>
    <row r="47" spans="1:37" s="47" customFormat="1">
      <c r="A47" s="156">
        <v>5</v>
      </c>
      <c r="B47" s="60" t="s">
        <v>85</v>
      </c>
      <c r="C47" s="58">
        <f>'2023年'!C47</f>
        <v>163.25</v>
      </c>
      <c r="D47" s="58">
        <f>'2023年'!D47</f>
        <v>128.25</v>
      </c>
      <c r="E47" s="58">
        <f>'2023年'!E47</f>
        <v>44</v>
      </c>
      <c r="F47" s="58">
        <f>'2023年'!F47</f>
        <v>39</v>
      </c>
      <c r="G47" s="58">
        <f>'2023年'!G47</f>
        <v>0</v>
      </c>
      <c r="H47" s="65"/>
      <c r="I47" s="65"/>
      <c r="T47" s="60" t="s">
        <v>85</v>
      </c>
      <c r="AJ47" s="60" t="s">
        <v>26</v>
      </c>
      <c r="AK47" s="60" t="s">
        <v>85</v>
      </c>
    </row>
    <row r="48" spans="1:37">
      <c r="A48" s="52" t="s">
        <v>78</v>
      </c>
      <c r="B48" s="55" t="s">
        <v>96</v>
      </c>
      <c r="C48" s="59">
        <f>C40-C43-C44-C45-C47-C46</f>
        <v>309.26914784540378</v>
      </c>
      <c r="D48" s="59">
        <f t="shared" ref="D48:H48" si="28">D40-D43-D44-D45-D47-D46</f>
        <v>137.41617056418391</v>
      </c>
      <c r="E48" s="59">
        <f t="shared" si="28"/>
        <v>-132.78661371894947</v>
      </c>
      <c r="F48" s="59">
        <f t="shared" si="28"/>
        <v>13.654516153964776</v>
      </c>
      <c r="G48" s="59" t="e">
        <f t="shared" si="28"/>
        <v>#DIV/0!</v>
      </c>
      <c r="H48" s="59" t="e">
        <f t="shared" si="28"/>
        <v>#DIV/0!</v>
      </c>
      <c r="I48" s="59"/>
      <c r="T48" s="55" t="s">
        <v>96</v>
      </c>
      <c r="AJ48" s="52" t="s">
        <v>95</v>
      </c>
      <c r="AK48" s="55" t="s">
        <v>96</v>
      </c>
    </row>
    <row r="51" spans="2:14">
      <c r="C51" s="66"/>
      <c r="D51" s="66"/>
      <c r="E51" s="66"/>
      <c r="F51" s="66"/>
      <c r="G51" s="66"/>
      <c r="H51" s="66"/>
    </row>
    <row r="54" spans="2:14">
      <c r="B54" s="67"/>
      <c r="C54" s="68"/>
      <c r="D54" s="68"/>
      <c r="E54" s="68"/>
      <c r="F54" s="68"/>
      <c r="G54" s="68"/>
      <c r="H54" s="68"/>
      <c r="I54" s="68"/>
      <c r="J54" s="67"/>
      <c r="K54" s="67"/>
      <c r="L54" s="67"/>
      <c r="M54" s="67"/>
      <c r="N54" s="67"/>
    </row>
    <row r="55" spans="2:14">
      <c r="B55" s="67"/>
      <c r="C55" s="68"/>
      <c r="D55" s="68"/>
      <c r="E55" s="68"/>
      <c r="F55" s="68"/>
      <c r="G55" s="68"/>
      <c r="H55" s="68"/>
      <c r="I55" s="68"/>
      <c r="J55" s="67"/>
      <c r="K55" s="67"/>
      <c r="L55" s="67"/>
      <c r="M55" s="67"/>
      <c r="N55" s="67"/>
    </row>
    <row r="56" spans="2:14">
      <c r="B56" s="67"/>
      <c r="C56" s="68"/>
      <c r="D56" s="68"/>
      <c r="E56" s="68"/>
      <c r="F56" s="68"/>
      <c r="G56" s="68"/>
      <c r="H56" s="68"/>
      <c r="I56" s="68"/>
      <c r="J56" s="67"/>
      <c r="K56" s="67"/>
      <c r="L56" s="67"/>
      <c r="M56" s="67"/>
      <c r="N56" s="67"/>
    </row>
    <row r="57" spans="2:14">
      <c r="B57" s="67"/>
      <c r="C57" s="68"/>
      <c r="D57" s="68"/>
      <c r="E57" s="68"/>
      <c r="F57" s="68"/>
      <c r="G57" s="68"/>
      <c r="H57" s="68"/>
      <c r="I57" s="68"/>
      <c r="J57" s="67"/>
      <c r="K57" s="67"/>
      <c r="L57" s="67"/>
      <c r="M57" s="67"/>
      <c r="N57" s="67"/>
    </row>
    <row r="58" spans="2:14">
      <c r="B58" s="67"/>
      <c r="C58" s="68"/>
      <c r="D58" s="68"/>
      <c r="E58" s="68"/>
      <c r="F58" s="68"/>
      <c r="G58" s="68"/>
      <c r="H58" s="68"/>
      <c r="I58" s="68"/>
      <c r="J58" s="67"/>
      <c r="K58" s="67"/>
      <c r="L58" s="67"/>
      <c r="M58" s="67"/>
      <c r="N58" s="67"/>
    </row>
    <row r="59" spans="2:14">
      <c r="B59" s="67"/>
      <c r="C59" s="68"/>
      <c r="D59" s="68"/>
      <c r="E59" s="68"/>
      <c r="F59" s="68"/>
      <c r="G59" s="68"/>
      <c r="H59" s="68"/>
      <c r="I59" s="68"/>
      <c r="J59" s="67"/>
      <c r="K59" s="67"/>
      <c r="L59" s="67"/>
      <c r="M59" s="67"/>
      <c r="N59" s="67"/>
    </row>
    <row r="60" spans="2:14">
      <c r="B60" s="67"/>
      <c r="C60" s="68"/>
      <c r="D60" s="68"/>
      <c r="E60" s="68"/>
      <c r="F60" s="68"/>
      <c r="G60" s="68"/>
      <c r="H60" s="68"/>
      <c r="I60" s="68"/>
      <c r="J60" s="67"/>
      <c r="K60" s="67"/>
      <c r="L60" s="67"/>
      <c r="M60" s="67"/>
      <c r="N60" s="67"/>
    </row>
    <row r="61" spans="2:14">
      <c r="B61" s="67"/>
      <c r="C61" s="68"/>
      <c r="D61" s="68"/>
      <c r="E61" s="68"/>
      <c r="F61" s="68"/>
      <c r="G61" s="68"/>
      <c r="H61" s="68"/>
      <c r="I61" s="68"/>
      <c r="J61" s="67"/>
      <c r="K61" s="67"/>
      <c r="L61" s="67"/>
      <c r="M61" s="67"/>
      <c r="N61" s="67"/>
    </row>
    <row r="62" spans="2:14">
      <c r="B62" s="67"/>
      <c r="C62" s="68"/>
      <c r="D62" s="68"/>
      <c r="E62" s="68"/>
      <c r="F62" s="68"/>
      <c r="G62" s="68"/>
      <c r="H62" s="68"/>
      <c r="I62" s="68"/>
      <c r="J62" s="67"/>
      <c r="K62" s="67"/>
      <c r="L62" s="67"/>
      <c r="M62" s="67"/>
      <c r="N62" s="67"/>
    </row>
    <row r="63" spans="2:14">
      <c r="B63" s="67"/>
      <c r="C63" s="68"/>
      <c r="D63" s="68"/>
      <c r="E63" s="68"/>
      <c r="F63" s="68"/>
      <c r="G63" s="68"/>
      <c r="H63" s="68"/>
      <c r="I63" s="68"/>
      <c r="J63" s="67"/>
      <c r="K63" s="67"/>
      <c r="L63" s="67"/>
      <c r="M63" s="67"/>
      <c r="N63" s="67"/>
    </row>
    <row r="64" spans="2:14">
      <c r="B64" s="67"/>
      <c r="C64" s="68"/>
      <c r="D64" s="68"/>
      <c r="E64" s="68"/>
      <c r="F64" s="68"/>
      <c r="G64" s="68"/>
      <c r="H64" s="68"/>
      <c r="I64" s="68"/>
      <c r="J64" s="67"/>
      <c r="K64" s="67"/>
      <c r="L64" s="67"/>
      <c r="M64" s="67"/>
      <c r="N64" s="67"/>
    </row>
    <row r="65" spans="2:14">
      <c r="B65" s="67"/>
      <c r="C65" s="68"/>
      <c r="D65" s="68"/>
      <c r="E65" s="68"/>
      <c r="F65" s="68"/>
      <c r="G65" s="68"/>
      <c r="H65" s="68"/>
      <c r="I65" s="68"/>
      <c r="J65" s="67"/>
      <c r="K65" s="67"/>
      <c r="L65" s="67"/>
      <c r="M65" s="67"/>
      <c r="N65" s="67"/>
    </row>
    <row r="66" spans="2:14">
      <c r="B66" s="67"/>
      <c r="C66" s="68"/>
      <c r="D66" s="68"/>
      <c r="E66" s="68"/>
      <c r="F66" s="68"/>
      <c r="G66" s="68"/>
      <c r="H66" s="68"/>
      <c r="I66" s="68"/>
      <c r="J66" s="67"/>
      <c r="K66" s="67"/>
      <c r="L66" s="67"/>
      <c r="M66" s="67"/>
      <c r="N66" s="67"/>
    </row>
    <row r="67" spans="2:14">
      <c r="B67" s="67"/>
      <c r="C67" s="68"/>
      <c r="D67" s="68"/>
      <c r="E67" s="68"/>
      <c r="F67" s="68"/>
      <c r="G67" s="68"/>
      <c r="H67" s="68"/>
      <c r="I67" s="68"/>
      <c r="J67" s="67"/>
    </row>
    <row r="68" spans="2:14">
      <c r="B68" s="67"/>
      <c r="C68" s="68"/>
      <c r="D68" s="68"/>
      <c r="E68" s="68"/>
      <c r="F68" s="68"/>
      <c r="G68" s="68"/>
      <c r="H68" s="68"/>
      <c r="I68" s="68"/>
      <c r="J68" s="67"/>
    </row>
    <row r="69" spans="2:14">
      <c r="B69" s="67"/>
      <c r="C69" s="68"/>
      <c r="D69" s="68"/>
      <c r="E69" s="68"/>
      <c r="F69" s="68"/>
      <c r="G69" s="68"/>
      <c r="H69" s="68"/>
      <c r="I69" s="68"/>
      <c r="J69" s="67"/>
    </row>
    <row r="70" spans="2:14">
      <c r="B70" s="67"/>
      <c r="C70" s="68"/>
      <c r="D70" s="68"/>
      <c r="E70" s="68"/>
      <c r="F70" s="68"/>
      <c r="G70" s="68"/>
      <c r="H70" s="68"/>
      <c r="I70" s="68"/>
      <c r="J70" s="67"/>
    </row>
    <row r="71" spans="2:14">
      <c r="B71" s="67"/>
      <c r="C71" s="68"/>
      <c r="D71" s="68"/>
      <c r="E71" s="68"/>
      <c r="F71" s="68"/>
      <c r="G71" s="68"/>
      <c r="H71" s="68"/>
      <c r="I71" s="68"/>
      <c r="J71" s="67"/>
    </row>
    <row r="72" spans="2:14">
      <c r="B72" s="67"/>
      <c r="C72" s="68"/>
      <c r="D72" s="68"/>
      <c r="E72" s="68"/>
      <c r="F72" s="68"/>
      <c r="G72" s="68"/>
      <c r="H72" s="68"/>
      <c r="I72" s="68"/>
      <c r="J72" s="67"/>
    </row>
    <row r="73" spans="2:14">
      <c r="B73" s="67"/>
      <c r="C73" s="68"/>
      <c r="D73" s="68"/>
      <c r="E73" s="68"/>
      <c r="F73" s="68"/>
      <c r="G73" s="68"/>
      <c r="H73" s="68"/>
      <c r="I73" s="68"/>
      <c r="J73" s="67"/>
    </row>
    <row r="74" spans="2:14">
      <c r="B74" s="67"/>
      <c r="C74" s="68"/>
      <c r="D74" s="68"/>
      <c r="E74" s="68"/>
      <c r="F74" s="68"/>
      <c r="G74" s="68"/>
      <c r="H74" s="68"/>
      <c r="I74" s="68"/>
      <c r="J74" s="67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20" activePane="bottomRight" state="frozen"/>
      <selection pane="topRight"/>
      <selection pane="bottomLeft"/>
      <selection pane="bottomRight" activeCell="G22" sqref="G22"/>
    </sheetView>
  </sheetViews>
  <sheetFormatPr defaultColWidth="9" defaultRowHeight="16.5"/>
  <cols>
    <col min="1" max="1" width="5.125" style="48" customWidth="1"/>
    <col min="2" max="2" width="17.5" style="48" customWidth="1"/>
    <col min="3" max="8" width="13.25" style="49" customWidth="1"/>
    <col min="9" max="9" width="18.75" style="49" customWidth="1"/>
    <col min="10" max="10" width="12.375" style="48" customWidth="1"/>
    <col min="11" max="11" width="10.125" style="48" customWidth="1"/>
    <col min="12" max="18" width="9" style="48" customWidth="1"/>
    <col min="19" max="35" width="9" style="48"/>
    <col min="36" max="36" width="4.375" style="48" customWidth="1"/>
    <col min="37" max="37" width="13.875" style="48" customWidth="1"/>
    <col min="38" max="16384" width="9" style="48"/>
  </cols>
  <sheetData>
    <row r="1" spans="1:38">
      <c r="A1" s="217" t="s">
        <v>136</v>
      </c>
      <c r="B1" s="217"/>
      <c r="C1" s="221" t="s">
        <v>265</v>
      </c>
      <c r="D1" s="222"/>
      <c r="E1" s="222"/>
      <c r="F1" s="222"/>
      <c r="G1" s="222"/>
      <c r="H1" s="222"/>
      <c r="I1" s="223"/>
    </row>
    <row r="2" spans="1:38">
      <c r="A2" s="217" t="s">
        <v>137</v>
      </c>
      <c r="B2" s="217"/>
      <c r="C2" s="224" t="str">
        <f>'2023年'!C2:I2</f>
        <v>一汽解放</v>
      </c>
      <c r="D2" s="224"/>
      <c r="E2" s="224"/>
      <c r="F2" s="224"/>
      <c r="G2" s="224"/>
      <c r="H2" s="224"/>
      <c r="I2" s="224"/>
    </row>
    <row r="3" spans="1:38">
      <c r="A3" s="217" t="s">
        <v>138</v>
      </c>
      <c r="B3" s="217"/>
      <c r="C3" s="157" t="str">
        <f>'销量 附加值'!C5</f>
        <v>驾驶员座总成</v>
      </c>
      <c r="D3" s="157" t="str">
        <f>'销量 附加值'!D5</f>
        <v>驾驶员座总成</v>
      </c>
      <c r="E3" s="157" t="str">
        <f>'销量 附加值'!E5</f>
        <v>前座总成</v>
      </c>
      <c r="F3" s="157" t="str">
        <f>'销量 附加值'!F5</f>
        <v>前座总成</v>
      </c>
      <c r="G3" s="157">
        <f>'销量 附加值'!G5</f>
        <v>0</v>
      </c>
      <c r="H3" s="157">
        <f>'销量 附加值'!H5</f>
        <v>0</v>
      </c>
      <c r="I3" s="218" t="s">
        <v>14</v>
      </c>
    </row>
    <row r="4" spans="1:38" ht="32.25" customHeight="1">
      <c r="A4" s="217" t="s">
        <v>139</v>
      </c>
      <c r="B4" s="217"/>
      <c r="C4" s="157" t="str">
        <f>'销量 附加值'!C6</f>
        <v>/</v>
      </c>
      <c r="D4" s="157" t="str">
        <f>'销量 附加值'!D6</f>
        <v>/</v>
      </c>
      <c r="E4" s="157" t="str">
        <f>'销量 附加值'!E6</f>
        <v>/</v>
      </c>
      <c r="F4" s="157" t="str">
        <f>'销量 附加值'!F6</f>
        <v>/</v>
      </c>
      <c r="G4" s="157">
        <f>'销量 附加值'!G6</f>
        <v>0</v>
      </c>
      <c r="H4" s="157">
        <f>'销量 附加值'!H6</f>
        <v>0</v>
      </c>
      <c r="I4" s="219"/>
    </row>
    <row r="5" spans="1:38">
      <c r="A5" s="217" t="s">
        <v>140</v>
      </c>
      <c r="B5" s="217"/>
      <c r="C5" s="51"/>
      <c r="D5" s="51"/>
      <c r="E5" s="51"/>
      <c r="F5" s="51"/>
      <c r="G5" s="51"/>
      <c r="H5" s="51"/>
      <c r="I5" s="220"/>
      <c r="AL5" s="48" t="s">
        <v>15</v>
      </c>
    </row>
    <row r="6" spans="1:38" ht="17.25">
      <c r="A6" s="52" t="s">
        <v>13</v>
      </c>
      <c r="B6" s="53" t="s">
        <v>141</v>
      </c>
      <c r="C6" s="21">
        <f>'销量 附加值'!C14</f>
        <v>1650</v>
      </c>
      <c r="D6" s="21">
        <f>'销量 附加值'!D14</f>
        <v>3350</v>
      </c>
      <c r="E6" s="21">
        <f>'销量 附加值'!E14</f>
        <v>625</v>
      </c>
      <c r="F6" s="21">
        <f>'销量 附加值'!F14</f>
        <v>625</v>
      </c>
      <c r="G6" s="21">
        <f>'销量 附加值'!G14</f>
        <v>0</v>
      </c>
      <c r="H6" s="21">
        <f>'销量 附加值'!H14</f>
        <v>0</v>
      </c>
      <c r="I6" s="54">
        <f>SUM(C6:H6)</f>
        <v>6250</v>
      </c>
      <c r="T6" s="53" t="s">
        <v>3</v>
      </c>
      <c r="AJ6" s="52" t="s">
        <v>13</v>
      </c>
      <c r="AK6" s="53" t="s">
        <v>3</v>
      </c>
      <c r="AL6" s="48" t="s">
        <v>16</v>
      </c>
    </row>
    <row r="7" spans="1:38">
      <c r="A7" s="178">
        <v>1</v>
      </c>
      <c r="B7" s="53" t="s">
        <v>17</v>
      </c>
      <c r="C7" s="54">
        <f>C6*'销量 附加值'!C8</f>
        <v>5387250</v>
      </c>
      <c r="D7" s="54">
        <f>D6*'销量 附加值'!D8</f>
        <v>8592750</v>
      </c>
      <c r="E7" s="54">
        <f>E6*'销量 附加值'!E8</f>
        <v>550000</v>
      </c>
      <c r="F7" s="54">
        <f>F6*'销量 附加值'!F8</f>
        <v>487500</v>
      </c>
      <c r="G7" s="54">
        <f>G6*'销量 附加值'!G8</f>
        <v>0</v>
      </c>
      <c r="H7" s="54">
        <f>H6*'销量 附加值'!H8</f>
        <v>0</v>
      </c>
      <c r="I7" s="54">
        <f t="shared" ref="I7:I22" si="0">SUM(C7:H7)</f>
        <v>15017500</v>
      </c>
      <c r="J7" s="49"/>
      <c r="T7" s="53" t="s">
        <v>17</v>
      </c>
      <c r="AJ7" s="52" t="s">
        <v>18</v>
      </c>
      <c r="AK7" s="53" t="s">
        <v>17</v>
      </c>
      <c r="AL7" s="48" t="s">
        <v>16</v>
      </c>
    </row>
    <row r="8" spans="1:38">
      <c r="A8" s="178">
        <v>2</v>
      </c>
      <c r="B8" s="178" t="s">
        <v>19</v>
      </c>
      <c r="C8" s="54">
        <f>C7*(1-'销量 附加值'!$L$11)</f>
        <v>761035.12004767498</v>
      </c>
      <c r="D8" s="54">
        <f>D7*(1-'销量 附加值'!$L$11)</f>
        <v>1213863.2006663249</v>
      </c>
      <c r="E8" s="54">
        <f>E7*(1-'销量 附加值'!$L$11)</f>
        <v>77696.285864999998</v>
      </c>
      <c r="F8" s="54">
        <f>F7*(1-'销量 附加值'!$L$11)</f>
        <v>68867.162471249991</v>
      </c>
      <c r="G8" s="54">
        <f>G7*(1-'销量 附加值'!$L$11)</f>
        <v>0</v>
      </c>
      <c r="H8" s="54">
        <f>H7*(1-'销量 附加值'!$L$11)</f>
        <v>0</v>
      </c>
      <c r="I8" s="54">
        <f t="shared" si="0"/>
        <v>2121461.7690502498</v>
      </c>
      <c r="J8" s="69"/>
      <c r="T8" s="178" t="s">
        <v>21</v>
      </c>
      <c r="AJ8" s="52" t="s">
        <v>20</v>
      </c>
      <c r="AK8" s="178" t="s">
        <v>21</v>
      </c>
      <c r="AL8" s="48" t="s">
        <v>16</v>
      </c>
    </row>
    <row r="9" spans="1:38">
      <c r="A9" s="178">
        <v>3</v>
      </c>
      <c r="B9" s="53" t="s">
        <v>22</v>
      </c>
      <c r="C9" s="54">
        <f>+C7-C8</f>
        <v>4626214.8799523246</v>
      </c>
      <c r="D9" s="54">
        <f t="shared" ref="D9:H9" si="1">+D7-D8</f>
        <v>7378886.7993336748</v>
      </c>
      <c r="E9" s="54">
        <f t="shared" si="1"/>
        <v>472303.71413500002</v>
      </c>
      <c r="F9" s="54">
        <f t="shared" si="1"/>
        <v>418632.83752875001</v>
      </c>
      <c r="G9" s="54">
        <f t="shared" si="1"/>
        <v>0</v>
      </c>
      <c r="H9" s="54">
        <f t="shared" si="1"/>
        <v>0</v>
      </c>
      <c r="I9" s="54">
        <f t="shared" si="0"/>
        <v>12896038.23094975</v>
      </c>
      <c r="T9" s="53" t="s">
        <v>22</v>
      </c>
      <c r="AJ9" s="52" t="s">
        <v>23</v>
      </c>
      <c r="AK9" s="53" t="s">
        <v>22</v>
      </c>
      <c r="AL9" s="48" t="s">
        <v>24</v>
      </c>
    </row>
    <row r="10" spans="1:38">
      <c r="A10" s="178">
        <v>4</v>
      </c>
      <c r="B10" s="52" t="s">
        <v>25</v>
      </c>
      <c r="C10" s="54">
        <f>C6*C33</f>
        <v>3172982.8724924223</v>
      </c>
      <c r="D10" s="54">
        <f t="shared" ref="D10:H10" si="2">D6*D33</f>
        <v>5397168.5605298039</v>
      </c>
      <c r="E10" s="54">
        <f t="shared" si="2"/>
        <v>450674.837591002</v>
      </c>
      <c r="F10" s="54">
        <f t="shared" si="2"/>
        <v>319160.77599929768</v>
      </c>
      <c r="G10" s="54">
        <f t="shared" si="2"/>
        <v>0</v>
      </c>
      <c r="H10" s="54">
        <f t="shared" si="2"/>
        <v>0</v>
      </c>
      <c r="I10" s="54">
        <f t="shared" si="0"/>
        <v>9339987.0466125272</v>
      </c>
      <c r="T10" s="52" t="s">
        <v>25</v>
      </c>
      <c r="AJ10" s="52" t="s">
        <v>26</v>
      </c>
      <c r="AK10" s="52" t="s">
        <v>25</v>
      </c>
      <c r="AL10" s="48" t="s">
        <v>27</v>
      </c>
    </row>
    <row r="11" spans="1:38">
      <c r="A11" s="178">
        <v>5</v>
      </c>
      <c r="B11" s="52" t="s">
        <v>28</v>
      </c>
      <c r="C11" s="54">
        <f>+C6*C36</f>
        <v>84579.824999999983</v>
      </c>
      <c r="D11" s="54">
        <f t="shared" ref="D11:H11" si="3">+D6*D36</f>
        <v>134906.17499999999</v>
      </c>
      <c r="E11" s="54">
        <f t="shared" si="3"/>
        <v>8635</v>
      </c>
      <c r="F11" s="54">
        <f t="shared" si="3"/>
        <v>7653.7499999999991</v>
      </c>
      <c r="G11" s="54">
        <f t="shared" si="3"/>
        <v>0</v>
      </c>
      <c r="H11" s="54">
        <f t="shared" si="3"/>
        <v>0</v>
      </c>
      <c r="I11" s="54">
        <f t="shared" si="0"/>
        <v>235774.74999999997</v>
      </c>
      <c r="T11" s="52" t="s">
        <v>28</v>
      </c>
      <c r="AJ11" s="52" t="s">
        <v>29</v>
      </c>
      <c r="AK11" s="52" t="s">
        <v>28</v>
      </c>
    </row>
    <row r="12" spans="1:38">
      <c r="A12" s="178">
        <v>6</v>
      </c>
      <c r="B12" s="52" t="s">
        <v>30</v>
      </c>
      <c r="C12" s="54">
        <f>+C6*C37</f>
        <v>20471.55</v>
      </c>
      <c r="D12" s="54">
        <f t="shared" ref="D12:H12" si="4">+D6*D37</f>
        <v>32652.45</v>
      </c>
      <c r="E12" s="54">
        <f t="shared" si="4"/>
        <v>2090</v>
      </c>
      <c r="F12" s="54">
        <f t="shared" si="4"/>
        <v>1852.5</v>
      </c>
      <c r="G12" s="54">
        <f t="shared" si="4"/>
        <v>0</v>
      </c>
      <c r="H12" s="54">
        <f t="shared" si="4"/>
        <v>0</v>
      </c>
      <c r="I12" s="54">
        <f t="shared" si="0"/>
        <v>57066.5</v>
      </c>
      <c r="T12" s="52" t="s">
        <v>30</v>
      </c>
      <c r="AJ12" s="52" t="s">
        <v>31</v>
      </c>
      <c r="AK12" s="52" t="s">
        <v>30</v>
      </c>
    </row>
    <row r="13" spans="1:38">
      <c r="A13" s="178">
        <v>7</v>
      </c>
      <c r="B13" s="52" t="s">
        <v>32</v>
      </c>
      <c r="C13" s="54">
        <f>+C6*C38</f>
        <v>138452.32500000001</v>
      </c>
      <c r="D13" s="54">
        <f t="shared" ref="D13:H13" si="5">+D6*D38</f>
        <v>220833.67500000002</v>
      </c>
      <c r="E13" s="54">
        <f t="shared" si="5"/>
        <v>14135</v>
      </c>
      <c r="F13" s="54">
        <f t="shared" si="5"/>
        <v>12528.75</v>
      </c>
      <c r="G13" s="54">
        <f t="shared" si="5"/>
        <v>0</v>
      </c>
      <c r="H13" s="54">
        <f t="shared" si="5"/>
        <v>0</v>
      </c>
      <c r="I13" s="54">
        <f t="shared" si="0"/>
        <v>385949.75</v>
      </c>
      <c r="T13" s="52" t="s">
        <v>32</v>
      </c>
      <c r="AJ13" s="52" t="s">
        <v>33</v>
      </c>
      <c r="AK13" s="52" t="s">
        <v>32</v>
      </c>
      <c r="AL13" s="48" t="s">
        <v>16</v>
      </c>
    </row>
    <row r="14" spans="1:38">
      <c r="A14" s="178">
        <v>8</v>
      </c>
      <c r="B14" s="55" t="s">
        <v>34</v>
      </c>
      <c r="C14" s="54">
        <f>SUM(C11:C13)</f>
        <v>243503.7</v>
      </c>
      <c r="D14" s="54">
        <f t="shared" ref="D14:H14" si="6">SUM(D11:D13)</f>
        <v>388392.30000000005</v>
      </c>
      <c r="E14" s="54">
        <f t="shared" si="6"/>
        <v>24860</v>
      </c>
      <c r="F14" s="54">
        <f t="shared" si="6"/>
        <v>22035</v>
      </c>
      <c r="G14" s="54">
        <f t="shared" si="6"/>
        <v>0</v>
      </c>
      <c r="H14" s="54">
        <f t="shared" si="6"/>
        <v>0</v>
      </c>
      <c r="I14" s="54">
        <f t="shared" si="0"/>
        <v>678791</v>
      </c>
      <c r="T14" s="55" t="s">
        <v>34</v>
      </c>
      <c r="AJ14" s="52" t="s">
        <v>35</v>
      </c>
      <c r="AK14" s="55" t="s">
        <v>34</v>
      </c>
    </row>
    <row r="15" spans="1:38">
      <c r="A15" s="178">
        <v>9</v>
      </c>
      <c r="B15" s="55" t="s">
        <v>36</v>
      </c>
      <c r="C15" s="54">
        <f>+C9-C10-C14</f>
        <v>1209728.3074599023</v>
      </c>
      <c r="D15" s="54">
        <f t="shared" ref="D15:H15" si="7">+D9-D10-D14</f>
        <v>1593325.9388038709</v>
      </c>
      <c r="E15" s="54">
        <f t="shared" si="7"/>
        <v>-3231.1234560019802</v>
      </c>
      <c r="F15" s="54">
        <f t="shared" si="7"/>
        <v>77437.06152945233</v>
      </c>
      <c r="G15" s="54">
        <f t="shared" si="7"/>
        <v>0</v>
      </c>
      <c r="H15" s="54">
        <f t="shared" si="7"/>
        <v>0</v>
      </c>
      <c r="I15" s="54">
        <f t="shared" si="0"/>
        <v>2877260.1843372234</v>
      </c>
      <c r="T15" s="55" t="s">
        <v>36</v>
      </c>
      <c r="AJ15" s="52" t="s">
        <v>37</v>
      </c>
      <c r="AK15" s="55" t="s">
        <v>36</v>
      </c>
    </row>
    <row r="16" spans="1:38">
      <c r="A16" s="178">
        <v>10</v>
      </c>
      <c r="B16" s="52" t="s">
        <v>38</v>
      </c>
      <c r="C16" s="56">
        <f>+C15/C9</f>
        <v>0.26149418884588627</v>
      </c>
      <c r="D16" s="56">
        <f t="shared" ref="D16:I16" si="8">+D15/D9</f>
        <v>0.21593039466979638</v>
      </c>
      <c r="E16" s="56">
        <f t="shared" si="8"/>
        <v>-6.841198490085171E-3</v>
      </c>
      <c r="F16" s="56">
        <f t="shared" si="8"/>
        <v>0.18497608067865501</v>
      </c>
      <c r="G16" s="56" t="e">
        <f t="shared" si="8"/>
        <v>#DIV/0!</v>
      </c>
      <c r="H16" s="56" t="e">
        <f t="shared" si="8"/>
        <v>#DIV/0!</v>
      </c>
      <c r="I16" s="56">
        <f t="shared" si="8"/>
        <v>0.22311194591777531</v>
      </c>
      <c r="T16" s="52" t="s">
        <v>38</v>
      </c>
      <c r="AJ16" s="52" t="s">
        <v>39</v>
      </c>
      <c r="AK16" s="52" t="s">
        <v>38</v>
      </c>
    </row>
    <row r="17" spans="1:38">
      <c r="A17" s="178">
        <v>11</v>
      </c>
      <c r="B17" s="52" t="s">
        <v>40</v>
      </c>
      <c r="C17" s="54">
        <f>C6*C43+C18</f>
        <v>302559.40000000002</v>
      </c>
      <c r="D17" s="54">
        <f t="shared" ref="D17:H17" si="9">D6*D43+D18</f>
        <v>502665.26666666672</v>
      </c>
      <c r="E17" s="54">
        <f t="shared" si="9"/>
        <v>43652.083333333343</v>
      </c>
      <c r="F17" s="54">
        <f t="shared" si="9"/>
        <v>40677.083333333336</v>
      </c>
      <c r="G17" s="54">
        <f t="shared" si="9"/>
        <v>0</v>
      </c>
      <c r="H17" s="54">
        <f t="shared" si="9"/>
        <v>0</v>
      </c>
      <c r="I17" s="54">
        <f t="shared" si="0"/>
        <v>889553.83333333349</v>
      </c>
      <c r="J17" s="69"/>
      <c r="T17" s="52" t="s">
        <v>40</v>
      </c>
      <c r="AJ17" s="52" t="s">
        <v>41</v>
      </c>
      <c r="AK17" s="52" t="s">
        <v>40</v>
      </c>
    </row>
    <row r="18" spans="1:38" s="46" customFormat="1">
      <c r="A18" s="178">
        <v>12</v>
      </c>
      <c r="B18" s="57" t="s">
        <v>142</v>
      </c>
      <c r="C18" s="58">
        <f>$I$18/$I$6*C6</f>
        <v>46126.3</v>
      </c>
      <c r="D18" s="58">
        <f t="shared" ref="D18:H18" si="10">$I$18/$I$6*D6</f>
        <v>93650.366666666669</v>
      </c>
      <c r="E18" s="58">
        <f t="shared" si="10"/>
        <v>17472.083333333336</v>
      </c>
      <c r="F18" s="58">
        <f t="shared" si="10"/>
        <v>17472.083333333336</v>
      </c>
      <c r="G18" s="58">
        <f t="shared" si="10"/>
        <v>0</v>
      </c>
      <c r="H18" s="58">
        <f t="shared" si="10"/>
        <v>0</v>
      </c>
      <c r="I18" s="58">
        <f>项目投资!I26</f>
        <v>174720.83333333334</v>
      </c>
      <c r="J18" s="70" t="s">
        <v>143</v>
      </c>
      <c r="K18" s="70"/>
      <c r="L18" s="70"/>
    </row>
    <row r="19" spans="1:38">
      <c r="A19" s="178">
        <v>13</v>
      </c>
      <c r="B19" s="52" t="s">
        <v>42</v>
      </c>
      <c r="C19" s="54">
        <f>C6*C44</f>
        <v>40404.375</v>
      </c>
      <c r="D19" s="54">
        <f t="shared" ref="D19:H19" si="11">D6*D44</f>
        <v>64445.625</v>
      </c>
      <c r="E19" s="54">
        <f t="shared" si="11"/>
        <v>4125</v>
      </c>
      <c r="F19" s="54">
        <f t="shared" si="11"/>
        <v>3656.25</v>
      </c>
      <c r="G19" s="54">
        <f t="shared" si="11"/>
        <v>0</v>
      </c>
      <c r="H19" s="54">
        <f t="shared" si="11"/>
        <v>0</v>
      </c>
      <c r="I19" s="54">
        <f t="shared" si="0"/>
        <v>112631.25</v>
      </c>
      <c r="J19" s="46"/>
      <c r="T19" s="52" t="s">
        <v>42</v>
      </c>
      <c r="AJ19" s="52" t="s">
        <v>43</v>
      </c>
      <c r="AK19" s="52" t="s">
        <v>42</v>
      </c>
      <c r="AL19" s="48" t="s">
        <v>16</v>
      </c>
    </row>
    <row r="20" spans="1:38">
      <c r="A20" s="178">
        <v>14</v>
      </c>
      <c r="B20" s="52" t="s">
        <v>44</v>
      </c>
      <c r="C20" s="54">
        <f>C6*C45</f>
        <v>162156.22500000001</v>
      </c>
      <c r="D20" s="54">
        <f t="shared" ref="D20:H20" si="12">D6*D45</f>
        <v>258641.77499999997</v>
      </c>
      <c r="E20" s="54">
        <f t="shared" si="12"/>
        <v>16555</v>
      </c>
      <c r="F20" s="54">
        <f t="shared" si="12"/>
        <v>14673.749999999998</v>
      </c>
      <c r="G20" s="54">
        <f t="shared" si="12"/>
        <v>0</v>
      </c>
      <c r="H20" s="54">
        <f t="shared" si="12"/>
        <v>0</v>
      </c>
      <c r="I20" s="54">
        <f t="shared" si="0"/>
        <v>452026.75</v>
      </c>
      <c r="T20" s="52" t="s">
        <v>44</v>
      </c>
      <c r="AJ20" s="52" t="s">
        <v>45</v>
      </c>
      <c r="AK20" s="52" t="s">
        <v>44</v>
      </c>
    </row>
    <row r="21" spans="1:38">
      <c r="A21" s="178">
        <v>15</v>
      </c>
      <c r="B21" s="52" t="s">
        <v>46</v>
      </c>
      <c r="C21" s="59">
        <f>$I$21/$I$6*C6</f>
        <v>9614</v>
      </c>
      <c r="D21" s="59">
        <f t="shared" ref="D21:H21" si="13">$I$21/$I$6*D6</f>
        <v>19519.333333333332</v>
      </c>
      <c r="E21" s="59">
        <f t="shared" si="13"/>
        <v>3641.6666666666665</v>
      </c>
      <c r="F21" s="59">
        <f t="shared" si="13"/>
        <v>3641.6666666666665</v>
      </c>
      <c r="G21" s="59">
        <f t="shared" si="13"/>
        <v>0</v>
      </c>
      <c r="H21" s="59">
        <f t="shared" si="13"/>
        <v>0</v>
      </c>
      <c r="I21" s="54">
        <f>项目投资!I27</f>
        <v>36416.666666666664</v>
      </c>
      <c r="T21" s="52" t="s">
        <v>46</v>
      </c>
      <c r="AJ21" s="52"/>
      <c r="AK21" s="52"/>
    </row>
    <row r="22" spans="1:38">
      <c r="A22" s="178">
        <v>16</v>
      </c>
      <c r="B22" s="52" t="s">
        <v>47</v>
      </c>
      <c r="C22" s="54">
        <f>C6*C47</f>
        <v>269362.5</v>
      </c>
      <c r="D22" s="54">
        <f t="shared" ref="D22:H22" si="14">D6*D47</f>
        <v>429637.5</v>
      </c>
      <c r="E22" s="54">
        <f t="shared" si="14"/>
        <v>27500</v>
      </c>
      <c r="F22" s="54">
        <f t="shared" si="14"/>
        <v>24375</v>
      </c>
      <c r="G22" s="54">
        <f t="shared" si="14"/>
        <v>0</v>
      </c>
      <c r="H22" s="54">
        <f t="shared" si="14"/>
        <v>0</v>
      </c>
      <c r="I22" s="54">
        <f t="shared" si="0"/>
        <v>750875</v>
      </c>
      <c r="T22" s="52" t="s">
        <v>47</v>
      </c>
      <c r="AJ22" s="52" t="s">
        <v>48</v>
      </c>
      <c r="AK22" s="52" t="s">
        <v>47</v>
      </c>
    </row>
    <row r="23" spans="1:38">
      <c r="A23" s="178">
        <v>17</v>
      </c>
      <c r="B23" s="55" t="s">
        <v>49</v>
      </c>
      <c r="C23" s="59">
        <f>+C22+C21+C20+C19+C17</f>
        <v>784096.5</v>
      </c>
      <c r="D23" s="59">
        <f t="shared" ref="D23:I23" si="15">+D22+D21+D20+D19+D17</f>
        <v>1274909.5</v>
      </c>
      <c r="E23" s="59">
        <f t="shared" si="15"/>
        <v>95473.750000000015</v>
      </c>
      <c r="F23" s="59">
        <f t="shared" si="15"/>
        <v>87023.75</v>
      </c>
      <c r="G23" s="59">
        <f t="shared" si="15"/>
        <v>0</v>
      </c>
      <c r="H23" s="59">
        <f t="shared" si="15"/>
        <v>0</v>
      </c>
      <c r="I23" s="59">
        <f t="shared" si="15"/>
        <v>2241503.5</v>
      </c>
      <c r="T23" s="55" t="s">
        <v>49</v>
      </c>
      <c r="AJ23" s="52" t="s">
        <v>50</v>
      </c>
      <c r="AK23" s="55" t="s">
        <v>49</v>
      </c>
    </row>
    <row r="24" spans="1:38">
      <c r="A24" s="178">
        <v>18</v>
      </c>
      <c r="B24" s="60" t="s">
        <v>51</v>
      </c>
      <c r="C24" s="59">
        <f>+C15-C23</f>
        <v>425631.80745990225</v>
      </c>
      <c r="D24" s="59">
        <f t="shared" ref="D24:I24" si="16">+D15-D23</f>
        <v>318416.43880387093</v>
      </c>
      <c r="E24" s="59">
        <f t="shared" si="16"/>
        <v>-98704.873456001995</v>
      </c>
      <c r="F24" s="59">
        <f t="shared" si="16"/>
        <v>-9586.6884705476696</v>
      </c>
      <c r="G24" s="59">
        <f t="shared" si="16"/>
        <v>0</v>
      </c>
      <c r="H24" s="59">
        <f t="shared" si="16"/>
        <v>0</v>
      </c>
      <c r="I24" s="59">
        <f t="shared" si="16"/>
        <v>635756.68433722341</v>
      </c>
      <c r="K24" s="71"/>
      <c r="T24" s="52" t="s">
        <v>51</v>
      </c>
      <c r="AJ24" s="52" t="s">
        <v>52</v>
      </c>
      <c r="AK24" s="52" t="s">
        <v>51</v>
      </c>
    </row>
    <row r="25" spans="1:38">
      <c r="A25" s="178">
        <v>19</v>
      </c>
      <c r="B25" s="52" t="s">
        <v>144</v>
      </c>
      <c r="C25" s="59">
        <f>IF(C24&lt;0,0,C24*0.25)</f>
        <v>106407.95186497556</v>
      </c>
      <c r="D25" s="59">
        <f>IF(D24&lt;0,0,D24*0.15)</f>
        <v>47762.465820580641</v>
      </c>
      <c r="E25" s="59">
        <f t="shared" ref="E25:I25" si="17">IF(E24&lt;0,0,E24*0.25)</f>
        <v>0</v>
      </c>
      <c r="F25" s="59">
        <f>IF(F24&lt;0,0,F24*0.15)</f>
        <v>0</v>
      </c>
      <c r="G25" s="59">
        <f t="shared" si="17"/>
        <v>0</v>
      </c>
      <c r="H25" s="59">
        <f t="shared" si="17"/>
        <v>0</v>
      </c>
      <c r="I25" s="59">
        <f t="shared" si="17"/>
        <v>158939.17108430585</v>
      </c>
      <c r="J25" s="67"/>
      <c r="K25" s="67"/>
      <c r="L25" s="67"/>
      <c r="T25" s="52" t="s">
        <v>53</v>
      </c>
      <c r="AJ25" s="52" t="s">
        <v>54</v>
      </c>
      <c r="AK25" s="52" t="s">
        <v>53</v>
      </c>
    </row>
    <row r="26" spans="1:38">
      <c r="A26" s="178">
        <v>20</v>
      </c>
      <c r="B26" s="52" t="s">
        <v>55</v>
      </c>
      <c r="C26" s="59">
        <f t="shared" ref="C26:H26" si="18">C24-C25</f>
        <v>319223.85559492669</v>
      </c>
      <c r="D26" s="59">
        <f t="shared" si="18"/>
        <v>270653.97298329027</v>
      </c>
      <c r="E26" s="59">
        <f t="shared" si="18"/>
        <v>-98704.873456001995</v>
      </c>
      <c r="F26" s="59">
        <f t="shared" si="18"/>
        <v>-9586.6884705476696</v>
      </c>
      <c r="G26" s="59">
        <f t="shared" si="18"/>
        <v>0</v>
      </c>
      <c r="H26" s="59">
        <f t="shared" si="18"/>
        <v>0</v>
      </c>
      <c r="I26" s="54">
        <f>+SUM(C26:H26)</f>
        <v>481586.26665166731</v>
      </c>
      <c r="J26" s="67"/>
      <c r="K26" s="67"/>
      <c r="L26" s="67"/>
      <c r="T26" s="52" t="s">
        <v>55</v>
      </c>
      <c r="AJ26" s="52" t="s">
        <v>56</v>
      </c>
      <c r="AK26" s="52" t="s">
        <v>55</v>
      </c>
    </row>
    <row r="27" spans="1:38">
      <c r="A27" s="178">
        <v>21</v>
      </c>
      <c r="B27" s="52" t="s">
        <v>59</v>
      </c>
      <c r="C27" s="61">
        <f t="shared" ref="C27:I27" si="19">C26/C7</f>
        <v>5.9255437485716586E-2</v>
      </c>
      <c r="D27" s="61">
        <f t="shared" si="19"/>
        <v>3.1497945708101625E-2</v>
      </c>
      <c r="E27" s="61">
        <f t="shared" si="19"/>
        <v>-0.17946340628363999</v>
      </c>
      <c r="F27" s="61">
        <f t="shared" si="19"/>
        <v>-1.9665001990867015E-2</v>
      </c>
      <c r="G27" s="61" t="e">
        <f t="shared" si="19"/>
        <v>#DIV/0!</v>
      </c>
      <c r="H27" s="61" t="e">
        <f t="shared" si="19"/>
        <v>#DIV/0!</v>
      </c>
      <c r="I27" s="61">
        <f t="shared" si="19"/>
        <v>3.2068338049053922E-2</v>
      </c>
      <c r="J27" s="67"/>
      <c r="K27" s="67"/>
      <c r="L27" s="67"/>
      <c r="T27" s="52" t="s">
        <v>59</v>
      </c>
      <c r="AJ27" s="52" t="s">
        <v>58</v>
      </c>
      <c r="AK27" s="52" t="s">
        <v>59</v>
      </c>
    </row>
    <row r="28" spans="1:38">
      <c r="J28" s="67"/>
      <c r="K28" s="67"/>
      <c r="L28" s="67"/>
      <c r="T28" s="52"/>
    </row>
    <row r="29" spans="1:38">
      <c r="A29" s="48" t="s">
        <v>60</v>
      </c>
      <c r="I29" s="49" t="s">
        <v>145</v>
      </c>
      <c r="J29" s="67"/>
      <c r="K29" s="67"/>
      <c r="L29" s="67"/>
      <c r="T29" s="52"/>
      <c r="AJ29" s="48" t="s">
        <v>60</v>
      </c>
    </row>
    <row r="30" spans="1:38">
      <c r="A30" s="52" t="s">
        <v>61</v>
      </c>
      <c r="B30" s="55" t="s">
        <v>62</v>
      </c>
      <c r="C30" s="59"/>
      <c r="D30" s="59"/>
      <c r="E30" s="59"/>
      <c r="F30" s="59"/>
      <c r="G30" s="59"/>
      <c r="H30" s="59"/>
      <c r="I30" s="59"/>
      <c r="J30" s="67"/>
      <c r="K30" s="67"/>
      <c r="L30" s="67"/>
      <c r="N30" s="67"/>
      <c r="T30" s="55" t="s">
        <v>62</v>
      </c>
      <c r="AJ30" s="52" t="s">
        <v>63</v>
      </c>
      <c r="AK30" s="55" t="s">
        <v>62</v>
      </c>
    </row>
    <row r="31" spans="1:38">
      <c r="A31" s="178">
        <v>1</v>
      </c>
      <c r="B31" s="57" t="s">
        <v>64</v>
      </c>
      <c r="C31" s="63">
        <f>'销量 附加值'!C8</f>
        <v>3265</v>
      </c>
      <c r="D31" s="63">
        <f>'销量 附加值'!D8</f>
        <v>2565</v>
      </c>
      <c r="E31" s="63">
        <f>'销量 附加值'!E8</f>
        <v>880</v>
      </c>
      <c r="F31" s="63">
        <f>'销量 附加值'!F8</f>
        <v>780</v>
      </c>
      <c r="G31" s="63">
        <f>'销量 附加值'!G8</f>
        <v>0</v>
      </c>
      <c r="H31" s="63">
        <f>'销量 附加值'!H8</f>
        <v>0</v>
      </c>
      <c r="I31" s="59"/>
      <c r="J31" s="67"/>
      <c r="K31" s="67"/>
      <c r="L31" s="67"/>
      <c r="N31" s="67"/>
      <c r="T31" s="52" t="s">
        <v>64</v>
      </c>
      <c r="AJ31" s="52" t="s">
        <v>18</v>
      </c>
      <c r="AK31" s="52" t="s">
        <v>64</v>
      </c>
    </row>
    <row r="32" spans="1:38">
      <c r="A32" s="178">
        <v>2</v>
      </c>
      <c r="B32" s="52" t="s">
        <v>146</v>
      </c>
      <c r="C32" s="54">
        <f>C9/C6</f>
        <v>2803.7665939104995</v>
      </c>
      <c r="D32" s="54">
        <f t="shared" ref="D32:H32" si="20">D9/D6</f>
        <v>2202.6527759205001</v>
      </c>
      <c r="E32" s="54">
        <f t="shared" si="20"/>
        <v>755.68594261600003</v>
      </c>
      <c r="F32" s="54">
        <f t="shared" si="20"/>
        <v>669.81254004599998</v>
      </c>
      <c r="G32" s="54" t="e">
        <f t="shared" si="20"/>
        <v>#DIV/0!</v>
      </c>
      <c r="H32" s="54" t="e">
        <f t="shared" si="20"/>
        <v>#DIV/0!</v>
      </c>
      <c r="I32" s="59"/>
      <c r="J32" s="67"/>
      <c r="K32" s="67"/>
      <c r="L32" s="67"/>
      <c r="M32" s="67"/>
      <c r="N32" s="67"/>
      <c r="O32" s="67"/>
      <c r="P32" s="67"/>
      <c r="AJ32" s="52"/>
      <c r="AK32" s="52"/>
    </row>
    <row r="33" spans="1:37">
      <c r="A33" s="178">
        <v>3</v>
      </c>
      <c r="B33" s="57" t="s">
        <v>65</v>
      </c>
      <c r="C33" s="54">
        <f>材料成本!D17</f>
        <v>1923.0199227226803</v>
      </c>
      <c r="D33" s="54">
        <f>材料成本!E17</f>
        <v>1611.0950926954638</v>
      </c>
      <c r="E33" s="54">
        <f>材料成本!F17</f>
        <v>721.07974014560318</v>
      </c>
      <c r="F33" s="54">
        <f>材料成本!G17</f>
        <v>510.65724159887628</v>
      </c>
      <c r="G33" s="54">
        <f>材料成本!H17</f>
        <v>0</v>
      </c>
      <c r="H33" s="54">
        <f>材料成本!I17</f>
        <v>0</v>
      </c>
      <c r="I33" s="59"/>
      <c r="K33" s="67"/>
      <c r="L33" s="67"/>
      <c r="M33" s="67"/>
      <c r="N33" s="67"/>
      <c r="O33" s="67"/>
      <c r="P33" s="67"/>
      <c r="T33" s="52" t="s">
        <v>65</v>
      </c>
      <c r="AJ33" s="52" t="s">
        <v>20</v>
      </c>
      <c r="AK33" s="52" t="s">
        <v>65</v>
      </c>
    </row>
    <row r="34" spans="1:37" ht="17.25" customHeight="1">
      <c r="A34" s="178">
        <v>4</v>
      </c>
      <c r="B34" s="52" t="s">
        <v>67</v>
      </c>
      <c r="C34" s="64">
        <f>C32-C33</f>
        <v>880.74667118781917</v>
      </c>
      <c r="D34" s="64">
        <f t="shared" ref="D34:H34" si="21">D32-D33</f>
        <v>591.55768322503627</v>
      </c>
      <c r="E34" s="64">
        <f t="shared" si="21"/>
        <v>34.606202470396852</v>
      </c>
      <c r="F34" s="64">
        <f t="shared" si="21"/>
        <v>159.1552984471237</v>
      </c>
      <c r="G34" s="64" t="e">
        <f t="shared" si="21"/>
        <v>#DIV/0!</v>
      </c>
      <c r="H34" s="64" t="e">
        <f t="shared" si="21"/>
        <v>#DIV/0!</v>
      </c>
      <c r="I34" s="59"/>
      <c r="K34" s="67"/>
      <c r="L34" s="67"/>
      <c r="M34" s="67"/>
      <c r="N34" s="67"/>
      <c r="O34" s="67"/>
      <c r="P34" s="67"/>
      <c r="T34" s="52" t="s">
        <v>67</v>
      </c>
      <c r="AJ34" s="52" t="s">
        <v>66</v>
      </c>
      <c r="AK34" s="52" t="s">
        <v>67</v>
      </c>
    </row>
    <row r="35" spans="1:37">
      <c r="A35" s="52" t="s">
        <v>63</v>
      </c>
      <c r="B35" s="55" t="s">
        <v>8</v>
      </c>
      <c r="C35" s="59"/>
      <c r="D35" s="59"/>
      <c r="E35" s="59"/>
      <c r="F35" s="59"/>
      <c r="G35" s="59"/>
      <c r="H35" s="59"/>
      <c r="I35" s="59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55" t="s">
        <v>8</v>
      </c>
      <c r="AJ35" s="52" t="s">
        <v>69</v>
      </c>
      <c r="AK35" s="55" t="s">
        <v>8</v>
      </c>
    </row>
    <row r="36" spans="1:37">
      <c r="A36" s="178">
        <v>1</v>
      </c>
      <c r="B36" s="52" t="s">
        <v>70</v>
      </c>
      <c r="C36" s="58">
        <f>'2023年'!C36</f>
        <v>51.260499999999993</v>
      </c>
      <c r="D36" s="58">
        <f>'2023年'!D36</f>
        <v>40.270499999999998</v>
      </c>
      <c r="E36" s="58">
        <f>'2023年'!E36</f>
        <v>13.815999999999999</v>
      </c>
      <c r="F36" s="58">
        <f>'2023年'!F36</f>
        <v>12.245999999999999</v>
      </c>
      <c r="G36" s="58">
        <f>'2023年'!G36</f>
        <v>0</v>
      </c>
      <c r="H36" s="58"/>
      <c r="I36" s="63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52" t="s">
        <v>70</v>
      </c>
      <c r="AJ36" s="52" t="s">
        <v>66</v>
      </c>
      <c r="AK36" s="52" t="s">
        <v>70</v>
      </c>
    </row>
    <row r="37" spans="1:37">
      <c r="A37" s="178">
        <v>2</v>
      </c>
      <c r="B37" s="52" t="s">
        <v>71</v>
      </c>
      <c r="C37" s="58">
        <f>'2023年'!C37</f>
        <v>12.407</v>
      </c>
      <c r="D37" s="58">
        <f>'2023年'!D37</f>
        <v>9.7469999999999999</v>
      </c>
      <c r="E37" s="58">
        <f>'2023年'!E37</f>
        <v>3.3439999999999999</v>
      </c>
      <c r="F37" s="58">
        <f>'2023年'!F37</f>
        <v>2.964</v>
      </c>
      <c r="G37" s="58">
        <f>'2023年'!G37</f>
        <v>0</v>
      </c>
      <c r="H37" s="58"/>
      <c r="I37" s="63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52" t="s">
        <v>71</v>
      </c>
      <c r="AJ37" s="52" t="s">
        <v>23</v>
      </c>
      <c r="AK37" s="52" t="s">
        <v>71</v>
      </c>
    </row>
    <row r="38" spans="1:37">
      <c r="A38" s="178">
        <v>3</v>
      </c>
      <c r="B38" s="52" t="s">
        <v>72</v>
      </c>
      <c r="C38" s="58">
        <f>'2023年'!C38</f>
        <v>83.910499999999999</v>
      </c>
      <c r="D38" s="58">
        <f>'2023年'!D38</f>
        <v>65.920500000000004</v>
      </c>
      <c r="E38" s="58">
        <f>'2023年'!E38</f>
        <v>22.616</v>
      </c>
      <c r="F38" s="58">
        <f>'2023年'!F38</f>
        <v>20.045999999999999</v>
      </c>
      <c r="G38" s="58">
        <f>'2023年'!G38</f>
        <v>0</v>
      </c>
      <c r="H38" s="58"/>
      <c r="I38" s="63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52" t="s">
        <v>72</v>
      </c>
      <c r="AJ38" s="52" t="s">
        <v>29</v>
      </c>
      <c r="AK38" s="52" t="s">
        <v>72</v>
      </c>
    </row>
    <row r="39" spans="1:37">
      <c r="A39" s="52" t="s">
        <v>69</v>
      </c>
      <c r="B39" s="55" t="s">
        <v>74</v>
      </c>
      <c r="C39" s="59"/>
      <c r="D39" s="59"/>
      <c r="E39" s="59"/>
      <c r="F39" s="59"/>
      <c r="G39" s="59"/>
      <c r="H39" s="59"/>
      <c r="I39" s="59"/>
      <c r="T39" s="55" t="s">
        <v>74</v>
      </c>
      <c r="AJ39" s="52" t="s">
        <v>73</v>
      </c>
      <c r="AK39" s="55" t="s">
        <v>74</v>
      </c>
    </row>
    <row r="40" spans="1:37">
      <c r="A40" s="178">
        <v>1</v>
      </c>
      <c r="B40" s="52" t="s">
        <v>76</v>
      </c>
      <c r="C40" s="59">
        <f>C34-C36-C37-C38</f>
        <v>733.1686711878192</v>
      </c>
      <c r="D40" s="59">
        <f t="shared" ref="D40:H40" si="22">D34-D36-D37-D38</f>
        <v>475.61968322503634</v>
      </c>
      <c r="E40" s="59">
        <f t="shared" si="22"/>
        <v>-5.169797529603148</v>
      </c>
      <c r="F40" s="59">
        <f t="shared" si="22"/>
        <v>123.8992984471237</v>
      </c>
      <c r="G40" s="59" t="e">
        <f t="shared" si="22"/>
        <v>#DIV/0!</v>
      </c>
      <c r="H40" s="59" t="e">
        <f t="shared" si="22"/>
        <v>#DIV/0!</v>
      </c>
      <c r="I40" s="59"/>
      <c r="T40" s="52" t="s">
        <v>76</v>
      </c>
      <c r="AJ40" s="52" t="s">
        <v>18</v>
      </c>
      <c r="AK40" s="52" t="s">
        <v>76</v>
      </c>
    </row>
    <row r="41" spans="1:37">
      <c r="A41" s="178">
        <v>2</v>
      </c>
      <c r="B41" s="52" t="s">
        <v>77</v>
      </c>
      <c r="C41" s="59"/>
      <c r="D41" s="59"/>
      <c r="E41" s="59"/>
      <c r="F41" s="59"/>
      <c r="G41" s="59"/>
      <c r="H41" s="59"/>
      <c r="I41" s="59"/>
      <c r="T41" s="52" t="s">
        <v>77</v>
      </c>
      <c r="AJ41" s="52" t="s">
        <v>20</v>
      </c>
      <c r="AK41" s="52" t="s">
        <v>77</v>
      </c>
    </row>
    <row r="42" spans="1:37">
      <c r="A42" s="52" t="s">
        <v>73</v>
      </c>
      <c r="B42" s="55" t="s">
        <v>79</v>
      </c>
      <c r="C42" s="59"/>
      <c r="D42" s="59"/>
      <c r="E42" s="59"/>
      <c r="F42" s="59"/>
      <c r="G42" s="59"/>
      <c r="H42" s="59"/>
      <c r="I42" s="59"/>
      <c r="T42" s="55" t="s">
        <v>79</v>
      </c>
      <c r="AJ42" s="52" t="s">
        <v>78</v>
      </c>
      <c r="AK42" s="55" t="s">
        <v>79</v>
      </c>
    </row>
    <row r="43" spans="1:37">
      <c r="A43" s="178">
        <v>1</v>
      </c>
      <c r="B43" s="60" t="s">
        <v>80</v>
      </c>
      <c r="C43" s="58">
        <f>'2023年'!C43</f>
        <v>155.41400000000002</v>
      </c>
      <c r="D43" s="58">
        <f>'2023年'!D43</f>
        <v>122.09400000000001</v>
      </c>
      <c r="E43" s="58">
        <f>'2023年'!E43</f>
        <v>41.888000000000005</v>
      </c>
      <c r="F43" s="58">
        <f>'2023年'!F43</f>
        <v>37.128</v>
      </c>
      <c r="G43" s="58">
        <f>'2023年'!G43</f>
        <v>0</v>
      </c>
      <c r="H43" s="58"/>
      <c r="I43" s="59"/>
      <c r="T43" s="52" t="s">
        <v>80</v>
      </c>
      <c r="AJ43" s="52" t="s">
        <v>18</v>
      </c>
      <c r="AK43" s="52" t="s">
        <v>80</v>
      </c>
    </row>
    <row r="44" spans="1:37">
      <c r="A44" s="178">
        <v>2</v>
      </c>
      <c r="B44" s="60" t="s">
        <v>81</v>
      </c>
      <c r="C44" s="58">
        <f>'2023年'!C44</f>
        <v>24.487500000000001</v>
      </c>
      <c r="D44" s="58">
        <f>'2023年'!D44</f>
        <v>19.237500000000001</v>
      </c>
      <c r="E44" s="58">
        <f>'2023年'!E44</f>
        <v>6.6</v>
      </c>
      <c r="F44" s="58">
        <f>'2023年'!F44</f>
        <v>5.85</v>
      </c>
      <c r="G44" s="58">
        <f>'2023年'!G44</f>
        <v>0</v>
      </c>
      <c r="H44" s="58"/>
      <c r="I44" s="59"/>
      <c r="T44" s="52" t="s">
        <v>81</v>
      </c>
      <c r="AJ44" s="52" t="s">
        <v>20</v>
      </c>
      <c r="AK44" s="52" t="s">
        <v>81</v>
      </c>
    </row>
    <row r="45" spans="1:37">
      <c r="A45" s="178">
        <v>3</v>
      </c>
      <c r="B45" s="60" t="s">
        <v>82</v>
      </c>
      <c r="C45" s="58">
        <f>'2023年'!C45</f>
        <v>98.276499999999999</v>
      </c>
      <c r="D45" s="58">
        <f>'2023年'!D45</f>
        <v>77.206499999999991</v>
      </c>
      <c r="E45" s="58">
        <f>'2023年'!E45</f>
        <v>26.488</v>
      </c>
      <c r="F45" s="58">
        <f>'2023年'!F45</f>
        <v>23.477999999999998</v>
      </c>
      <c r="G45" s="58">
        <f>'2023年'!G45</f>
        <v>0</v>
      </c>
      <c r="H45" s="58"/>
      <c r="I45" s="59"/>
      <c r="T45" s="52" t="s">
        <v>82</v>
      </c>
      <c r="AJ45" s="52" t="s">
        <v>66</v>
      </c>
      <c r="AK45" s="52" t="s">
        <v>82</v>
      </c>
    </row>
    <row r="46" spans="1:37" s="47" customFormat="1">
      <c r="A46" s="178">
        <v>4</v>
      </c>
      <c r="B46" s="60" t="s">
        <v>83</v>
      </c>
      <c r="C46" s="65">
        <f>C21/C6</f>
        <v>5.8266666666666671</v>
      </c>
      <c r="D46" s="65">
        <f t="shared" ref="D46:H46" si="23">D21/D6</f>
        <v>5.8266666666666662</v>
      </c>
      <c r="E46" s="65">
        <f t="shared" si="23"/>
        <v>5.8266666666666662</v>
      </c>
      <c r="F46" s="65">
        <f t="shared" si="23"/>
        <v>5.8266666666666662</v>
      </c>
      <c r="G46" s="65" t="e">
        <f t="shared" si="23"/>
        <v>#DIV/0!</v>
      </c>
      <c r="H46" s="65" t="e">
        <f t="shared" si="23"/>
        <v>#DIV/0!</v>
      </c>
      <c r="I46" s="65"/>
      <c r="T46" s="60" t="s">
        <v>85</v>
      </c>
      <c r="AJ46" s="60" t="s">
        <v>26</v>
      </c>
      <c r="AK46" s="60" t="s">
        <v>85</v>
      </c>
    </row>
    <row r="47" spans="1:37" s="47" customFormat="1">
      <c r="A47" s="178">
        <v>5</v>
      </c>
      <c r="B47" s="60" t="s">
        <v>85</v>
      </c>
      <c r="C47" s="58">
        <f>'2023年'!C47</f>
        <v>163.25</v>
      </c>
      <c r="D47" s="58">
        <f>'2023年'!D47</f>
        <v>128.25</v>
      </c>
      <c r="E47" s="58">
        <f>'2023年'!E47</f>
        <v>44</v>
      </c>
      <c r="F47" s="58">
        <f>'2023年'!F47</f>
        <v>39</v>
      </c>
      <c r="G47" s="58">
        <f>'2023年'!G47</f>
        <v>0</v>
      </c>
      <c r="H47" s="65"/>
      <c r="I47" s="65"/>
      <c r="T47" s="60" t="s">
        <v>85</v>
      </c>
      <c r="AJ47" s="60" t="s">
        <v>26</v>
      </c>
      <c r="AK47" s="60" t="s">
        <v>85</v>
      </c>
    </row>
    <row r="48" spans="1:37">
      <c r="A48" s="52" t="s">
        <v>78</v>
      </c>
      <c r="B48" s="55" t="s">
        <v>96</v>
      </c>
      <c r="C48" s="59">
        <f>C40-C43-C44-C45-C47-C46</f>
        <v>285.91400452115261</v>
      </c>
      <c r="D48" s="59">
        <f t="shared" ref="D48:H48" si="24">D40-D43-D44-D45-D47-D46</f>
        <v>123.00501655836966</v>
      </c>
      <c r="E48" s="59">
        <f t="shared" si="24"/>
        <v>-129.97246419626981</v>
      </c>
      <c r="F48" s="59">
        <f t="shared" si="24"/>
        <v>12.616631780457043</v>
      </c>
      <c r="G48" s="59" t="e">
        <f t="shared" si="24"/>
        <v>#DIV/0!</v>
      </c>
      <c r="H48" s="59" t="e">
        <f t="shared" si="24"/>
        <v>#DIV/0!</v>
      </c>
      <c r="I48" s="59"/>
      <c r="T48" s="55" t="s">
        <v>96</v>
      </c>
      <c r="AJ48" s="52" t="s">
        <v>95</v>
      </c>
      <c r="AK48" s="55" t="s">
        <v>96</v>
      </c>
    </row>
    <row r="51" spans="2:14">
      <c r="C51" s="66"/>
      <c r="D51" s="66"/>
      <c r="E51" s="66"/>
      <c r="F51" s="66"/>
      <c r="G51" s="66"/>
      <c r="H51" s="66"/>
    </row>
    <row r="54" spans="2:14">
      <c r="B54" s="67"/>
      <c r="C54" s="68"/>
      <c r="D54" s="68"/>
      <c r="E54" s="68"/>
      <c r="F54" s="68"/>
      <c r="G54" s="68"/>
      <c r="H54" s="68"/>
      <c r="I54" s="68"/>
      <c r="J54" s="67"/>
      <c r="K54" s="67"/>
      <c r="L54" s="67"/>
      <c r="M54" s="67"/>
      <c r="N54" s="67"/>
    </row>
    <row r="55" spans="2:14">
      <c r="B55" s="67"/>
      <c r="C55" s="68"/>
      <c r="D55" s="68"/>
      <c r="E55" s="68"/>
      <c r="F55" s="68"/>
      <c r="G55" s="68"/>
      <c r="H55" s="68"/>
      <c r="I55" s="68"/>
      <c r="J55" s="67"/>
      <c r="K55" s="67"/>
      <c r="L55" s="67"/>
      <c r="M55" s="67"/>
      <c r="N55" s="67"/>
    </row>
    <row r="56" spans="2:14">
      <c r="B56" s="67"/>
      <c r="C56" s="68"/>
      <c r="D56" s="68"/>
      <c r="E56" s="68"/>
      <c r="F56" s="68"/>
      <c r="G56" s="68"/>
      <c r="H56" s="68"/>
      <c r="I56" s="68"/>
      <c r="J56" s="67"/>
      <c r="K56" s="67"/>
      <c r="L56" s="67"/>
      <c r="M56" s="67"/>
      <c r="N56" s="67"/>
    </row>
    <row r="57" spans="2:14">
      <c r="B57" s="67"/>
      <c r="C57" s="68"/>
      <c r="D57" s="68"/>
      <c r="E57" s="68"/>
      <c r="F57" s="68"/>
      <c r="G57" s="68"/>
      <c r="H57" s="68"/>
      <c r="I57" s="68"/>
      <c r="J57" s="67"/>
      <c r="K57" s="67"/>
      <c r="L57" s="67"/>
      <c r="M57" s="67"/>
      <c r="N57" s="67"/>
    </row>
    <row r="58" spans="2:14">
      <c r="B58" s="67"/>
      <c r="C58" s="68"/>
      <c r="D58" s="68"/>
      <c r="E58" s="68"/>
      <c r="F58" s="68"/>
      <c r="G58" s="68"/>
      <c r="H58" s="68"/>
      <c r="I58" s="68"/>
      <c r="J58" s="67"/>
      <c r="K58" s="67"/>
      <c r="L58" s="67"/>
      <c r="M58" s="67"/>
      <c r="N58" s="67"/>
    </row>
    <row r="59" spans="2:14">
      <c r="B59" s="67"/>
      <c r="C59" s="68"/>
      <c r="D59" s="68"/>
      <c r="E59" s="68"/>
      <c r="F59" s="68"/>
      <c r="G59" s="68"/>
      <c r="H59" s="68"/>
      <c r="I59" s="68"/>
      <c r="J59" s="67"/>
      <c r="K59" s="67"/>
      <c r="L59" s="67"/>
      <c r="M59" s="67"/>
      <c r="N59" s="67"/>
    </row>
    <row r="60" spans="2:14">
      <c r="B60" s="67"/>
      <c r="C60" s="68"/>
      <c r="D60" s="68"/>
      <c r="E60" s="68"/>
      <c r="F60" s="68"/>
      <c r="G60" s="68"/>
      <c r="H60" s="68"/>
      <c r="I60" s="68"/>
      <c r="J60" s="67"/>
      <c r="K60" s="67"/>
      <c r="L60" s="67"/>
      <c r="M60" s="67"/>
      <c r="N60" s="67"/>
    </row>
    <row r="61" spans="2:14">
      <c r="B61" s="67"/>
      <c r="C61" s="68"/>
      <c r="D61" s="68"/>
      <c r="E61" s="68"/>
      <c r="F61" s="68"/>
      <c r="G61" s="68"/>
      <c r="H61" s="68"/>
      <c r="I61" s="68"/>
      <c r="J61" s="67"/>
      <c r="K61" s="67"/>
      <c r="L61" s="67"/>
      <c r="M61" s="67"/>
      <c r="N61" s="67"/>
    </row>
    <row r="62" spans="2:14">
      <c r="B62" s="67"/>
      <c r="C62" s="68"/>
      <c r="D62" s="68"/>
      <c r="E62" s="68"/>
      <c r="F62" s="68"/>
      <c r="G62" s="68"/>
      <c r="H62" s="68"/>
      <c r="I62" s="68"/>
      <c r="J62" s="67"/>
      <c r="K62" s="67"/>
      <c r="L62" s="67"/>
      <c r="M62" s="67"/>
      <c r="N62" s="67"/>
    </row>
    <row r="63" spans="2:14">
      <c r="B63" s="67"/>
      <c r="C63" s="68"/>
      <c r="D63" s="68"/>
      <c r="E63" s="68"/>
      <c r="F63" s="68"/>
      <c r="G63" s="68"/>
      <c r="H63" s="68"/>
      <c r="I63" s="68"/>
      <c r="J63" s="67"/>
      <c r="K63" s="67"/>
      <c r="L63" s="67"/>
      <c r="M63" s="67"/>
      <c r="N63" s="67"/>
    </row>
    <row r="64" spans="2:14">
      <c r="B64" s="67"/>
      <c r="C64" s="68"/>
      <c r="D64" s="68"/>
      <c r="E64" s="68"/>
      <c r="F64" s="68"/>
      <c r="G64" s="68"/>
      <c r="H64" s="68"/>
      <c r="I64" s="68"/>
      <c r="J64" s="67"/>
      <c r="K64" s="67"/>
      <c r="L64" s="67"/>
      <c r="M64" s="67"/>
      <c r="N64" s="67"/>
    </row>
    <row r="65" spans="2:14">
      <c r="B65" s="67"/>
      <c r="C65" s="68"/>
      <c r="D65" s="68"/>
      <c r="E65" s="68"/>
      <c r="F65" s="68"/>
      <c r="G65" s="68"/>
      <c r="H65" s="68"/>
      <c r="I65" s="68"/>
      <c r="J65" s="67"/>
      <c r="K65" s="67"/>
      <c r="L65" s="67"/>
      <c r="M65" s="67"/>
      <c r="N65" s="67"/>
    </row>
    <row r="66" spans="2:14">
      <c r="B66" s="67"/>
      <c r="C66" s="68"/>
      <c r="D66" s="68"/>
      <c r="E66" s="68"/>
      <c r="F66" s="68"/>
      <c r="G66" s="68"/>
      <c r="H66" s="68"/>
      <c r="I66" s="68"/>
      <c r="J66" s="67"/>
      <c r="K66" s="67"/>
      <c r="L66" s="67"/>
      <c r="M66" s="67"/>
      <c r="N66" s="67"/>
    </row>
    <row r="67" spans="2:14">
      <c r="B67" s="67"/>
      <c r="C67" s="68"/>
      <c r="D67" s="68"/>
      <c r="E67" s="68"/>
      <c r="F67" s="68"/>
      <c r="G67" s="68"/>
      <c r="H67" s="68"/>
      <c r="I67" s="68"/>
      <c r="J67" s="67"/>
    </row>
    <row r="68" spans="2:14">
      <c r="B68" s="67"/>
      <c r="C68" s="68"/>
      <c r="D68" s="68"/>
      <c r="E68" s="68"/>
      <c r="F68" s="68"/>
      <c r="G68" s="68"/>
      <c r="H68" s="68"/>
      <c r="I68" s="68"/>
      <c r="J68" s="67"/>
    </row>
    <row r="69" spans="2:14">
      <c r="B69" s="67"/>
      <c r="C69" s="68"/>
      <c r="D69" s="68"/>
      <c r="E69" s="68"/>
      <c r="F69" s="68"/>
      <c r="G69" s="68"/>
      <c r="H69" s="68"/>
      <c r="I69" s="68"/>
      <c r="J69" s="67"/>
    </row>
    <row r="70" spans="2:14">
      <c r="B70" s="67"/>
      <c r="C70" s="68"/>
      <c r="D70" s="68"/>
      <c r="E70" s="68"/>
      <c r="F70" s="68"/>
      <c r="G70" s="68"/>
      <c r="H70" s="68"/>
      <c r="I70" s="68"/>
      <c r="J70" s="67"/>
    </row>
    <row r="71" spans="2:14">
      <c r="B71" s="67"/>
      <c r="C71" s="68"/>
      <c r="D71" s="68"/>
      <c r="E71" s="68"/>
      <c r="F71" s="68"/>
      <c r="G71" s="68"/>
      <c r="H71" s="68"/>
      <c r="I71" s="68"/>
      <c r="J71" s="67"/>
    </row>
    <row r="72" spans="2:14">
      <c r="B72" s="67"/>
      <c r="C72" s="68"/>
      <c r="D72" s="68"/>
      <c r="E72" s="68"/>
      <c r="F72" s="68"/>
      <c r="G72" s="68"/>
      <c r="H72" s="68"/>
      <c r="I72" s="68"/>
      <c r="J72" s="67"/>
    </row>
    <row r="73" spans="2:14">
      <c r="B73" s="67"/>
      <c r="C73" s="68"/>
      <c r="D73" s="68"/>
      <c r="E73" s="68"/>
      <c r="F73" s="68"/>
      <c r="G73" s="68"/>
      <c r="H73" s="68"/>
      <c r="I73" s="68"/>
      <c r="J73" s="67"/>
    </row>
    <row r="74" spans="2:14">
      <c r="B74" s="67"/>
      <c r="C74" s="68"/>
      <c r="D74" s="68"/>
      <c r="E74" s="68"/>
      <c r="F74" s="68"/>
      <c r="G74" s="68"/>
      <c r="H74" s="68"/>
      <c r="I74" s="68"/>
      <c r="J74" s="67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8</vt:i4>
      </vt:variant>
    </vt:vector>
  </HeadingPairs>
  <TitlesOfParts>
    <vt:vector size="22" baseType="lpstr">
      <vt:lpstr>假设条件</vt:lpstr>
      <vt:lpstr>损益表</vt:lpstr>
      <vt:lpstr>现金</vt:lpstr>
      <vt:lpstr>2023年</vt:lpstr>
      <vt:lpstr>2024年</vt:lpstr>
      <vt:lpstr>2025年</vt:lpstr>
      <vt:lpstr>2026年</vt:lpstr>
      <vt:lpstr>2027年</vt:lpstr>
      <vt:lpstr>2028年</vt:lpstr>
      <vt:lpstr>项目投资</vt:lpstr>
      <vt:lpstr>销量 附加值</vt:lpstr>
      <vt:lpstr>材料成本</vt:lpstr>
      <vt:lpstr>其他</vt:lpstr>
      <vt:lpstr>标准成本</vt:lpstr>
      <vt:lpstr>'2023年'!Print_Area</vt:lpstr>
      <vt:lpstr>'2024年'!Print_Area</vt:lpstr>
      <vt:lpstr>'2025年'!Print_Area</vt:lpstr>
      <vt:lpstr>'2026年'!Print_Area</vt:lpstr>
      <vt:lpstr>'2027年'!Print_Area</vt:lpstr>
      <vt:lpstr>'2028年'!Print_Area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zzf</cp:lastModifiedBy>
  <dcterms:created xsi:type="dcterms:W3CDTF">2006-09-13T11:21:00Z</dcterms:created>
  <dcterms:modified xsi:type="dcterms:W3CDTF">2023-09-12T03:24:55Z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