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福田轻卡中期改款降本项目\第二次\"/>
    </mc:Choice>
  </mc:AlternateContent>
  <bookViews>
    <workbookView xWindow="0" yWindow="180" windowWidth="18525" windowHeight="651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F6" i="53" l="1"/>
  <c r="G10" i="59" l="1"/>
  <c r="D33" i="59"/>
  <c r="D34" i="59" s="1"/>
  <c r="E33" i="59"/>
  <c r="E10" i="59" s="1"/>
  <c r="F33" i="59"/>
  <c r="F10" i="59" s="1"/>
  <c r="F15" i="59" s="1"/>
  <c r="G33" i="59"/>
  <c r="G34" i="59" s="1"/>
  <c r="H33" i="59"/>
  <c r="H10" i="59" s="1"/>
  <c r="C33" i="59"/>
  <c r="C10" i="59" s="1"/>
  <c r="D33" i="58"/>
  <c r="D34" i="58" s="1"/>
  <c r="D40" i="58" s="1"/>
  <c r="D48" i="58" s="1"/>
  <c r="E33" i="58"/>
  <c r="E10" i="58" s="1"/>
  <c r="E15" i="58" s="1"/>
  <c r="E24" i="58" s="1"/>
  <c r="F33" i="58"/>
  <c r="F10" i="58" s="1"/>
  <c r="G33" i="58"/>
  <c r="G34" i="58" s="1"/>
  <c r="G40" i="58" s="1"/>
  <c r="G48" i="58" s="1"/>
  <c r="H33" i="58"/>
  <c r="H10" i="58" s="1"/>
  <c r="H15" i="58" s="1"/>
  <c r="C33" i="58"/>
  <c r="C10" i="58" s="1"/>
  <c r="F10" i="57"/>
  <c r="F15" i="57" s="1"/>
  <c r="F33" i="57"/>
  <c r="F34" i="57" s="1"/>
  <c r="G33" i="57"/>
  <c r="G10" i="57" s="1"/>
  <c r="G15" i="57" s="1"/>
  <c r="G24" i="57" s="1"/>
  <c r="H33" i="57"/>
  <c r="H10" i="57" s="1"/>
  <c r="H15" i="57" s="1"/>
  <c r="H16" i="57" s="1"/>
  <c r="F10" i="56"/>
  <c r="F33" i="56"/>
  <c r="F34" i="56" s="1"/>
  <c r="F40" i="56" s="1"/>
  <c r="G33" i="56"/>
  <c r="G10" i="56" s="1"/>
  <c r="G15" i="56" s="1"/>
  <c r="G24" i="56" s="1"/>
  <c r="H33" i="56"/>
  <c r="H10" i="56" s="1"/>
  <c r="H15" i="56" s="1"/>
  <c r="F33" i="43"/>
  <c r="F34" i="43" s="1"/>
  <c r="F40" i="43" s="1"/>
  <c r="F48" i="43" s="1"/>
  <c r="D3" i="53"/>
  <c r="I8" i="55"/>
  <c r="G19" i="51"/>
  <c r="C6" i="43"/>
  <c r="C7" i="43"/>
  <c r="D6" i="43"/>
  <c r="D7" i="43"/>
  <c r="E6" i="43"/>
  <c r="E7" i="43"/>
  <c r="I7" i="43"/>
  <c r="C5" i="2"/>
  <c r="C7" i="2" s="1"/>
  <c r="C6" i="2"/>
  <c r="C6" i="56"/>
  <c r="C7" i="56"/>
  <c r="C8" i="56"/>
  <c r="C9" i="56"/>
  <c r="D6" i="56"/>
  <c r="D7" i="56"/>
  <c r="D8" i="56"/>
  <c r="D9" i="56"/>
  <c r="E6" i="56"/>
  <c r="E7" i="56"/>
  <c r="E8" i="56"/>
  <c r="E9" i="56"/>
  <c r="I9" i="56"/>
  <c r="D7" i="2"/>
  <c r="D48" i="2" s="1"/>
  <c r="C6" i="57"/>
  <c r="C7" i="57"/>
  <c r="C8" i="57"/>
  <c r="C9" i="57"/>
  <c r="D6" i="57"/>
  <c r="D7" i="57"/>
  <c r="D8" i="57"/>
  <c r="D9" i="57"/>
  <c r="E6" i="57"/>
  <c r="E7" i="57"/>
  <c r="E8" i="57"/>
  <c r="E9" i="57"/>
  <c r="I9" i="57"/>
  <c r="E7" i="2"/>
  <c r="E50" i="2" s="1"/>
  <c r="C7" i="58"/>
  <c r="C8" i="58"/>
  <c r="C9" i="58"/>
  <c r="D7" i="58"/>
  <c r="D8" i="58"/>
  <c r="D9" i="58"/>
  <c r="E7" i="58"/>
  <c r="E8" i="58"/>
  <c r="E9" i="58"/>
  <c r="I9" i="58"/>
  <c r="F7" i="2"/>
  <c r="C7" i="59"/>
  <c r="C8" i="59"/>
  <c r="C9" i="59"/>
  <c r="D7" i="59"/>
  <c r="D8" i="59"/>
  <c r="D9" i="59"/>
  <c r="E7" i="59"/>
  <c r="E8" i="59"/>
  <c r="E9" i="59"/>
  <c r="I9" i="59"/>
  <c r="G7" i="2"/>
  <c r="G50" i="2" s="1"/>
  <c r="I6" i="43"/>
  <c r="C4" i="2"/>
  <c r="H4" i="2" s="1"/>
  <c r="I6" i="56"/>
  <c r="D4" i="2"/>
  <c r="D30" i="2" s="1"/>
  <c r="I6" i="57"/>
  <c r="E4" i="2"/>
  <c r="F4" i="2"/>
  <c r="F30" i="2" s="1"/>
  <c r="G4" i="2"/>
  <c r="D12" i="53"/>
  <c r="D14" i="53" s="1"/>
  <c r="D15" i="53" s="1"/>
  <c r="C33" i="57" s="1"/>
  <c r="E12" i="53"/>
  <c r="F12" i="53"/>
  <c r="F20" i="58"/>
  <c r="G20" i="58"/>
  <c r="H20" i="58"/>
  <c r="B9" i="51"/>
  <c r="B27" i="51"/>
  <c r="D27" i="51"/>
  <c r="D26" i="51"/>
  <c r="I3" i="50"/>
  <c r="E10" i="50"/>
  <c r="C38" i="43"/>
  <c r="C13" i="43"/>
  <c r="E4" i="50"/>
  <c r="C36" i="43"/>
  <c r="C11" i="43"/>
  <c r="E6" i="50"/>
  <c r="C37" i="43"/>
  <c r="C12" i="43"/>
  <c r="C14" i="43"/>
  <c r="C9" i="43"/>
  <c r="I17" i="50"/>
  <c r="E24" i="50"/>
  <c r="D38" i="43"/>
  <c r="D13" i="43"/>
  <c r="E18" i="50"/>
  <c r="D36" i="43"/>
  <c r="D11" i="43"/>
  <c r="E20" i="50"/>
  <c r="D37" i="43"/>
  <c r="D12" i="43"/>
  <c r="D14" i="43"/>
  <c r="D9" i="43"/>
  <c r="E38" i="50"/>
  <c r="E38" i="43"/>
  <c r="E13" i="43"/>
  <c r="E32" i="50"/>
  <c r="E36" i="43"/>
  <c r="E11" i="43"/>
  <c r="E34" i="50"/>
  <c r="E37" i="43"/>
  <c r="E12" i="43"/>
  <c r="E14" i="43"/>
  <c r="E9" i="43"/>
  <c r="E51" i="50"/>
  <c r="F38" i="43"/>
  <c r="F13" i="43"/>
  <c r="F14" i="43"/>
  <c r="E64" i="50"/>
  <c r="G38" i="43"/>
  <c r="G13" i="43"/>
  <c r="G14" i="43"/>
  <c r="E77" i="50"/>
  <c r="H38" i="43"/>
  <c r="H13" i="43"/>
  <c r="H14" i="43"/>
  <c r="I9" i="43"/>
  <c r="I18" i="43"/>
  <c r="C18" i="43"/>
  <c r="C17" i="43"/>
  <c r="D18" i="43"/>
  <c r="D17" i="43"/>
  <c r="E18" i="43"/>
  <c r="E17" i="43"/>
  <c r="F18" i="43"/>
  <c r="F17" i="43"/>
  <c r="G18" i="43"/>
  <c r="G17" i="43"/>
  <c r="H18" i="43"/>
  <c r="H17" i="43"/>
  <c r="I17" i="43"/>
  <c r="C15" i="2"/>
  <c r="D6" i="59"/>
  <c r="E6" i="59"/>
  <c r="F6" i="59"/>
  <c r="F12" i="59"/>
  <c r="G6" i="59"/>
  <c r="G22" i="59"/>
  <c r="H6" i="59"/>
  <c r="C6" i="59"/>
  <c r="I8" i="43"/>
  <c r="I70" i="50"/>
  <c r="E76" i="50"/>
  <c r="I44" i="50"/>
  <c r="E50" i="50"/>
  <c r="I31" i="50"/>
  <c r="E37" i="50"/>
  <c r="E23" i="50"/>
  <c r="E71" i="50"/>
  <c r="H36" i="43"/>
  <c r="E52" i="50"/>
  <c r="F47" i="43"/>
  <c r="E47" i="50"/>
  <c r="F37" i="43"/>
  <c r="E74" i="50"/>
  <c r="H75" i="50"/>
  <c r="E75" i="50"/>
  <c r="I74" i="50"/>
  <c r="H74" i="50"/>
  <c r="I57" i="50"/>
  <c r="E65" i="50"/>
  <c r="G47" i="43"/>
  <c r="H62" i="50"/>
  <c r="E62" i="50"/>
  <c r="I61" i="50"/>
  <c r="H61" i="50"/>
  <c r="H49" i="50"/>
  <c r="E49" i="50"/>
  <c r="I48" i="50"/>
  <c r="H48" i="50"/>
  <c r="E33" i="50"/>
  <c r="H36" i="50"/>
  <c r="E36" i="50"/>
  <c r="I35" i="50"/>
  <c r="H35" i="50"/>
  <c r="E22" i="50"/>
  <c r="H22" i="50"/>
  <c r="I21" i="50"/>
  <c r="H21" i="50"/>
  <c r="D3" i="59"/>
  <c r="E3" i="59"/>
  <c r="F3" i="59"/>
  <c r="G3" i="59"/>
  <c r="H3" i="59"/>
  <c r="D4" i="59"/>
  <c r="E4" i="59"/>
  <c r="F4" i="59"/>
  <c r="G4" i="59"/>
  <c r="H4" i="59"/>
  <c r="E13" i="59"/>
  <c r="H7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/>
  <c r="E6" i="58"/>
  <c r="F6" i="58"/>
  <c r="F19" i="58"/>
  <c r="G6" i="58"/>
  <c r="G13" i="58"/>
  <c r="H6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E13" i="57"/>
  <c r="F6" i="57"/>
  <c r="F12" i="57"/>
  <c r="G6" i="57"/>
  <c r="G22" i="57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13" i="56"/>
  <c r="F6" i="56"/>
  <c r="F11" i="56"/>
  <c r="G6" i="56"/>
  <c r="H6" i="56"/>
  <c r="H13" i="56"/>
  <c r="I12" i="53"/>
  <c r="H17" i="55" s="1"/>
  <c r="H18" i="55" s="1"/>
  <c r="H19" i="55" s="1"/>
  <c r="I4" i="53"/>
  <c r="I5" i="53"/>
  <c r="E4" i="53"/>
  <c r="F4" i="53"/>
  <c r="G4" i="53"/>
  <c r="H4" i="53"/>
  <c r="E5" i="53"/>
  <c r="F5" i="53"/>
  <c r="G5" i="53"/>
  <c r="H5" i="53"/>
  <c r="D5" i="53"/>
  <c r="D4" i="53"/>
  <c r="I6" i="59"/>
  <c r="F11" i="57"/>
  <c r="E39" i="50"/>
  <c r="E47" i="43"/>
  <c r="E25" i="50"/>
  <c r="D47" i="43"/>
  <c r="E48" i="50"/>
  <c r="E58" i="50"/>
  <c r="G36" i="43"/>
  <c r="E73" i="50"/>
  <c r="H37" i="43"/>
  <c r="E78" i="50"/>
  <c r="H47" i="43"/>
  <c r="E5" i="50"/>
  <c r="E19" i="50"/>
  <c r="E46" i="50"/>
  <c r="E59" i="50"/>
  <c r="E72" i="50"/>
  <c r="E61" i="50"/>
  <c r="E9" i="50"/>
  <c r="E63" i="50"/>
  <c r="F7" i="57"/>
  <c r="E35" i="50"/>
  <c r="E21" i="50"/>
  <c r="E45" i="50"/>
  <c r="F36" i="43"/>
  <c r="E60" i="50"/>
  <c r="G37" i="43"/>
  <c r="F11" i="59"/>
  <c r="D22" i="58"/>
  <c r="H22" i="58"/>
  <c r="E22" i="59"/>
  <c r="H22" i="59"/>
  <c r="D22" i="59"/>
  <c r="H12" i="59"/>
  <c r="D12" i="59"/>
  <c r="E11" i="59"/>
  <c r="F22" i="57"/>
  <c r="G22" i="56"/>
  <c r="F19" i="57"/>
  <c r="E19" i="59"/>
  <c r="G12" i="56"/>
  <c r="E11" i="57"/>
  <c r="H22" i="56"/>
  <c r="H19" i="57"/>
  <c r="D19" i="57"/>
  <c r="H11" i="57"/>
  <c r="D11" i="57"/>
  <c r="G19" i="58"/>
  <c r="G7" i="58"/>
  <c r="D13" i="57"/>
  <c r="G11" i="58"/>
  <c r="G7" i="56"/>
  <c r="H7" i="56"/>
  <c r="G22" i="58"/>
  <c r="H12" i="56"/>
  <c r="E12" i="57"/>
  <c r="F13" i="58"/>
  <c r="D22" i="56"/>
  <c r="H7" i="57"/>
  <c r="G13" i="56"/>
  <c r="D12" i="56"/>
  <c r="E22" i="57"/>
  <c r="E19" i="57"/>
  <c r="E13" i="58"/>
  <c r="F13" i="56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H11" i="56"/>
  <c r="D11" i="56"/>
  <c r="F22" i="56"/>
  <c r="G19" i="56"/>
  <c r="H13" i="57"/>
  <c r="E22" i="58"/>
  <c r="E12" i="58"/>
  <c r="F11" i="58"/>
  <c r="E13" i="56"/>
  <c r="F12" i="56"/>
  <c r="G11" i="56"/>
  <c r="F7" i="56"/>
  <c r="E11" i="56"/>
  <c r="H19" i="56"/>
  <c r="F22" i="58"/>
  <c r="E22" i="56"/>
  <c r="F19" i="56"/>
  <c r="H22" i="57"/>
  <c r="D22" i="57"/>
  <c r="H12" i="57"/>
  <c r="D12" i="57"/>
  <c r="E19" i="58"/>
  <c r="E11" i="58"/>
  <c r="E12" i="56"/>
  <c r="H12" i="58"/>
  <c r="G7" i="59"/>
  <c r="G11" i="59"/>
  <c r="G19" i="59"/>
  <c r="G12" i="59"/>
  <c r="G13" i="59"/>
  <c r="F13" i="59"/>
  <c r="F14" i="59"/>
  <c r="D13" i="58"/>
  <c r="H19" i="58"/>
  <c r="D19" i="58"/>
  <c r="G12" i="58"/>
  <c r="H11" i="58"/>
  <c r="D11" i="58"/>
  <c r="H7" i="58"/>
  <c r="H13" i="58"/>
  <c r="G7" i="57"/>
  <c r="G11" i="57"/>
  <c r="G19" i="57"/>
  <c r="G12" i="57"/>
  <c r="G13" i="57"/>
  <c r="F13" i="57"/>
  <c r="F14" i="57"/>
  <c r="E14" i="58"/>
  <c r="D14" i="59"/>
  <c r="H14" i="59"/>
  <c r="E14" i="59"/>
  <c r="F14" i="58"/>
  <c r="E14" i="57"/>
  <c r="D14" i="57"/>
  <c r="H14" i="56"/>
  <c r="H14" i="57"/>
  <c r="G14" i="58"/>
  <c r="G14" i="56"/>
  <c r="F14" i="56"/>
  <c r="E14" i="56"/>
  <c r="D14" i="56"/>
  <c r="D14" i="58"/>
  <c r="H14" i="58"/>
  <c r="G14" i="59"/>
  <c r="G14" i="57"/>
  <c r="D31" i="43"/>
  <c r="E31" i="43"/>
  <c r="E32" i="43"/>
  <c r="F31" i="43"/>
  <c r="F32" i="43"/>
  <c r="F45" i="43"/>
  <c r="G31" i="43"/>
  <c r="H31" i="43"/>
  <c r="D32" i="43"/>
  <c r="D45" i="43"/>
  <c r="G32" i="43"/>
  <c r="H32" i="43"/>
  <c r="H45" i="43"/>
  <c r="G45" i="43"/>
  <c r="F6" i="43"/>
  <c r="G6" i="43"/>
  <c r="H6" i="43"/>
  <c r="E3" i="43"/>
  <c r="F3" i="43"/>
  <c r="G3" i="43"/>
  <c r="H3" i="43"/>
  <c r="E4" i="43"/>
  <c r="F4" i="43"/>
  <c r="G4" i="43"/>
  <c r="H4" i="43"/>
  <c r="D4" i="43"/>
  <c r="D3" i="43"/>
  <c r="K7" i="55"/>
  <c r="K8" i="55"/>
  <c r="I10" i="55"/>
  <c r="I11" i="55"/>
  <c r="I12" i="55"/>
  <c r="I13" i="55"/>
  <c r="I14" i="55"/>
  <c r="C15" i="55"/>
  <c r="D15" i="55"/>
  <c r="E15" i="55"/>
  <c r="F15" i="55"/>
  <c r="G15" i="55"/>
  <c r="H15" i="55"/>
  <c r="G11" i="43"/>
  <c r="G22" i="43"/>
  <c r="E22" i="43"/>
  <c r="G19" i="43"/>
  <c r="G12" i="43"/>
  <c r="F19" i="43"/>
  <c r="F11" i="43"/>
  <c r="D22" i="43"/>
  <c r="G7" i="43"/>
  <c r="G9" i="43"/>
  <c r="D19" i="43"/>
  <c r="D20" i="43"/>
  <c r="H22" i="43"/>
  <c r="F20" i="43"/>
  <c r="F7" i="43"/>
  <c r="F9" i="43"/>
  <c r="G20" i="43"/>
  <c r="H12" i="43"/>
  <c r="H11" i="43"/>
  <c r="H20" i="43"/>
  <c r="F22" i="43"/>
  <c r="E19" i="43"/>
  <c r="H7" i="43"/>
  <c r="H9" i="43"/>
  <c r="H19" i="43"/>
  <c r="F12" i="43"/>
  <c r="E45" i="43"/>
  <c r="E20" i="43"/>
  <c r="C2" i="59"/>
  <c r="C2" i="58"/>
  <c r="C2" i="57"/>
  <c r="C2" i="56"/>
  <c r="H7" i="50"/>
  <c r="C4" i="59"/>
  <c r="C3" i="59"/>
  <c r="C4" i="58"/>
  <c r="C3" i="58"/>
  <c r="C4" i="57"/>
  <c r="C3" i="57"/>
  <c r="C3" i="56"/>
  <c r="C4" i="56"/>
  <c r="C3" i="43"/>
  <c r="C4" i="43"/>
  <c r="L8" i="55"/>
  <c r="K9" i="55"/>
  <c r="L7" i="55"/>
  <c r="E11" i="50"/>
  <c r="C31" i="59"/>
  <c r="C6" i="58"/>
  <c r="C31" i="58"/>
  <c r="C31" i="57"/>
  <c r="C31" i="56"/>
  <c r="G8" i="56"/>
  <c r="G9" i="56"/>
  <c r="H8" i="56"/>
  <c r="H9" i="56"/>
  <c r="F8" i="56"/>
  <c r="F9" i="56"/>
  <c r="F8" i="57"/>
  <c r="F9" i="57"/>
  <c r="H8" i="57"/>
  <c r="H9" i="57"/>
  <c r="G8" i="57"/>
  <c r="G9" i="57"/>
  <c r="I6" i="58"/>
  <c r="I7" i="57"/>
  <c r="I7" i="58"/>
  <c r="C13" i="59"/>
  <c r="I13" i="59"/>
  <c r="C19" i="59"/>
  <c r="I19" i="59"/>
  <c r="C12" i="59"/>
  <c r="I12" i="59"/>
  <c r="C13" i="57"/>
  <c r="I13" i="57"/>
  <c r="L9" i="55"/>
  <c r="K10" i="55"/>
  <c r="L10" i="55"/>
  <c r="C22" i="59"/>
  <c r="I22" i="59"/>
  <c r="I7" i="59"/>
  <c r="C11" i="58"/>
  <c r="I11" i="58"/>
  <c r="C22" i="57"/>
  <c r="I22" i="57"/>
  <c r="C13" i="56"/>
  <c r="I13" i="56"/>
  <c r="C11" i="56"/>
  <c r="I11" i="56"/>
  <c r="H8" i="59"/>
  <c r="H9" i="59"/>
  <c r="F8" i="59"/>
  <c r="F9" i="59"/>
  <c r="G8" i="59"/>
  <c r="G9" i="59"/>
  <c r="H32" i="57"/>
  <c r="E32" i="57"/>
  <c r="G32" i="56"/>
  <c r="F8" i="58"/>
  <c r="F9" i="58"/>
  <c r="H8" i="58"/>
  <c r="H9" i="58"/>
  <c r="G8" i="58"/>
  <c r="G9" i="58"/>
  <c r="F32" i="57"/>
  <c r="F32" i="56"/>
  <c r="D32" i="56"/>
  <c r="G32" i="57"/>
  <c r="D32" i="57"/>
  <c r="H32" i="56"/>
  <c r="E32" i="56"/>
  <c r="I7" i="56"/>
  <c r="D5" i="2"/>
  <c r="G6" i="36" s="1"/>
  <c r="G5" i="36" s="1"/>
  <c r="G17" i="36" s="1"/>
  <c r="G19" i="36" s="1"/>
  <c r="E5" i="2"/>
  <c r="C22" i="58"/>
  <c r="I22" i="58"/>
  <c r="C11" i="57"/>
  <c r="D9" i="2"/>
  <c r="C19" i="58"/>
  <c r="I19" i="58"/>
  <c r="C19" i="57"/>
  <c r="C13" i="58"/>
  <c r="I13" i="58"/>
  <c r="C11" i="59"/>
  <c r="C19" i="56"/>
  <c r="C22" i="56"/>
  <c r="I22" i="56"/>
  <c r="C12" i="57"/>
  <c r="I12" i="57"/>
  <c r="C12" i="58"/>
  <c r="I12" i="58"/>
  <c r="E11" i="2"/>
  <c r="E37" i="2" s="1"/>
  <c r="C12" i="56"/>
  <c r="G10" i="2"/>
  <c r="G36" i="2" s="1"/>
  <c r="G17" i="2"/>
  <c r="G43" i="2" s="1"/>
  <c r="G11" i="2"/>
  <c r="G5" i="2"/>
  <c r="G20" i="2"/>
  <c r="F5" i="2"/>
  <c r="G45" i="57"/>
  <c r="F45" i="56"/>
  <c r="E32" i="58"/>
  <c r="H32" i="58"/>
  <c r="G45" i="56"/>
  <c r="F32" i="59"/>
  <c r="E32" i="59"/>
  <c r="I8" i="59"/>
  <c r="G6" i="2"/>
  <c r="I8" i="58"/>
  <c r="E45" i="56"/>
  <c r="E20" i="56"/>
  <c r="D45" i="56"/>
  <c r="D20" i="56"/>
  <c r="D32" i="58"/>
  <c r="F32" i="58"/>
  <c r="H45" i="57"/>
  <c r="H34" i="57"/>
  <c r="H40" i="57" s="1"/>
  <c r="H48" i="57" s="1"/>
  <c r="D32" i="59"/>
  <c r="H34" i="56"/>
  <c r="H40" i="56" s="1"/>
  <c r="H48" i="56" s="1"/>
  <c r="H45" i="56"/>
  <c r="D45" i="57"/>
  <c r="D20" i="57"/>
  <c r="F45" i="57"/>
  <c r="G32" i="58"/>
  <c r="E45" i="57"/>
  <c r="E20" i="57"/>
  <c r="G32" i="59"/>
  <c r="H32" i="59"/>
  <c r="H15" i="59"/>
  <c r="C14" i="59"/>
  <c r="I14" i="59"/>
  <c r="I11" i="59"/>
  <c r="G9" i="2"/>
  <c r="G35" i="2" s="1"/>
  <c r="C32" i="56"/>
  <c r="C45" i="56"/>
  <c r="C20" i="56"/>
  <c r="I8" i="57"/>
  <c r="E6" i="2"/>
  <c r="I11" i="57"/>
  <c r="E9" i="2"/>
  <c r="E35" i="2"/>
  <c r="I8" i="56"/>
  <c r="D6" i="2"/>
  <c r="C14" i="56"/>
  <c r="I14" i="56"/>
  <c r="I12" i="56"/>
  <c r="E20" i="2"/>
  <c r="E52" i="2" s="1"/>
  <c r="C14" i="57"/>
  <c r="I14" i="57"/>
  <c r="C14" i="58"/>
  <c r="I14" i="58"/>
  <c r="I19" i="57"/>
  <c r="E17" i="2"/>
  <c r="E43" i="2" s="1"/>
  <c r="F6" i="2"/>
  <c r="F11" i="2"/>
  <c r="F37" i="2" s="1"/>
  <c r="D11" i="2"/>
  <c r="D37" i="2"/>
  <c r="I19" i="56"/>
  <c r="D17" i="2"/>
  <c r="D43" i="2"/>
  <c r="G37" i="2"/>
  <c r="F9" i="2"/>
  <c r="F35" i="2"/>
  <c r="G12" i="2"/>
  <c r="G40" i="59"/>
  <c r="G48" i="59" s="1"/>
  <c r="G45" i="59"/>
  <c r="G20" i="59"/>
  <c r="D45" i="59"/>
  <c r="D20" i="59"/>
  <c r="D40" i="59"/>
  <c r="D48" i="59" s="1"/>
  <c r="F34" i="59"/>
  <c r="F40" i="59" s="1"/>
  <c r="F48" i="59" s="1"/>
  <c r="F45" i="59"/>
  <c r="F20" i="59"/>
  <c r="E45" i="58"/>
  <c r="E20" i="58"/>
  <c r="I20" i="56"/>
  <c r="D45" i="58"/>
  <c r="D20" i="58"/>
  <c r="E34" i="59"/>
  <c r="E40" i="59" s="1"/>
  <c r="E48" i="59" s="1"/>
  <c r="E45" i="59"/>
  <c r="E20" i="59"/>
  <c r="H34" i="58"/>
  <c r="H40" i="58"/>
  <c r="H45" i="58"/>
  <c r="H34" i="59"/>
  <c r="H40" i="59"/>
  <c r="H48" i="59" s="1"/>
  <c r="H45" i="59"/>
  <c r="H20" i="59"/>
  <c r="G45" i="58"/>
  <c r="F45" i="58"/>
  <c r="F34" i="58"/>
  <c r="F40" i="58" s="1"/>
  <c r="F48" i="58" s="1"/>
  <c r="C32" i="57"/>
  <c r="C45" i="57"/>
  <c r="C20" i="57"/>
  <c r="E30" i="2"/>
  <c r="C32" i="58"/>
  <c r="C45" i="58"/>
  <c r="C20" i="58"/>
  <c r="C32" i="59"/>
  <c r="C45" i="59"/>
  <c r="F20" i="2"/>
  <c r="I20" i="57"/>
  <c r="E18" i="2"/>
  <c r="F52" i="2"/>
  <c r="F18" i="2"/>
  <c r="F44" i="2" s="1"/>
  <c r="D20" i="2"/>
  <c r="D52" i="2" s="1"/>
  <c r="F10" i="2"/>
  <c r="F36" i="2"/>
  <c r="C20" i="59"/>
  <c r="F12" i="2"/>
  <c r="G52" i="2"/>
  <c r="G30" i="2"/>
  <c r="D12" i="2"/>
  <c r="D10" i="2"/>
  <c r="D36" i="2" s="1"/>
  <c r="E44" i="2"/>
  <c r="F50" i="2"/>
  <c r="E12" i="2"/>
  <c r="E10" i="2"/>
  <c r="E36" i="2" s="1"/>
  <c r="F17" i="2"/>
  <c r="D18" i="2"/>
  <c r="D50" i="2" s="1"/>
  <c r="D44" i="2"/>
  <c r="G18" i="2"/>
  <c r="B5" i="51"/>
  <c r="G44" i="2"/>
  <c r="H8" i="50"/>
  <c r="E8" i="50"/>
  <c r="I7" i="50"/>
  <c r="E7" i="50"/>
  <c r="H12" i="53"/>
  <c r="G17" i="55" s="1"/>
  <c r="G18" i="55" s="1"/>
  <c r="G19" i="55" s="1"/>
  <c r="G12" i="53"/>
  <c r="F17" i="55" s="1"/>
  <c r="F18" i="55" s="1"/>
  <c r="F19" i="55" s="1"/>
  <c r="I9" i="55"/>
  <c r="G22" i="51"/>
  <c r="C57" i="2"/>
  <c r="B8" i="51"/>
  <c r="B7" i="51"/>
  <c r="C47" i="43"/>
  <c r="C31" i="43"/>
  <c r="C32" i="43"/>
  <c r="C45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K17" i="36" s="1"/>
  <c r="K19" i="36" s="1"/>
  <c r="J6" i="36"/>
  <c r="J5" i="36" s="1"/>
  <c r="J17" i="36" s="1"/>
  <c r="J19" i="36" s="1"/>
  <c r="I6" i="36"/>
  <c r="H6" i="36"/>
  <c r="E6" i="36"/>
  <c r="E5" i="36"/>
  <c r="E17" i="36" s="1"/>
  <c r="I5" i="36"/>
  <c r="I17" i="36" s="1"/>
  <c r="I19" i="36" s="1"/>
  <c r="D5" i="36"/>
  <c r="C5" i="36"/>
  <c r="E4" i="36"/>
  <c r="F4" i="36"/>
  <c r="G4" i="36"/>
  <c r="H4" i="36"/>
  <c r="I4" i="36"/>
  <c r="J4" i="36"/>
  <c r="K4" i="36"/>
  <c r="L4" i="36"/>
  <c r="D4" i="36"/>
  <c r="H6" i="2"/>
  <c r="K10" i="36"/>
  <c r="C22" i="43"/>
  <c r="I22" i="43"/>
  <c r="C19" i="43"/>
  <c r="B26" i="51"/>
  <c r="I18" i="56"/>
  <c r="M6" i="36"/>
  <c r="G10" i="36"/>
  <c r="J10" i="36"/>
  <c r="C10" i="36"/>
  <c r="M15" i="36"/>
  <c r="H5" i="36"/>
  <c r="B10" i="51"/>
  <c r="I15" i="55"/>
  <c r="C17" i="36"/>
  <c r="M7" i="36"/>
  <c r="M12" i="36"/>
  <c r="H10" i="36"/>
  <c r="D10" i="36"/>
  <c r="D17" i="36"/>
  <c r="M5" i="36"/>
  <c r="M11" i="36"/>
  <c r="F10" i="36"/>
  <c r="I10" i="36"/>
  <c r="L10" i="36"/>
  <c r="M13" i="36"/>
  <c r="M14" i="36"/>
  <c r="I11" i="43"/>
  <c r="I12" i="43"/>
  <c r="I13" i="43"/>
  <c r="C20" i="43"/>
  <c r="I20" i="43"/>
  <c r="G34" i="56"/>
  <c r="G40" i="56" s="1"/>
  <c r="F15" i="56"/>
  <c r="E21" i="58"/>
  <c r="F21" i="58"/>
  <c r="G21" i="58"/>
  <c r="H21" i="58"/>
  <c r="D21" i="58"/>
  <c r="I14" i="43"/>
  <c r="C58" i="2"/>
  <c r="C56" i="2"/>
  <c r="G61" i="2"/>
  <c r="I18" i="57"/>
  <c r="E61" i="2"/>
  <c r="E26" i="51"/>
  <c r="F61" i="2"/>
  <c r="J26" i="51"/>
  <c r="C18" i="36"/>
  <c r="D18" i="36"/>
  <c r="C19" i="36"/>
  <c r="D19" i="36"/>
  <c r="M10" i="36"/>
  <c r="H17" i="36"/>
  <c r="H19" i="36" s="1"/>
  <c r="I21" i="56"/>
  <c r="I21" i="57"/>
  <c r="C18" i="2"/>
  <c r="C50" i="2" s="1"/>
  <c r="C10" i="2"/>
  <c r="I21" i="43"/>
  <c r="E27" i="51"/>
  <c r="F27" i="51"/>
  <c r="D28" i="51"/>
  <c r="F26" i="51"/>
  <c r="C36" i="2"/>
  <c r="H10" i="2"/>
  <c r="H36" i="2" s="1"/>
  <c r="C44" i="2"/>
  <c r="H18" i="2"/>
  <c r="H44" i="2" s="1"/>
  <c r="H5" i="2"/>
  <c r="L6" i="36" s="1"/>
  <c r="L5" i="36" s="1"/>
  <c r="L17" i="36" s="1"/>
  <c r="L19" i="36" s="1"/>
  <c r="F40" i="57"/>
  <c r="F48" i="57" s="1"/>
  <c r="G34" i="57"/>
  <c r="G40" i="57" s="1"/>
  <c r="G16" i="57"/>
  <c r="F46" i="58"/>
  <c r="H46" i="58"/>
  <c r="H48" i="58"/>
  <c r="D46" i="58"/>
  <c r="E46" i="58"/>
  <c r="G46" i="58"/>
  <c r="E18" i="58"/>
  <c r="E17" i="58"/>
  <c r="E23" i="58"/>
  <c r="G18" i="58"/>
  <c r="G17" i="58"/>
  <c r="G23" i="58"/>
  <c r="H18" i="58"/>
  <c r="H17" i="58"/>
  <c r="H23" i="58"/>
  <c r="D18" i="58"/>
  <c r="D17" i="58"/>
  <c r="D23" i="58"/>
  <c r="F18" i="58"/>
  <c r="F17" i="58"/>
  <c r="F23" i="58"/>
  <c r="D21" i="56"/>
  <c r="H21" i="56"/>
  <c r="G21" i="56"/>
  <c r="E21" i="56"/>
  <c r="F21" i="56"/>
  <c r="C18" i="57"/>
  <c r="C17" i="57"/>
  <c r="E18" i="57"/>
  <c r="E17" i="57"/>
  <c r="H18" i="57"/>
  <c r="H17" i="57"/>
  <c r="D18" i="57"/>
  <c r="D17" i="57"/>
  <c r="G18" i="57"/>
  <c r="G17" i="57"/>
  <c r="F18" i="57"/>
  <c r="F17" i="57"/>
  <c r="C21" i="43"/>
  <c r="D21" i="43"/>
  <c r="D46" i="43"/>
  <c r="H21" i="43"/>
  <c r="H46" i="43"/>
  <c r="E21" i="43"/>
  <c r="E46" i="43"/>
  <c r="F21" i="43"/>
  <c r="F46" i="43"/>
  <c r="G21" i="43"/>
  <c r="G46" i="43"/>
  <c r="D21" i="59"/>
  <c r="H21" i="59"/>
  <c r="E21" i="59"/>
  <c r="G21" i="59"/>
  <c r="F21" i="59"/>
  <c r="C18" i="59"/>
  <c r="C17" i="59"/>
  <c r="G18" i="59"/>
  <c r="G17" i="59"/>
  <c r="E18" i="59"/>
  <c r="E17" i="59"/>
  <c r="F18" i="59"/>
  <c r="F17" i="59"/>
  <c r="D18" i="59"/>
  <c r="D17" i="59"/>
  <c r="H18" i="59"/>
  <c r="H17" i="59"/>
  <c r="H21" i="57"/>
  <c r="E21" i="57"/>
  <c r="D21" i="57"/>
  <c r="F21" i="57"/>
  <c r="G21" i="57"/>
  <c r="C18" i="58"/>
  <c r="C17" i="58"/>
  <c r="C20" i="36"/>
  <c r="D20" i="36"/>
  <c r="I19" i="43"/>
  <c r="C17" i="2"/>
  <c r="H17" i="2"/>
  <c r="H43" i="2" s="1"/>
  <c r="F19" i="2"/>
  <c r="F51" i="2" s="1"/>
  <c r="C21" i="58"/>
  <c r="C46" i="58"/>
  <c r="D19" i="2"/>
  <c r="D51" i="2" s="1"/>
  <c r="C21" i="56"/>
  <c r="C46" i="56"/>
  <c r="E19" i="2"/>
  <c r="E51" i="2"/>
  <c r="C21" i="57"/>
  <c r="C46" i="57"/>
  <c r="G19" i="2"/>
  <c r="G51" i="2" s="1"/>
  <c r="C21" i="59"/>
  <c r="C46" i="59"/>
  <c r="C9" i="2"/>
  <c r="C49" i="2" s="1"/>
  <c r="C11" i="2"/>
  <c r="H11" i="2" s="1"/>
  <c r="E28" i="51"/>
  <c r="I27" i="51"/>
  <c r="C20" i="2"/>
  <c r="H20" i="2" s="1"/>
  <c r="F28" i="51"/>
  <c r="C19" i="2"/>
  <c r="I23" i="58"/>
  <c r="H19" i="2"/>
  <c r="G15" i="59"/>
  <c r="F15" i="58"/>
  <c r="F16" i="58" s="1"/>
  <c r="C35" i="2"/>
  <c r="H9" i="2"/>
  <c r="E15" i="59"/>
  <c r="E16" i="58"/>
  <c r="I17" i="57"/>
  <c r="E15" i="2"/>
  <c r="F46" i="57"/>
  <c r="F23" i="57"/>
  <c r="E46" i="57"/>
  <c r="E23" i="57"/>
  <c r="E46" i="59"/>
  <c r="E23" i="59"/>
  <c r="E46" i="56"/>
  <c r="D46" i="59"/>
  <c r="D23" i="59"/>
  <c r="H46" i="56"/>
  <c r="G46" i="57"/>
  <c r="G48" i="57"/>
  <c r="G23" i="57"/>
  <c r="H46" i="57"/>
  <c r="H23" i="57"/>
  <c r="H46" i="59"/>
  <c r="H23" i="59"/>
  <c r="G46" i="56"/>
  <c r="G48" i="56"/>
  <c r="F46" i="59"/>
  <c r="F23" i="59"/>
  <c r="D46" i="57"/>
  <c r="D23" i="57"/>
  <c r="G46" i="59"/>
  <c r="G23" i="59"/>
  <c r="F46" i="56"/>
  <c r="F48" i="56"/>
  <c r="D46" i="56"/>
  <c r="C34" i="58"/>
  <c r="C40" i="58"/>
  <c r="C48" i="58" s="1"/>
  <c r="C23" i="59"/>
  <c r="C23" i="58"/>
  <c r="I23" i="59"/>
  <c r="C43" i="2"/>
  <c r="C23" i="57"/>
  <c r="F15" i="2"/>
  <c r="C12" i="2"/>
  <c r="H12" i="2" s="1"/>
  <c r="C37" i="2"/>
  <c r="C46" i="43"/>
  <c r="G28" i="51"/>
  <c r="E25" i="58"/>
  <c r="F24" i="58"/>
  <c r="I23" i="57"/>
  <c r="G25" i="57"/>
  <c r="C34" i="59"/>
  <c r="C40" i="59" s="1"/>
  <c r="C48" i="59" s="1"/>
  <c r="G15" i="2"/>
  <c r="G42" i="2" s="1"/>
  <c r="F42" i="2"/>
  <c r="F49" i="2"/>
  <c r="E21" i="2"/>
  <c r="E42" i="2"/>
  <c r="E49" i="2"/>
  <c r="F21" i="2"/>
  <c r="G21" i="2"/>
  <c r="H28" i="51"/>
  <c r="I26" i="51"/>
  <c r="H61" i="2"/>
  <c r="E34" i="58"/>
  <c r="E40" i="58" s="1"/>
  <c r="E48" i="58" s="1"/>
  <c r="F14" i="2"/>
  <c r="G14" i="2"/>
  <c r="C61" i="2"/>
  <c r="E23" i="43"/>
  <c r="H23" i="43"/>
  <c r="D23" i="43"/>
  <c r="F23" i="43"/>
  <c r="G23" i="43"/>
  <c r="C23" i="43"/>
  <c r="I23" i="43"/>
  <c r="C42" i="2"/>
  <c r="C21" i="2"/>
  <c r="D61" i="2"/>
  <c r="D18" i="56"/>
  <c r="D17" i="56"/>
  <c r="D23" i="56"/>
  <c r="G18" i="56"/>
  <c r="G17" i="56"/>
  <c r="G23" i="56"/>
  <c r="E18" i="56"/>
  <c r="E17" i="56"/>
  <c r="E23" i="56"/>
  <c r="F18" i="56"/>
  <c r="F17" i="56"/>
  <c r="F23" i="56"/>
  <c r="C18" i="56"/>
  <c r="C17" i="56"/>
  <c r="H18" i="56"/>
  <c r="H17" i="56"/>
  <c r="H23" i="56"/>
  <c r="G25" i="56"/>
  <c r="G26" i="56" s="1"/>
  <c r="G27" i="56" s="1"/>
  <c r="C23" i="56"/>
  <c r="I17" i="56"/>
  <c r="D15" i="2"/>
  <c r="H15" i="2" s="1"/>
  <c r="H42" i="2" s="1"/>
  <c r="I23" i="56"/>
  <c r="D21" i="2"/>
  <c r="D49" i="2"/>
  <c r="H21" i="2"/>
  <c r="H37" i="2" l="1"/>
  <c r="E22" i="36"/>
  <c r="M17" i="36"/>
  <c r="E19" i="36"/>
  <c r="E23" i="36"/>
  <c r="E18" i="36"/>
  <c r="C51" i="2"/>
  <c r="H7" i="2"/>
  <c r="C30" i="2"/>
  <c r="C48" i="2"/>
  <c r="H52" i="2"/>
  <c r="D42" i="2"/>
  <c r="H35" i="2"/>
  <c r="G49" i="2"/>
  <c r="C52" i="2"/>
  <c r="F6" i="36"/>
  <c r="F5" i="36" s="1"/>
  <c r="F17" i="36" s="1"/>
  <c r="F19" i="36" s="1"/>
  <c r="F48" i="2"/>
  <c r="G48" i="2"/>
  <c r="D35" i="2"/>
  <c r="F43" i="2"/>
  <c r="E48" i="2"/>
  <c r="F25" i="58"/>
  <c r="F26" i="58" s="1"/>
  <c r="F27" i="58" s="1"/>
  <c r="F16" i="56"/>
  <c r="F24" i="56"/>
  <c r="H16" i="59"/>
  <c r="H24" i="59"/>
  <c r="E14" i="53"/>
  <c r="D33" i="56" s="1"/>
  <c r="D17" i="55"/>
  <c r="D18" i="55" s="1"/>
  <c r="D19" i="55" s="1"/>
  <c r="F24" i="57"/>
  <c r="F16" i="57"/>
  <c r="C15" i="59"/>
  <c r="F24" i="59"/>
  <c r="F16" i="59"/>
  <c r="E16" i="59"/>
  <c r="E24" i="59"/>
  <c r="G16" i="56"/>
  <c r="F10" i="43"/>
  <c r="F15" i="43" s="1"/>
  <c r="G26" i="57"/>
  <c r="G27" i="57" s="1"/>
  <c r="C15" i="58"/>
  <c r="G10" i="58"/>
  <c r="G15" i="58" s="1"/>
  <c r="D10" i="59"/>
  <c r="D15" i="59" s="1"/>
  <c r="H24" i="57"/>
  <c r="G16" i="59"/>
  <c r="G24" i="59"/>
  <c r="H16" i="56"/>
  <c r="H24" i="56"/>
  <c r="H16" i="58"/>
  <c r="H24" i="58"/>
  <c r="E26" i="58"/>
  <c r="E27" i="58" s="1"/>
  <c r="D10" i="58"/>
  <c r="D15" i="58" s="1"/>
  <c r="C33" i="43"/>
  <c r="C34" i="43" s="1"/>
  <c r="C40" i="43" s="1"/>
  <c r="C48" i="43" s="1"/>
  <c r="C17" i="55"/>
  <c r="H33" i="43"/>
  <c r="F14" i="53"/>
  <c r="E17" i="55"/>
  <c r="E18" i="55" s="1"/>
  <c r="E19" i="55" s="1"/>
  <c r="G33" i="43"/>
  <c r="E33" i="56"/>
  <c r="F15" i="53"/>
  <c r="E33" i="57" s="1"/>
  <c r="E33" i="43"/>
  <c r="E15" i="53"/>
  <c r="D33" i="57" s="1"/>
  <c r="D33" i="43"/>
  <c r="C34" i="57"/>
  <c r="C40" i="57" s="1"/>
  <c r="C48" i="57" s="1"/>
  <c r="C10" i="57"/>
  <c r="C10" i="43"/>
  <c r="C33" i="56"/>
  <c r="H30" i="2" l="1"/>
  <c r="H50" i="2"/>
  <c r="H51" i="2"/>
  <c r="I23" i="36"/>
  <c r="I22" i="36"/>
  <c r="M19" i="36"/>
  <c r="E20" i="36"/>
  <c r="F20" i="36" s="1"/>
  <c r="G20" i="36" s="1"/>
  <c r="H20" i="36" s="1"/>
  <c r="H49" i="2"/>
  <c r="F18" i="36"/>
  <c r="G18" i="36" s="1"/>
  <c r="H18" i="36" s="1"/>
  <c r="H48" i="2"/>
  <c r="C18" i="55"/>
  <c r="I17" i="55"/>
  <c r="H25" i="56"/>
  <c r="H26" i="56" s="1"/>
  <c r="H27" i="56" s="1"/>
  <c r="G24" i="58"/>
  <c r="G16" i="58"/>
  <c r="E26" i="59"/>
  <c r="E27" i="59" s="1"/>
  <c r="E25" i="59"/>
  <c r="F25" i="59"/>
  <c r="F26" i="59" s="1"/>
  <c r="F27" i="59" s="1"/>
  <c r="F25" i="56"/>
  <c r="F26" i="56" s="1"/>
  <c r="F27" i="56" s="1"/>
  <c r="H26" i="58"/>
  <c r="H27" i="58" s="1"/>
  <c r="H25" i="58"/>
  <c r="H25" i="57"/>
  <c r="H26" i="57"/>
  <c r="H27" i="57" s="1"/>
  <c r="I10" i="58"/>
  <c r="F8" i="2" s="1"/>
  <c r="F31" i="2" s="1"/>
  <c r="F32" i="2" s="1"/>
  <c r="F33" i="2" s="1"/>
  <c r="F24" i="43"/>
  <c r="F16" i="43"/>
  <c r="I15" i="59"/>
  <c r="C16" i="59"/>
  <c r="C24" i="59"/>
  <c r="F26" i="57"/>
  <c r="F27" i="57" s="1"/>
  <c r="F25" i="57"/>
  <c r="H25" i="59"/>
  <c r="H26" i="59" s="1"/>
  <c r="H27" i="59" s="1"/>
  <c r="G10" i="43"/>
  <c r="G15" i="43" s="1"/>
  <c r="G34" i="43"/>
  <c r="G40" i="43" s="1"/>
  <c r="G48" i="43" s="1"/>
  <c r="H10" i="43"/>
  <c r="H15" i="43" s="1"/>
  <c r="H34" i="43"/>
  <c r="H40" i="43" s="1"/>
  <c r="H48" i="43" s="1"/>
  <c r="D16" i="58"/>
  <c r="D24" i="58"/>
  <c r="G25" i="59"/>
  <c r="G26" i="59" s="1"/>
  <c r="G27" i="59" s="1"/>
  <c r="D16" i="59"/>
  <c r="D24" i="59"/>
  <c r="C24" i="58"/>
  <c r="I15" i="58"/>
  <c r="C16" i="58"/>
  <c r="I10" i="59"/>
  <c r="G8" i="2" s="1"/>
  <c r="G31" i="2" s="1"/>
  <c r="G32" i="2" s="1"/>
  <c r="G33" i="2" s="1"/>
  <c r="E34" i="43"/>
  <c r="E40" i="43" s="1"/>
  <c r="E48" i="43" s="1"/>
  <c r="E10" i="43"/>
  <c r="E15" i="43" s="1"/>
  <c r="E10" i="57"/>
  <c r="E15" i="57" s="1"/>
  <c r="E34" i="57"/>
  <c r="E40" i="57" s="1"/>
  <c r="E48" i="57" s="1"/>
  <c r="E10" i="56"/>
  <c r="E15" i="56" s="1"/>
  <c r="E34" i="56"/>
  <c r="E40" i="56" s="1"/>
  <c r="E48" i="56" s="1"/>
  <c r="D10" i="56"/>
  <c r="D15" i="56" s="1"/>
  <c r="D34" i="56"/>
  <c r="D40" i="56" s="1"/>
  <c r="D48" i="56" s="1"/>
  <c r="D34" i="43"/>
  <c r="D40" i="43" s="1"/>
  <c r="D48" i="43" s="1"/>
  <c r="D10" i="43"/>
  <c r="D15" i="43" s="1"/>
  <c r="D10" i="57"/>
  <c r="D15" i="57" s="1"/>
  <c r="D34" i="57"/>
  <c r="D40" i="57" s="1"/>
  <c r="D48" i="57" s="1"/>
  <c r="C34" i="56"/>
  <c r="C40" i="56" s="1"/>
  <c r="C48" i="56" s="1"/>
  <c r="C10" i="56"/>
  <c r="C15" i="57"/>
  <c r="C15" i="43"/>
  <c r="E24" i="36" l="1"/>
  <c r="I18" i="36"/>
  <c r="J18" i="36" s="1"/>
  <c r="K18" i="36" s="1"/>
  <c r="L18" i="36" s="1"/>
  <c r="I24" i="36"/>
  <c r="I20" i="36"/>
  <c r="J20" i="36" s="1"/>
  <c r="K20" i="36" s="1"/>
  <c r="L20" i="36" s="1"/>
  <c r="C25" i="59"/>
  <c r="C26" i="59" s="1"/>
  <c r="C19" i="55"/>
  <c r="I18" i="55"/>
  <c r="I19" i="55" s="1"/>
  <c r="I10" i="57"/>
  <c r="E8" i="2" s="1"/>
  <c r="E31" i="2" s="1"/>
  <c r="E32" i="2" s="1"/>
  <c r="E33" i="2" s="1"/>
  <c r="D25" i="59"/>
  <c r="D26" i="59" s="1"/>
  <c r="D27" i="59" s="1"/>
  <c r="G24" i="43"/>
  <c r="G16" i="43"/>
  <c r="F25" i="43"/>
  <c r="F26" i="43" s="1"/>
  <c r="F27" i="43" s="1"/>
  <c r="C25" i="58"/>
  <c r="C26" i="58"/>
  <c r="F13" i="2"/>
  <c r="F39" i="2" s="1"/>
  <c r="F40" i="2" s="1"/>
  <c r="I24" i="58"/>
  <c r="D25" i="58"/>
  <c r="D26" i="58" s="1"/>
  <c r="D27" i="58" s="1"/>
  <c r="H16" i="43"/>
  <c r="H24" i="43"/>
  <c r="G13" i="2"/>
  <c r="G39" i="2" s="1"/>
  <c r="G40" i="2" s="1"/>
  <c r="I24" i="59"/>
  <c r="G25" i="58"/>
  <c r="G26" i="58" s="1"/>
  <c r="G27" i="58" s="1"/>
  <c r="E16" i="57"/>
  <c r="E24" i="57"/>
  <c r="E24" i="56"/>
  <c r="E16" i="56"/>
  <c r="E24" i="43"/>
  <c r="E16" i="43"/>
  <c r="D24" i="56"/>
  <c r="D16" i="56"/>
  <c r="D24" i="43"/>
  <c r="D16" i="43"/>
  <c r="I10" i="43"/>
  <c r="C8" i="2" s="1"/>
  <c r="D16" i="57"/>
  <c r="D24" i="57"/>
  <c r="C31" i="2"/>
  <c r="C32" i="2" s="1"/>
  <c r="C33" i="2" s="1"/>
  <c r="I15" i="57"/>
  <c r="C24" i="57"/>
  <c r="C16" i="57"/>
  <c r="C16" i="43"/>
  <c r="C24" i="43"/>
  <c r="I15" i="43"/>
  <c r="I10" i="56"/>
  <c r="D8" i="2" s="1"/>
  <c r="D31" i="2" s="1"/>
  <c r="D32" i="2" s="1"/>
  <c r="D33" i="2" s="1"/>
  <c r="C15" i="56"/>
  <c r="C27" i="59" l="1"/>
  <c r="I26" i="59"/>
  <c r="H25" i="43"/>
  <c r="H26" i="43" s="1"/>
  <c r="H27" i="43" s="1"/>
  <c r="I26" i="58"/>
  <c r="C27" i="58"/>
  <c r="I25" i="59"/>
  <c r="G23" i="2" s="1"/>
  <c r="G22" i="2"/>
  <c r="G54" i="2" s="1"/>
  <c r="I25" i="58"/>
  <c r="F23" i="2" s="1"/>
  <c r="F22" i="2"/>
  <c r="F54" i="2" s="1"/>
  <c r="G26" i="43"/>
  <c r="G27" i="43" s="1"/>
  <c r="G25" i="43"/>
  <c r="E25" i="56"/>
  <c r="E26" i="56" s="1"/>
  <c r="E27" i="56" s="1"/>
  <c r="E25" i="43"/>
  <c r="E26" i="43" s="1"/>
  <c r="E27" i="43" s="1"/>
  <c r="E25" i="57"/>
  <c r="E26" i="57" s="1"/>
  <c r="E27" i="57" s="1"/>
  <c r="D26" i="57"/>
  <c r="D27" i="57" s="1"/>
  <c r="D25" i="57"/>
  <c r="D25" i="56"/>
  <c r="D26" i="56"/>
  <c r="D27" i="56" s="1"/>
  <c r="D26" i="43"/>
  <c r="D27" i="43" s="1"/>
  <c r="D25" i="43"/>
  <c r="C13" i="2"/>
  <c r="I16" i="43"/>
  <c r="C14" i="2" s="1"/>
  <c r="I24" i="43"/>
  <c r="I25" i="43" s="1"/>
  <c r="E13" i="2"/>
  <c r="E39" i="2" s="1"/>
  <c r="E40" i="2" s="1"/>
  <c r="I16" i="57"/>
  <c r="E14" i="2" s="1"/>
  <c r="I24" i="57"/>
  <c r="I15" i="56"/>
  <c r="C16" i="56"/>
  <c r="C24" i="56"/>
  <c r="C25" i="43"/>
  <c r="C26" i="43" s="1"/>
  <c r="C25" i="57"/>
  <c r="C26" i="57" s="1"/>
  <c r="H8" i="2"/>
  <c r="F24" i="2" l="1"/>
  <c r="I27" i="58"/>
  <c r="F25" i="2" s="1"/>
  <c r="G24" i="2"/>
  <c r="I27" i="59"/>
  <c r="G25" i="2" s="1"/>
  <c r="C27" i="57"/>
  <c r="I26" i="57"/>
  <c r="H31" i="2"/>
  <c r="H32" i="2" s="1"/>
  <c r="H33" i="2" s="1"/>
  <c r="H13" i="2"/>
  <c r="C25" i="56"/>
  <c r="C26" i="56" s="1"/>
  <c r="E22" i="2"/>
  <c r="E54" i="2" s="1"/>
  <c r="I25" i="57"/>
  <c r="E23" i="2" s="1"/>
  <c r="C27" i="43"/>
  <c r="I26" i="43"/>
  <c r="I27" i="43" s="1"/>
  <c r="D13" i="2"/>
  <c r="D39" i="2" s="1"/>
  <c r="D40" i="2" s="1"/>
  <c r="I16" i="56"/>
  <c r="D14" i="2" s="1"/>
  <c r="I24" i="56"/>
  <c r="C39" i="2"/>
  <c r="C40" i="2" s="1"/>
  <c r="C22" i="2"/>
  <c r="F53" i="2" l="1"/>
  <c r="F60" i="2"/>
  <c r="F59" i="2" s="1"/>
  <c r="G53" i="2"/>
  <c r="G60" i="2"/>
  <c r="G59" i="2" s="1"/>
  <c r="C27" i="56"/>
  <c r="I26" i="56"/>
  <c r="C54" i="2"/>
  <c r="C23" i="2"/>
  <c r="C24" i="2" s="1"/>
  <c r="I27" i="57"/>
  <c r="E25" i="2" s="1"/>
  <c r="E24" i="2"/>
  <c r="I25" i="56"/>
  <c r="D23" i="2" s="1"/>
  <c r="D22" i="2"/>
  <c r="D54" i="2" s="1"/>
  <c r="H39" i="2"/>
  <c r="H40" i="2" s="1"/>
  <c r="H22" i="2"/>
  <c r="H14" i="2"/>
  <c r="C60" i="2" l="1"/>
  <c r="C59" i="2" s="1"/>
  <c r="C25" i="2"/>
  <c r="C53" i="2"/>
  <c r="H54" i="2"/>
  <c r="H23" i="2"/>
  <c r="H24" i="2" s="1"/>
  <c r="I27" i="56"/>
  <c r="D25" i="2" s="1"/>
  <c r="D24" i="2"/>
  <c r="E60" i="2"/>
  <c r="E59" i="2" s="1"/>
  <c r="E53" i="2"/>
  <c r="H60" i="2" l="1"/>
  <c r="H59" i="2" s="1"/>
  <c r="H25" i="2"/>
  <c r="H53" i="2"/>
  <c r="D60" i="2"/>
  <c r="D59" i="2" s="1"/>
  <c r="D53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<sst xmlns="http://schemas.openxmlformats.org/spreadsheetml/2006/main" count="1419" uniqueCount="279">
  <si>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</si>
  <si>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</si>
  <si>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</si>
  <si>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</si>
  <si>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</si>
  <si>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</si>
  <si>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</si>
  <si>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</si>
  <si>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</si>
  <si>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</si>
  <si>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</si>
  <si>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</si>
  <si>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</si>
  <si>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</si>
  <si>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</si>
  <si>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</si>
  <si>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</si>
  <si>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</si>
  <si>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</si>
  <si>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</si>
  <si>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</si>
  <si>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</si>
  <si>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</si>
  <si>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</si>
  <si>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</si>
  <si>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</si>
  <si>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</si>
  <si>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</si>
  <si>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</si>
  <si>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</si>
  <si>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</si>
  <si>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</si>
  <si>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</si>
  <si>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</si>
  <si>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</si>
  <si>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</si>
  <si>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</si>
  <si>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</si>
  <si>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</si>
  <si>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</si>
  <si>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</si>
  <si>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</si>
  <si>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</si>
  <si>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</si>
  <si>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</si>
  <si>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</si>
  <si>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</si>
  <si>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</si>
  <si>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</si>
  <si>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</si>
  <si>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</si>
  <si>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</si>
  <si>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</si>
  <si>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</si>
  <si>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</si>
  <si>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</si>
  <si>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</si>
  <si>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</si>
  <si>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</si>
  <si>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</si>
  <si>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</si>
  <si>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</si>
  <si>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</si>
  <si>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</si>
  <si>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</si>
  <si>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</si>
  <si>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</si>
  <si>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</si>
  <si>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</si>
  <si>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</si>
  <si>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</si>
  <si>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</si>
  <si>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</si>
  <si>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</si>
  <si>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</si>
  <si>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</si>
  <si>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</si>
  <si>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</si>
  <si>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</si>
  <si>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</si>
  <si>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</si>
  <si>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</si>
  <si>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</si>
  <si>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</si>
  <si>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</si>
  <si>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</si>
  <si>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</si>
  <si>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</si>
  <si>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</si>
  <si>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</si>
  <si>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</si>
  <si>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</si>
  <si>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</si>
  <si>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</si>
  <si>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</si>
  <si>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</si>
  <si>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</si>
  <si>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</si>
  <si>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</si>
  <si>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</si>
  <si>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</si>
  <si>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</si>
  <si>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</si>
  <si>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</si>
  <si>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</si>
  <si>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</si>
  <si>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</si>
  <si>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</si>
  <si>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</si>
  <si>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</si>
  <si>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</si>
  <si>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</si>
  <si>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</si>
  <si>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</si>
  <si>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</si>
  <si>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</si>
  <si>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</si>
  <si>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</si>
  <si>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</si>
  <si>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</si>
  <si>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</si>
  <si>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</si>
  <si>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</si>
  <si>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</si>
  <si>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</si>
  <si>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</si>
  <si>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</si>
  <si>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</si>
  <si>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</si>
  <si>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</si>
  <si>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</si>
  <si>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</si>
  <si>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</si>
  <si>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</si>
  <si>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</si>
  <si>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</si>
  <si>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</si>
  <si>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</si>
  <si>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</si>
  <si>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</si>
  <si>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</si>
  <si>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</si>
  <si>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</si>
  <si>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</si>
  <si>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</si>
  <si>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</si>
  <si>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</si>
  <si>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</si>
  <si>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</si>
  <si>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</si>
  <si>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</si>
  <si>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</si>
  <si>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</si>
  <si>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</si>
  <si>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</si>
  <si>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</si>
  <si>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</si>
  <si>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</si>
  <si>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</si>
  <si>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</si>
  <si>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</si>
  <si>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</si>
  <si>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</si>
  <si>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</si>
  <si>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</si>
  <si>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</si>
  <si>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</si>
  <si>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</si>
  <si>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</si>
  <si>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</si>
  <si>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</si>
  <si>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</si>
  <si>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</si>
  <si>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</si>
  <si>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</si>
  <si>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</si>
  <si>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</si>
  <si>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</si>
  <si>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</si>
  <si>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</si>
  <si>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</si>
  <si>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</si>
  <si>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</si>
  <si>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</si>
  <si>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</si>
  <si>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</si>
  <si>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</si>
  <si>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</si>
  <si>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</si>
  <si>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</si>
  <si>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</si>
  <si>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</si>
  <si>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</si>
  <si>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</si>
  <si>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</si>
  <si>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</si>
  <si>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</si>
  <si>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</si>
  <si>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</si>
  <si>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</si>
  <si>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</si>
  <si>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</si>
  <si>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</si>
  <si>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</si>
  <si>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</si>
  <si>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</si>
  <si>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</si>
  <si>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</si>
  <si>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</si>
  <si>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</si>
  <si>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</si>
  <si>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</si>
  <si>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</si>
  <si>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</si>
  <si>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</si>
  <si>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</si>
  <si>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</si>
  <si>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</si>
  <si>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</si>
  <si>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</si>
  <si>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</si>
  <si>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</si>
  <si>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</si>
  <si>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</si>
  <si>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</si>
  <si>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</si>
  <si>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</si>
  <si>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</si>
  <si>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</si>
  <si>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</si>
  <si>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</si>
  <si>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</si>
  <si>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</si>
  <si>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</si>
  <si>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</si>
  <si>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</si>
  <si>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</si>
  <si>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</si>
  <si>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</si>
  <si>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</si>
  <si>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</si>
  <si>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供应商年降：     5  年3%</t>
    <phoneticPr fontId="38" type="noConversion"/>
  </si>
  <si>
    <t>2026年</t>
  </si>
  <si>
    <t>材料成本</t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</si>
  <si>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</si>
  <si>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</si>
  <si>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</si>
  <si>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2023年</t>
    <phoneticPr fontId="38" type="noConversion"/>
  </si>
  <si>
    <t>2027年</t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</si>
  <si>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</si>
  <si>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</si>
  <si>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</si>
  <si>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</si>
  <si>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</si>
  <si>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</si>
  <si>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</si>
  <si>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2024年</t>
    <phoneticPr fontId="38" type="noConversion"/>
  </si>
  <si>
    <t>2025年</t>
    <phoneticPr fontId="38" type="noConversion"/>
  </si>
  <si>
    <t>2026年</t>
    <phoneticPr fontId="38" type="noConversion"/>
  </si>
  <si>
    <t>2027年</t>
    <phoneticPr fontId="38" type="noConversion"/>
  </si>
  <si>
    <t>单位：未税、万元</t>
    <phoneticPr fontId="38" type="noConversion"/>
  </si>
  <si>
    <t>第一次立项投资757.2万元</t>
    <phoneticPr fontId="38" type="noConversion"/>
  </si>
  <si>
    <t xml:space="preserve">M4中改轻卡座椅项目研发费用预算表 </t>
    <phoneticPr fontId="38" type="noConversion"/>
  </si>
  <si>
    <t>驾驶员座椅总成</t>
    <phoneticPr fontId="38" type="noConversion"/>
  </si>
  <si>
    <t>副驾驶员座椅总成</t>
    <phoneticPr fontId="38" type="noConversion"/>
  </si>
  <si>
    <t>在L168100000146双轴座椅基础上改单轴放平，面料换厂家，降本</t>
    <phoneticPr fontId="38" type="noConversion"/>
  </si>
  <si>
    <t>在L168100000147双轴座椅基础上改单轴放平，面料换厂家，降本</t>
    <phoneticPr fontId="38" type="noConversion"/>
  </si>
  <si>
    <t>在L168100000149双轴座椅基础上改单轴放平，面料换厂家，降本</t>
    <phoneticPr fontId="38" type="noConversion"/>
  </si>
  <si>
    <t>原材料成本</t>
    <phoneticPr fontId="38" type="noConversion"/>
  </si>
  <si>
    <t>附加值</t>
    <phoneticPr fontId="38" type="noConversion"/>
  </si>
  <si>
    <t>附加值率</t>
    <phoneticPr fontId="38" type="noConversion"/>
  </si>
  <si>
    <t>ZY2349</t>
    <phoneticPr fontId="38" type="noConversion"/>
  </si>
  <si>
    <t>M4中改轻卡座椅降本项目</t>
    <phoneticPr fontId="38" type="noConversion"/>
  </si>
  <si>
    <t>投资收益分析</t>
    <phoneticPr fontId="38" type="noConversion"/>
  </si>
  <si>
    <t>第二次试验费0.7万元</t>
    <phoneticPr fontId="38" type="noConversion"/>
  </si>
  <si>
    <t>北汽福田山东多功能</t>
    <phoneticPr fontId="38" type="noConversion"/>
  </si>
  <si>
    <t>在L168100000146双轴座椅基础上改单轴放平，面料换厂家，降本</t>
  </si>
  <si>
    <t>在L168100000147双轴座椅基础上改单轴放平，面料换厂家，降本</t>
  </si>
  <si>
    <t>在L168100000149双轴座椅基础上改单轴放平，面料换厂家，降本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</si>
</sst>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4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3" fontId="2" fillId="0" borderId="1" xfId="0" applyNumberFormat="1" applyFont="1" applyBorder="1">
      <alignment vertical="center"/>
    </xf>
    <xf numFmtId="10" fontId="2" fillId="0" borderId="1" xfId="3" applyNumberFormat="1" applyFont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195" t="s">
        <v>7</v>
      </c>
      <c r="C5" s="145" t="s">
        <v>8</v>
      </c>
    </row>
    <row r="6" spans="1:4" s="140" customFormat="1" ht="33.75" customHeight="1">
      <c r="A6" s="143">
        <v>4</v>
      </c>
      <c r="B6" s="196"/>
      <c r="C6" s="144" t="s">
        <v>9</v>
      </c>
    </row>
    <row r="7" spans="1:4" s="140" customFormat="1" ht="33.75" customHeight="1">
      <c r="A7" s="143">
        <v>5</v>
      </c>
      <c r="B7" s="146" t="s">
        <v>10</v>
      </c>
      <c r="C7" s="144" t="s">
        <v>11</v>
      </c>
    </row>
    <row r="8" spans="1:4" s="140" customFormat="1" ht="33.75" customHeight="1">
      <c r="A8" s="143">
        <v>6</v>
      </c>
      <c r="B8" s="195" t="s">
        <v>12</v>
      </c>
      <c r="C8" s="144" t="s">
        <v>13</v>
      </c>
    </row>
    <row r="9" spans="1:4" s="140" customFormat="1" ht="33.75" customHeight="1">
      <c r="A9" s="143">
        <v>7</v>
      </c>
      <c r="B9" s="196"/>
      <c r="C9" s="144" t="s">
        <v>14</v>
      </c>
    </row>
    <row r="10" spans="1:4" s="140" customFormat="1" ht="33.75" customHeight="1">
      <c r="A10" s="143">
        <v>8</v>
      </c>
      <c r="B10" s="196"/>
      <c r="C10" s="145" t="s">
        <v>15</v>
      </c>
    </row>
    <row r="11" spans="1:4" s="140" customFormat="1" ht="33.75" customHeight="1">
      <c r="A11" s="143">
        <v>9</v>
      </c>
      <c r="B11" s="196"/>
      <c r="C11" s="144" t="s">
        <v>16</v>
      </c>
    </row>
    <row r="12" spans="1:4" s="140" customFormat="1" ht="33.75" customHeight="1">
      <c r="A12" s="143">
        <v>10</v>
      </c>
      <c r="B12" s="146" t="s">
        <v>17</v>
      </c>
      <c r="C12" s="144" t="s">
        <v>18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4" zoomScale="80" zoomScaleNormal="80" workbookViewId="0">
      <selection activeCell="C8" sqref="C8:D8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196</v>
      </c>
      <c r="E1" s="17"/>
      <c r="F1" s="17"/>
      <c r="G1" s="17"/>
      <c r="H1" s="17"/>
      <c r="I1" s="17"/>
    </row>
    <row r="2" spans="1:12" ht="24" customHeight="1">
      <c r="A2" s="18" t="s">
        <v>197</v>
      </c>
      <c r="E2" s="17"/>
      <c r="F2" s="17"/>
      <c r="G2" s="17"/>
      <c r="H2" s="17"/>
      <c r="I2" s="17"/>
    </row>
    <row r="3" spans="1:12">
      <c r="C3" s="6" t="s">
        <v>198</v>
      </c>
      <c r="D3" s="9" t="s">
        <v>240</v>
      </c>
      <c r="E3" s="167">
        <v>0.03</v>
      </c>
    </row>
    <row r="5" spans="1:12" ht="34.5" customHeight="1">
      <c r="A5" s="227" t="s">
        <v>199</v>
      </c>
      <c r="B5" s="8" t="s">
        <v>149</v>
      </c>
      <c r="C5" s="1" t="s">
        <v>263</v>
      </c>
      <c r="D5" s="1" t="s">
        <v>264</v>
      </c>
      <c r="E5" s="1" t="s">
        <v>264</v>
      </c>
      <c r="F5" s="15"/>
      <c r="G5" s="15"/>
      <c r="H5" s="15"/>
      <c r="I5" s="228" t="s">
        <v>21</v>
      </c>
    </row>
    <row r="6" spans="1:12" ht="21" customHeight="1">
      <c r="A6" s="227"/>
      <c r="B6" s="8" t="s">
        <v>150</v>
      </c>
      <c r="C6" s="192" t="s">
        <v>276</v>
      </c>
      <c r="D6" s="192" t="s">
        <v>277</v>
      </c>
      <c r="E6" s="192" t="s">
        <v>278</v>
      </c>
      <c r="F6" s="15"/>
      <c r="G6" s="15"/>
      <c r="H6" s="15"/>
      <c r="I6" s="229"/>
      <c r="K6" s="6">
        <v>100</v>
      </c>
    </row>
    <row r="7" spans="1:12" ht="36.75" customHeight="1">
      <c r="A7" s="227"/>
      <c r="B7" s="21" t="s">
        <v>200</v>
      </c>
      <c r="C7" s="188" t="s">
        <v>265</v>
      </c>
      <c r="D7" s="188" t="s">
        <v>266</v>
      </c>
      <c r="E7" s="188" t="s">
        <v>267</v>
      </c>
      <c r="F7" s="20"/>
      <c r="G7" s="20"/>
      <c r="H7" s="20"/>
      <c r="I7" s="230"/>
      <c r="K7" s="6">
        <f>K6*(1-$E$3)</f>
        <v>97</v>
      </c>
      <c r="L7" s="6">
        <f>K7/$K$6</f>
        <v>0.97</v>
      </c>
    </row>
    <row r="8" spans="1:12" ht="33">
      <c r="A8" s="227"/>
      <c r="B8" s="21" t="s">
        <v>201</v>
      </c>
      <c r="C8" s="189">
        <v>364.6</v>
      </c>
      <c r="D8" s="189">
        <v>387.6</v>
      </c>
      <c r="E8" s="189">
        <v>408.5</v>
      </c>
      <c r="F8" s="20"/>
      <c r="G8" s="20"/>
      <c r="H8" s="20"/>
      <c r="I8" s="26">
        <f>SUM(C8:H8)</f>
        <v>1160.7</v>
      </c>
      <c r="K8" s="6">
        <f>K7*(1-$E$3)</f>
        <v>94.09</v>
      </c>
      <c r="L8" s="6">
        <f t="shared" ref="L8:L10" si="0">K8/$K$6</f>
        <v>0.94090000000000007</v>
      </c>
    </row>
    <row r="9" spans="1:12" ht="17.25">
      <c r="A9" s="227" t="s">
        <v>202</v>
      </c>
      <c r="B9" s="179" t="s">
        <v>247</v>
      </c>
      <c r="C9" s="1">
        <v>30000</v>
      </c>
      <c r="D9" s="1">
        <v>15000</v>
      </c>
      <c r="E9" s="1">
        <v>15000</v>
      </c>
      <c r="F9" s="23"/>
      <c r="G9" s="23"/>
      <c r="H9" s="23"/>
      <c r="I9" s="26">
        <f>SUM(C9:H9)</f>
        <v>60000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7.25">
      <c r="A10" s="227"/>
      <c r="B10" s="182" t="s">
        <v>192</v>
      </c>
      <c r="C10" s="1">
        <v>30000</v>
      </c>
      <c r="D10" s="1">
        <v>15000</v>
      </c>
      <c r="E10" s="1">
        <v>15000</v>
      </c>
      <c r="F10" s="23"/>
      <c r="G10" s="23"/>
      <c r="H10" s="23"/>
      <c r="I10" s="26">
        <f t="shared" ref="I10:I14" si="2">SUM(C10:H10)</f>
        <v>60000</v>
      </c>
      <c r="K10" s="6">
        <f t="shared" si="1"/>
        <v>88.529280999999997</v>
      </c>
      <c r="L10" s="6">
        <f t="shared" si="0"/>
        <v>0.88529280999999993</v>
      </c>
    </row>
    <row r="11" spans="1:12" ht="17.25">
      <c r="A11" s="227"/>
      <c r="B11" s="182" t="s">
        <v>193</v>
      </c>
      <c r="C11" s="1">
        <v>30000</v>
      </c>
      <c r="D11" s="1">
        <v>15000</v>
      </c>
      <c r="E11" s="1">
        <v>15000</v>
      </c>
      <c r="F11" s="23"/>
      <c r="G11" s="23"/>
      <c r="H11" s="23"/>
      <c r="I11" s="26">
        <f t="shared" si="2"/>
        <v>60000</v>
      </c>
    </row>
    <row r="12" spans="1:12" ht="17.25">
      <c r="A12" s="227"/>
      <c r="B12" s="182" t="s">
        <v>242</v>
      </c>
      <c r="C12" s="23"/>
      <c r="D12" s="23"/>
      <c r="E12" s="23"/>
      <c r="F12" s="23"/>
      <c r="G12" s="23"/>
      <c r="H12" s="23"/>
      <c r="I12" s="26">
        <f t="shared" si="2"/>
        <v>0</v>
      </c>
    </row>
    <row r="13" spans="1:12" ht="17.25">
      <c r="A13" s="227"/>
      <c r="B13" s="182" t="s">
        <v>248</v>
      </c>
      <c r="C13" s="23"/>
      <c r="D13" s="23"/>
      <c r="E13" s="23"/>
      <c r="F13" s="23"/>
      <c r="G13" s="23"/>
      <c r="H13" s="23"/>
      <c r="I13" s="26">
        <f t="shared" si="2"/>
        <v>0</v>
      </c>
    </row>
    <row r="14" spans="1:12" ht="17.25">
      <c r="A14" s="227"/>
      <c r="B14" s="179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26" t="s">
        <v>21</v>
      </c>
      <c r="B15" s="226"/>
      <c r="C15" s="24">
        <f t="shared" ref="C15:I15" si="3">SUM(C9:C14)</f>
        <v>90000</v>
      </c>
      <c r="D15" s="24">
        <f t="shared" si="3"/>
        <v>45000</v>
      </c>
      <c r="E15" s="24">
        <f t="shared" si="3"/>
        <v>45000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180000</v>
      </c>
    </row>
    <row r="16" spans="1:12">
      <c r="A16" s="25"/>
      <c r="B16" s="25"/>
      <c r="C16" s="25"/>
    </row>
    <row r="17" spans="2:9" ht="17.25">
      <c r="B17" s="15" t="s">
        <v>268</v>
      </c>
      <c r="C17" s="193">
        <f>材料成本!D12</f>
        <v>408.02</v>
      </c>
      <c r="D17" s="193">
        <f>材料成本!E12</f>
        <v>398.24</v>
      </c>
      <c r="E17" s="193">
        <f>材料成本!F12</f>
        <v>388.24</v>
      </c>
      <c r="F17" s="193">
        <f>材料成本!G12</f>
        <v>0</v>
      </c>
      <c r="G17" s="193">
        <f>材料成本!H12</f>
        <v>0</v>
      </c>
      <c r="H17" s="193">
        <f>材料成本!I12</f>
        <v>0</v>
      </c>
      <c r="I17" s="26">
        <f t="shared" ref="I17:I18" si="4">SUM(C17:H17)</f>
        <v>1194.5</v>
      </c>
    </row>
    <row r="18" spans="2:9" ht="17.25">
      <c r="B18" s="15" t="s">
        <v>269</v>
      </c>
      <c r="C18" s="193">
        <f>C8-C17</f>
        <v>-43.419999999999959</v>
      </c>
      <c r="D18" s="193">
        <f t="shared" ref="D18:E18" si="5">D8-D17</f>
        <v>-10.639999999999986</v>
      </c>
      <c r="E18" s="193">
        <f t="shared" si="5"/>
        <v>20.259999999999991</v>
      </c>
      <c r="F18" s="193">
        <f t="shared" ref="F18" si="6">F8-F17</f>
        <v>0</v>
      </c>
      <c r="G18" s="193">
        <f t="shared" ref="G18" si="7">G8-G17</f>
        <v>0</v>
      </c>
      <c r="H18" s="193">
        <f t="shared" ref="H18" si="8">H8-H17</f>
        <v>0</v>
      </c>
      <c r="I18" s="26">
        <f t="shared" si="4"/>
        <v>-33.799999999999955</v>
      </c>
    </row>
    <row r="19" spans="2:9">
      <c r="B19" s="15" t="s">
        <v>270</v>
      </c>
      <c r="C19" s="194">
        <f>C18/C8</f>
        <v>-0.11908941305540306</v>
      </c>
      <c r="D19" s="194">
        <f t="shared" ref="D19:I19" si="9">D18/D8</f>
        <v>-2.7450980392156828E-2</v>
      </c>
      <c r="E19" s="194">
        <f t="shared" si="9"/>
        <v>4.9596083231334125E-2</v>
      </c>
      <c r="F19" s="194" t="e">
        <f t="shared" si="9"/>
        <v>#DIV/0!</v>
      </c>
      <c r="G19" s="194" t="e">
        <f t="shared" si="9"/>
        <v>#DIV/0!</v>
      </c>
      <c r="H19" s="194" t="e">
        <f t="shared" si="9"/>
        <v>#DIV/0!</v>
      </c>
      <c r="I19" s="194">
        <f t="shared" si="9"/>
        <v>-2.912035840441109E-2</v>
      </c>
    </row>
  </sheetData>
  <mergeCells count="4">
    <mergeCell ref="A15:B15"/>
    <mergeCell ref="A5:A8"/>
    <mergeCell ref="A9:A14"/>
    <mergeCell ref="I5:I7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workbookViewId="0">
      <pane xSplit="3" ySplit="5" topLeftCell="D9" activePane="bottomRight" state="frozen"/>
      <selection pane="topRight"/>
      <selection pane="bottomLeft"/>
      <selection pane="bottomRight" activeCell="E12" sqref="E12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5.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36" t="s">
        <v>7</v>
      </c>
      <c r="B1" s="236"/>
      <c r="C1" s="7"/>
      <c r="K1" s="14"/>
    </row>
    <row r="2" spans="1:12">
      <c r="A2" s="237" t="s">
        <v>203</v>
      </c>
      <c r="B2" s="237"/>
      <c r="C2" s="238"/>
      <c r="D2" s="238"/>
      <c r="E2" s="239" t="s">
        <v>241</v>
      </c>
      <c r="F2" s="240"/>
      <c r="G2" s="240"/>
      <c r="H2" s="240"/>
      <c r="I2" s="240"/>
      <c r="J2" s="241"/>
    </row>
    <row r="3" spans="1:12">
      <c r="A3" s="249" t="s">
        <v>19</v>
      </c>
      <c r="B3" s="249" t="s">
        <v>204</v>
      </c>
      <c r="C3" s="8" t="s">
        <v>205</v>
      </c>
      <c r="D3" s="242" t="str">
        <f>损益表!A1</f>
        <v>M4中改轻卡座椅降本项目</v>
      </c>
      <c r="E3" s="242"/>
      <c r="F3" s="8" t="s">
        <v>206</v>
      </c>
      <c r="G3" s="233" t="s">
        <v>271</v>
      </c>
      <c r="H3" s="234"/>
      <c r="I3" s="235"/>
      <c r="J3" s="243" t="s">
        <v>160</v>
      </c>
    </row>
    <row r="4" spans="1:12">
      <c r="A4" s="249"/>
      <c r="B4" s="249"/>
      <c r="C4" s="8" t="s">
        <v>149</v>
      </c>
      <c r="D4" s="162" t="str">
        <f>销量!C5</f>
        <v>驾驶员座椅总成</v>
      </c>
      <c r="E4" s="162" t="str">
        <f>销量!D5</f>
        <v>副驾驶员座椅总成</v>
      </c>
      <c r="F4" s="162" t="str">
        <f>销量!E5</f>
        <v>副驾驶员座椅总成</v>
      </c>
      <c r="G4" s="162">
        <f>销量!F5</f>
        <v>0</v>
      </c>
      <c r="H4" s="162">
        <f>销量!G5</f>
        <v>0</v>
      </c>
      <c r="I4" s="162">
        <f>销量!H5</f>
        <v>0</v>
      </c>
      <c r="J4" s="244"/>
    </row>
    <row r="5" spans="1:12" ht="41.25" customHeight="1">
      <c r="A5" s="249"/>
      <c r="B5" s="249"/>
      <c r="C5" s="8" t="s">
        <v>150</v>
      </c>
      <c r="D5" s="162" t="str">
        <f>销量!C6</f>
        <v>在L168100000146双轴座椅基础上改单轴放平，面料换厂家，降本</v>
      </c>
      <c r="E5" s="162" t="str">
        <f>销量!D6</f>
        <v>在L168100000147双轴座椅基础上改单轴放平，面料换厂家，降本</v>
      </c>
      <c r="F5" s="162" t="str">
        <f>销量!E6</f>
        <v>在L168100000149双轴座椅基础上改单轴放平，面料换厂家，降本</v>
      </c>
      <c r="G5" s="162">
        <f>销量!F6</f>
        <v>0</v>
      </c>
      <c r="H5" s="162">
        <f>销量!G6</f>
        <v>0</v>
      </c>
      <c r="I5" s="162">
        <f>销量!H6</f>
        <v>0</v>
      </c>
      <c r="J5" s="245"/>
    </row>
    <row r="6" spans="1:12" ht="16.5" customHeight="1">
      <c r="A6" s="11">
        <v>1</v>
      </c>
      <c r="B6" s="231" t="s">
        <v>243</v>
      </c>
      <c r="C6" s="232"/>
      <c r="D6" s="12">
        <v>408.02</v>
      </c>
      <c r="E6" s="12">
        <v>398.24</v>
      </c>
      <c r="F6" s="12">
        <f>E6-10</f>
        <v>388.24</v>
      </c>
      <c r="G6" s="12"/>
      <c r="H6" s="12"/>
      <c r="I6" s="12"/>
      <c r="J6" s="181"/>
    </row>
    <row r="7" spans="1:12" ht="16.5" customHeight="1">
      <c r="A7" s="11">
        <v>2</v>
      </c>
      <c r="B7" s="231"/>
      <c r="C7" s="232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31"/>
      <c r="C8" s="232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31"/>
      <c r="C9" s="232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31"/>
      <c r="C10" s="232"/>
      <c r="D10" s="12"/>
      <c r="E10" s="10"/>
      <c r="F10" s="12"/>
      <c r="G10" s="10"/>
      <c r="H10" s="10"/>
      <c r="I10" s="10"/>
      <c r="J10" s="15"/>
      <c r="K10" s="250"/>
      <c r="L10" s="251"/>
    </row>
    <row r="11" spans="1:12" ht="16.5" customHeight="1">
      <c r="A11" s="11">
        <v>6</v>
      </c>
      <c r="B11" s="231"/>
      <c r="C11" s="232"/>
      <c r="D11" s="12"/>
      <c r="E11" s="10"/>
      <c r="F11" s="12"/>
      <c r="G11" s="10"/>
      <c r="H11" s="10"/>
      <c r="I11" s="10"/>
      <c r="J11" s="15"/>
      <c r="K11" s="250"/>
      <c r="L11" s="251"/>
    </row>
    <row r="12" spans="1:12" ht="31.5" customHeight="1">
      <c r="A12" s="246" t="s">
        <v>207</v>
      </c>
      <c r="B12" s="247"/>
      <c r="C12" s="248"/>
      <c r="D12" s="13">
        <f t="shared" ref="D12:I12" si="0">SUM(D6:D11)</f>
        <v>408.02</v>
      </c>
      <c r="E12" s="13">
        <f t="shared" si="0"/>
        <v>398.24</v>
      </c>
      <c r="F12" s="13">
        <f t="shared" si="0"/>
        <v>388.24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5"/>
    </row>
    <row r="13" spans="1:12">
      <c r="D13" s="168"/>
      <c r="E13" s="168"/>
    </row>
    <row r="14" spans="1:12">
      <c r="C14" s="6">
        <v>2024</v>
      </c>
      <c r="D14" s="168">
        <f>D12*0.97</f>
        <v>395.77939999999995</v>
      </c>
      <c r="E14" s="168">
        <f t="shared" ref="E14:F14" si="1">E12*0.97</f>
        <v>386.2928</v>
      </c>
      <c r="F14" s="168">
        <f t="shared" si="1"/>
        <v>376.59280000000001</v>
      </c>
    </row>
    <row r="15" spans="1:12">
      <c r="C15" s="6">
        <v>2025</v>
      </c>
      <c r="D15" s="168">
        <f>D14*0.97</f>
        <v>383.90601799999996</v>
      </c>
      <c r="E15" s="168">
        <f t="shared" ref="E15:F15" si="2">E14*0.97</f>
        <v>374.70401599999997</v>
      </c>
      <c r="F15" s="168">
        <f t="shared" si="2"/>
        <v>365.29501599999998</v>
      </c>
    </row>
    <row r="16" spans="1:12">
      <c r="C16" s="6">
        <v>2026</v>
      </c>
    </row>
    <row r="17" spans="3:3">
      <c r="C17" s="6">
        <v>2027</v>
      </c>
    </row>
  </sheetData>
  <mergeCells count="17">
    <mergeCell ref="B11:C11"/>
    <mergeCell ref="A12:C12"/>
    <mergeCell ref="A3:A5"/>
    <mergeCell ref="B3:B5"/>
    <mergeCell ref="K10:L10"/>
    <mergeCell ref="K11:L11"/>
    <mergeCell ref="G3:I3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208</v>
      </c>
      <c r="C1" s="1" t="s">
        <v>209</v>
      </c>
      <c r="D1" s="1" t="s">
        <v>210</v>
      </c>
      <c r="E1" s="1" t="s">
        <v>211</v>
      </c>
    </row>
    <row r="2" spans="1:6" ht="19.5" customHeight="1">
      <c r="A2" s="1">
        <v>1</v>
      </c>
      <c r="B2" s="1" t="s">
        <v>212</v>
      </c>
      <c r="C2" s="165"/>
      <c r="D2" s="1"/>
      <c r="E2" s="1"/>
    </row>
    <row r="3" spans="1:6" ht="19.5" customHeight="1">
      <c r="A3" s="1">
        <v>2</v>
      </c>
      <c r="B3" s="1" t="s">
        <v>213</v>
      </c>
      <c r="C3" s="165"/>
      <c r="D3" s="1"/>
      <c r="E3" s="1"/>
    </row>
    <row r="4" spans="1:6" ht="19.5" customHeight="1">
      <c r="A4" s="1">
        <v>3</v>
      </c>
      <c r="B4" s="1" t="s">
        <v>214</v>
      </c>
      <c r="C4" s="165"/>
      <c r="D4" s="1"/>
      <c r="E4" s="1"/>
    </row>
    <row r="5" spans="1:6" ht="19.5" customHeight="1">
      <c r="A5" s="1">
        <v>4</v>
      </c>
      <c r="B5" s="1" t="s">
        <v>215</v>
      </c>
      <c r="C5" s="165"/>
      <c r="D5" s="1"/>
      <c r="E5" s="1"/>
    </row>
    <row r="6" spans="1:6" ht="35.25" customHeight="1">
      <c r="A6" s="1">
        <v>5</v>
      </c>
      <c r="B6" s="1" t="s">
        <v>216</v>
      </c>
      <c r="C6" s="165"/>
      <c r="D6" s="1"/>
      <c r="E6" s="1"/>
    </row>
    <row r="7" spans="1:6" ht="37.5" customHeight="1">
      <c r="A7" s="1">
        <v>6</v>
      </c>
      <c r="B7" s="1" t="s">
        <v>217</v>
      </c>
      <c r="C7" s="165"/>
      <c r="D7" s="1"/>
      <c r="E7" s="1"/>
    </row>
    <row r="8" spans="1:6" ht="42.75" customHeight="1">
      <c r="A8" s="1">
        <v>7</v>
      </c>
      <c r="B8" s="1" t="s">
        <v>218</v>
      </c>
      <c r="C8" s="165"/>
      <c r="D8" s="1"/>
      <c r="E8" s="1"/>
    </row>
    <row r="9" spans="1:6" ht="39" customHeight="1">
      <c r="A9" s="1">
        <v>8</v>
      </c>
      <c r="B9" s="1" t="s">
        <v>219</v>
      </c>
      <c r="C9" s="165"/>
      <c r="D9" s="1"/>
      <c r="E9" s="1"/>
    </row>
    <row r="10" spans="1:6" ht="36" customHeight="1">
      <c r="A10" s="1">
        <v>9</v>
      </c>
      <c r="B10" s="1" t="s">
        <v>220</v>
      </c>
      <c r="C10" s="165"/>
      <c r="D10" s="1"/>
      <c r="E10" s="1"/>
    </row>
    <row r="11" spans="1:6" ht="35.25" customHeight="1">
      <c r="A11" s="1">
        <v>10</v>
      </c>
      <c r="B11" s="1" t="s">
        <v>221</v>
      </c>
      <c r="C11" s="165"/>
      <c r="D11" s="1"/>
      <c r="E11" s="1"/>
      <c r="F11" s="166" t="s">
        <v>239</v>
      </c>
    </row>
    <row r="12" spans="1:6" ht="19.5" customHeight="1">
      <c r="A12" s="1">
        <v>11</v>
      </c>
      <c r="B12" s="1" t="s">
        <v>222</v>
      </c>
      <c r="C12" s="16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I8" sqref="I8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1" customWidth="1"/>
    <col min="10" max="16384" width="9" style="69"/>
  </cols>
  <sheetData>
    <row r="1" spans="1:12" s="148" customFormat="1" ht="18.75" customHeight="1">
      <c r="G1" s="257" t="s">
        <v>223</v>
      </c>
      <c r="H1" s="257"/>
      <c r="I1" s="149"/>
    </row>
    <row r="2" spans="1:12" ht="39" customHeight="1">
      <c r="A2" s="258" t="s">
        <v>224</v>
      </c>
      <c r="B2" s="258"/>
      <c r="C2" s="252" t="s">
        <v>225</v>
      </c>
      <c r="D2" s="259"/>
      <c r="E2" s="259"/>
      <c r="F2" s="259"/>
      <c r="G2" s="259"/>
      <c r="H2" s="253"/>
      <c r="I2" s="150" t="s">
        <v>232</v>
      </c>
      <c r="K2" s="171"/>
      <c r="L2" s="171"/>
    </row>
    <row r="3" spans="1:12" ht="34.5" customHeight="1">
      <c r="A3" s="258"/>
      <c r="B3" s="258"/>
      <c r="C3" s="159" t="s">
        <v>234</v>
      </c>
      <c r="D3" s="159" t="s">
        <v>235</v>
      </c>
      <c r="E3" s="159" t="s">
        <v>233</v>
      </c>
      <c r="F3" s="160" t="s">
        <v>238</v>
      </c>
      <c r="G3" s="160" t="s">
        <v>237</v>
      </c>
      <c r="H3" s="160" t="s">
        <v>236</v>
      </c>
      <c r="I3" s="164">
        <f>销量!C8</f>
        <v>364.6</v>
      </c>
    </row>
    <row r="4" spans="1:12" ht="24" customHeight="1">
      <c r="A4" s="254" t="s">
        <v>226</v>
      </c>
      <c r="B4" s="254"/>
      <c r="C4" s="3"/>
      <c r="D4" s="152"/>
      <c r="E4" s="153">
        <f>$I$3*I4</f>
        <v>15.714260000000001</v>
      </c>
      <c r="F4" s="153"/>
      <c r="G4" s="153"/>
      <c r="H4" s="154">
        <v>4.48E-2</v>
      </c>
      <c r="I4" s="151">
        <v>4.3099999999999999E-2</v>
      </c>
      <c r="J4" s="169"/>
      <c r="K4" s="70"/>
      <c r="L4" s="70"/>
    </row>
    <row r="5" spans="1:12" ht="24" customHeight="1">
      <c r="A5" s="254" t="s">
        <v>227</v>
      </c>
      <c r="B5" s="155" t="s">
        <v>228</v>
      </c>
      <c r="C5" s="3"/>
      <c r="D5" s="152"/>
      <c r="E5" s="153">
        <f>I3*H5</f>
        <v>14.729840000000001</v>
      </c>
      <c r="F5" s="153"/>
      <c r="G5" s="153"/>
      <c r="H5" s="154">
        <v>4.0399999999999998E-2</v>
      </c>
      <c r="J5" s="170"/>
      <c r="K5" s="70"/>
      <c r="L5" s="70"/>
    </row>
    <row r="6" spans="1:12" ht="24" customHeight="1">
      <c r="A6" s="254"/>
      <c r="B6" s="155" t="s">
        <v>229</v>
      </c>
      <c r="C6" s="3"/>
      <c r="D6" s="152"/>
      <c r="E6" s="153">
        <f t="shared" ref="E6:E11" si="0">$I$3*I6</f>
        <v>7.9118200000000005</v>
      </c>
      <c r="F6" s="153"/>
      <c r="G6" s="153"/>
      <c r="H6" s="154">
        <v>1.66E-2</v>
      </c>
      <c r="I6" s="151">
        <v>2.1700000000000001E-2</v>
      </c>
      <c r="J6" s="169"/>
      <c r="K6" s="70"/>
      <c r="L6" s="70"/>
    </row>
    <row r="7" spans="1:12" ht="24" customHeight="1">
      <c r="A7" s="252" t="s">
        <v>230</v>
      </c>
      <c r="B7" s="253"/>
      <c r="C7" s="156"/>
      <c r="D7" s="157"/>
      <c r="E7" s="153">
        <f t="shared" si="0"/>
        <v>23.626080000000002</v>
      </c>
      <c r="F7" s="153"/>
      <c r="G7" s="153"/>
      <c r="H7" s="158">
        <f>SUM(H4:H6)</f>
        <v>0.1018</v>
      </c>
      <c r="I7" s="151">
        <f>SUM(I4:I6)</f>
        <v>6.4799999999999996E-2</v>
      </c>
      <c r="J7" s="169"/>
      <c r="K7" s="70"/>
      <c r="L7" s="70"/>
    </row>
    <row r="8" spans="1:12" ht="24" customHeight="1">
      <c r="A8" s="254" t="s">
        <v>51</v>
      </c>
      <c r="B8" s="254"/>
      <c r="C8" s="3"/>
      <c r="D8" s="152"/>
      <c r="E8" s="153">
        <f>I3*H8</f>
        <v>9.9171200000000006</v>
      </c>
      <c r="F8" s="153"/>
      <c r="G8" s="153"/>
      <c r="H8" s="154">
        <f>1.97%+0.75%</f>
        <v>2.7199999999999998E-2</v>
      </c>
      <c r="J8" s="170"/>
      <c r="K8" s="70"/>
      <c r="L8" s="70"/>
    </row>
    <row r="9" spans="1:12" ht="24" customHeight="1">
      <c r="A9" s="255" t="s">
        <v>231</v>
      </c>
      <c r="B9" s="155" t="s">
        <v>228</v>
      </c>
      <c r="C9" s="3"/>
      <c r="D9" s="152"/>
      <c r="E9" s="153">
        <f>I3*H9</f>
        <v>1.9323800000000002</v>
      </c>
      <c r="F9" s="153"/>
      <c r="G9" s="153"/>
      <c r="H9" s="154">
        <v>5.3E-3</v>
      </c>
      <c r="J9" s="151"/>
      <c r="K9" s="70"/>
      <c r="L9" s="70"/>
    </row>
    <row r="10" spans="1:12" ht="24" customHeight="1">
      <c r="A10" s="256"/>
      <c r="B10" s="155" t="s">
        <v>229</v>
      </c>
      <c r="C10" s="3"/>
      <c r="D10" s="152"/>
      <c r="E10" s="153">
        <f t="shared" si="0"/>
        <v>10.938000000000001</v>
      </c>
      <c r="F10" s="153"/>
      <c r="G10" s="153"/>
      <c r="H10" s="154">
        <v>3.4099999999999998E-2</v>
      </c>
      <c r="I10" s="151">
        <v>0.03</v>
      </c>
      <c r="J10" s="151"/>
      <c r="K10" s="70"/>
      <c r="L10" s="70"/>
    </row>
    <row r="11" spans="1:12" ht="24" customHeight="1">
      <c r="A11" s="254" t="s">
        <v>54</v>
      </c>
      <c r="B11" s="254"/>
      <c r="C11" s="3"/>
      <c r="D11" s="152"/>
      <c r="E11" s="153">
        <f t="shared" si="0"/>
        <v>7.2920000000000007</v>
      </c>
      <c r="F11" s="153"/>
      <c r="G11" s="153"/>
      <c r="H11" s="154">
        <v>1.0999999999999999E-2</v>
      </c>
      <c r="I11" s="151">
        <v>0.02</v>
      </c>
      <c r="J11" s="151"/>
      <c r="K11" s="70"/>
      <c r="L11" s="70"/>
    </row>
    <row r="15" spans="1:12">
      <c r="A15" s="148"/>
      <c r="B15" s="148"/>
      <c r="C15" s="148"/>
      <c r="D15" s="148"/>
      <c r="E15" s="148"/>
      <c r="F15" s="148"/>
      <c r="G15" s="257" t="s">
        <v>223</v>
      </c>
      <c r="H15" s="257"/>
      <c r="I15" s="149"/>
    </row>
    <row r="16" spans="1:12">
      <c r="A16" s="258" t="s">
        <v>224</v>
      </c>
      <c r="B16" s="258"/>
      <c r="C16" s="252" t="s">
        <v>225</v>
      </c>
      <c r="D16" s="259"/>
      <c r="E16" s="259"/>
      <c r="F16" s="259"/>
      <c r="G16" s="259"/>
      <c r="H16" s="253"/>
      <c r="I16" s="150" t="s">
        <v>232</v>
      </c>
    </row>
    <row r="17" spans="1:9" ht="27">
      <c r="A17" s="258"/>
      <c r="B17" s="258"/>
      <c r="C17" s="159" t="s">
        <v>234</v>
      </c>
      <c r="D17" s="159" t="s">
        <v>235</v>
      </c>
      <c r="E17" s="159" t="s">
        <v>233</v>
      </c>
      <c r="F17" s="160" t="s">
        <v>238</v>
      </c>
      <c r="G17" s="160" t="s">
        <v>237</v>
      </c>
      <c r="H17" s="160" t="s">
        <v>236</v>
      </c>
      <c r="I17" s="164">
        <f>销量!D8</f>
        <v>387.6</v>
      </c>
    </row>
    <row r="18" spans="1:9">
      <c r="A18" s="254" t="s">
        <v>226</v>
      </c>
      <c r="B18" s="254"/>
      <c r="C18" s="3"/>
      <c r="D18" s="152"/>
      <c r="E18" s="153">
        <f>$I$17*I18</f>
        <v>16.705560000000002</v>
      </c>
      <c r="F18" s="153"/>
      <c r="G18" s="153"/>
      <c r="H18" s="154">
        <v>4.48E-2</v>
      </c>
      <c r="I18" s="151">
        <v>4.3099999999999999E-2</v>
      </c>
    </row>
    <row r="19" spans="1:9">
      <c r="A19" s="254" t="s">
        <v>227</v>
      </c>
      <c r="B19" s="180" t="s">
        <v>228</v>
      </c>
      <c r="C19" s="3"/>
      <c r="D19" s="152"/>
      <c r="E19" s="153">
        <f>I17*H19</f>
        <v>15.659040000000001</v>
      </c>
      <c r="F19" s="153"/>
      <c r="G19" s="153"/>
      <c r="H19" s="154">
        <v>4.0399999999999998E-2</v>
      </c>
    </row>
    <row r="20" spans="1:9">
      <c r="A20" s="254"/>
      <c r="B20" s="180" t="s">
        <v>229</v>
      </c>
      <c r="C20" s="3"/>
      <c r="D20" s="152"/>
      <c r="E20" s="153">
        <f>$I$17*I20</f>
        <v>8.4109200000000008</v>
      </c>
      <c r="F20" s="153"/>
      <c r="G20" s="153"/>
      <c r="H20" s="154">
        <v>1.66E-2</v>
      </c>
      <c r="I20" s="151">
        <v>2.1700000000000001E-2</v>
      </c>
    </row>
    <row r="21" spans="1:9">
      <c r="A21" s="252" t="s">
        <v>230</v>
      </c>
      <c r="B21" s="253"/>
      <c r="C21" s="156"/>
      <c r="D21" s="157"/>
      <c r="E21" s="153">
        <f>$I$17*I21</f>
        <v>25.116479999999999</v>
      </c>
      <c r="F21" s="153"/>
      <c r="G21" s="153"/>
      <c r="H21" s="158">
        <f>SUM(H18:H20)</f>
        <v>0.1018</v>
      </c>
      <c r="I21" s="151">
        <f>SUM(I18:I20)</f>
        <v>6.4799999999999996E-2</v>
      </c>
    </row>
    <row r="22" spans="1:9">
      <c r="A22" s="254" t="s">
        <v>51</v>
      </c>
      <c r="B22" s="254"/>
      <c r="C22" s="3"/>
      <c r="D22" s="152"/>
      <c r="E22" s="153">
        <f>I17*H22</f>
        <v>10.542719999999999</v>
      </c>
      <c r="F22" s="153"/>
      <c r="G22" s="153"/>
      <c r="H22" s="154">
        <f>1.97%+0.75%</f>
        <v>2.7199999999999998E-2</v>
      </c>
    </row>
    <row r="23" spans="1:9">
      <c r="A23" s="255" t="s">
        <v>231</v>
      </c>
      <c r="B23" s="180" t="s">
        <v>228</v>
      </c>
      <c r="C23" s="3"/>
      <c r="D23" s="152"/>
      <c r="E23" s="153">
        <f>H23*I17</f>
        <v>2.0542800000000003</v>
      </c>
      <c r="F23" s="153"/>
      <c r="G23" s="153"/>
      <c r="H23" s="154">
        <v>5.3E-3</v>
      </c>
    </row>
    <row r="24" spans="1:9">
      <c r="A24" s="256"/>
      <c r="B24" s="180" t="s">
        <v>229</v>
      </c>
      <c r="C24" s="3"/>
      <c r="D24" s="152"/>
      <c r="E24" s="153">
        <f>$I$17*I24</f>
        <v>11.628</v>
      </c>
      <c r="F24" s="153"/>
      <c r="G24" s="153"/>
      <c r="H24" s="154">
        <v>3.4099999999999998E-2</v>
      </c>
      <c r="I24" s="151">
        <v>0.03</v>
      </c>
    </row>
    <row r="25" spans="1:9">
      <c r="A25" s="254" t="s">
        <v>54</v>
      </c>
      <c r="B25" s="254"/>
      <c r="C25" s="3"/>
      <c r="D25" s="152"/>
      <c r="E25" s="153">
        <f>$I$17*I25</f>
        <v>7.7520000000000007</v>
      </c>
      <c r="F25" s="153"/>
      <c r="G25" s="153"/>
      <c r="H25" s="154">
        <v>1.0999999999999999E-2</v>
      </c>
      <c r="I25" s="151">
        <v>0.02</v>
      </c>
    </row>
    <row r="29" spans="1:9">
      <c r="A29" s="148"/>
      <c r="B29" s="148"/>
      <c r="C29" s="148"/>
      <c r="D29" s="148"/>
      <c r="E29" s="148"/>
      <c r="F29" s="148"/>
      <c r="G29" s="257" t="s">
        <v>223</v>
      </c>
      <c r="H29" s="257"/>
      <c r="I29" s="149"/>
    </row>
    <row r="30" spans="1:9">
      <c r="A30" s="258" t="s">
        <v>224</v>
      </c>
      <c r="B30" s="258"/>
      <c r="C30" s="252" t="s">
        <v>225</v>
      </c>
      <c r="D30" s="259"/>
      <c r="E30" s="259"/>
      <c r="F30" s="259"/>
      <c r="G30" s="259"/>
      <c r="H30" s="253"/>
      <c r="I30" s="150" t="s">
        <v>232</v>
      </c>
    </row>
    <row r="31" spans="1:9" ht="27">
      <c r="A31" s="258"/>
      <c r="B31" s="258"/>
      <c r="C31" s="159" t="s">
        <v>234</v>
      </c>
      <c r="D31" s="159" t="s">
        <v>235</v>
      </c>
      <c r="E31" s="159" t="s">
        <v>233</v>
      </c>
      <c r="F31" s="160" t="s">
        <v>238</v>
      </c>
      <c r="G31" s="160" t="s">
        <v>237</v>
      </c>
      <c r="H31" s="160" t="s">
        <v>236</v>
      </c>
      <c r="I31" s="164">
        <f>销量!E8</f>
        <v>408.5</v>
      </c>
    </row>
    <row r="32" spans="1:9">
      <c r="A32" s="254" t="s">
        <v>226</v>
      </c>
      <c r="B32" s="254"/>
      <c r="C32" s="3"/>
      <c r="D32" s="152"/>
      <c r="E32" s="153">
        <f>$I$3*I32</f>
        <v>15.714260000000001</v>
      </c>
      <c r="F32" s="153"/>
      <c r="G32" s="153"/>
      <c r="H32" s="154">
        <v>4.48E-2</v>
      </c>
      <c r="I32" s="151">
        <v>4.3099999999999999E-2</v>
      </c>
    </row>
    <row r="33" spans="1:9">
      <c r="A33" s="254" t="s">
        <v>227</v>
      </c>
      <c r="B33" s="180" t="s">
        <v>228</v>
      </c>
      <c r="C33" s="3"/>
      <c r="D33" s="152"/>
      <c r="E33" s="153">
        <f>I31*H33</f>
        <v>16.503399999999999</v>
      </c>
      <c r="F33" s="153"/>
      <c r="G33" s="153"/>
      <c r="H33" s="154">
        <v>4.0399999999999998E-2</v>
      </c>
    </row>
    <row r="34" spans="1:9">
      <c r="A34" s="254"/>
      <c r="B34" s="180" t="s">
        <v>229</v>
      </c>
      <c r="C34" s="3"/>
      <c r="D34" s="152"/>
      <c r="E34" s="153">
        <f t="shared" ref="E34:E39" si="1">$I$3*I34</f>
        <v>7.9118200000000005</v>
      </c>
      <c r="F34" s="153"/>
      <c r="G34" s="153"/>
      <c r="H34" s="154">
        <v>1.66E-2</v>
      </c>
      <c r="I34" s="151">
        <v>2.1700000000000001E-2</v>
      </c>
    </row>
    <row r="35" spans="1:9">
      <c r="A35" s="252" t="s">
        <v>230</v>
      </c>
      <c r="B35" s="253"/>
      <c r="C35" s="156"/>
      <c r="D35" s="157"/>
      <c r="E35" s="153">
        <f t="shared" si="1"/>
        <v>23.626080000000002</v>
      </c>
      <c r="F35" s="153"/>
      <c r="G35" s="153"/>
      <c r="H35" s="158">
        <f>SUM(H32:H34)</f>
        <v>0.1018</v>
      </c>
      <c r="I35" s="151">
        <f>SUM(I32:I34)</f>
        <v>6.4799999999999996E-2</v>
      </c>
    </row>
    <row r="36" spans="1:9">
      <c r="A36" s="254" t="s">
        <v>51</v>
      </c>
      <c r="B36" s="254"/>
      <c r="C36" s="3"/>
      <c r="D36" s="152"/>
      <c r="E36" s="153">
        <f>H36*I31</f>
        <v>11.1112</v>
      </c>
      <c r="F36" s="153"/>
      <c r="G36" s="153"/>
      <c r="H36" s="154">
        <f>1.97%+0.75%</f>
        <v>2.7199999999999998E-2</v>
      </c>
    </row>
    <row r="37" spans="1:9">
      <c r="A37" s="255" t="s">
        <v>231</v>
      </c>
      <c r="B37" s="180" t="s">
        <v>228</v>
      </c>
      <c r="C37" s="3"/>
      <c r="D37" s="152"/>
      <c r="E37" s="153">
        <f>H37*I31</f>
        <v>2.1650499999999999</v>
      </c>
      <c r="F37" s="153"/>
      <c r="G37" s="153"/>
      <c r="H37" s="154">
        <v>5.3E-3</v>
      </c>
    </row>
    <row r="38" spans="1:9">
      <c r="A38" s="256"/>
      <c r="B38" s="180" t="s">
        <v>229</v>
      </c>
      <c r="C38" s="3"/>
      <c r="D38" s="152"/>
      <c r="E38" s="153">
        <f t="shared" si="1"/>
        <v>10.938000000000001</v>
      </c>
      <c r="F38" s="153"/>
      <c r="G38" s="153"/>
      <c r="H38" s="154">
        <v>3.4099999999999998E-2</v>
      </c>
      <c r="I38" s="151">
        <v>0.03</v>
      </c>
    </row>
    <row r="39" spans="1:9">
      <c r="A39" s="254" t="s">
        <v>54</v>
      </c>
      <c r="B39" s="254"/>
      <c r="C39" s="3"/>
      <c r="D39" s="152"/>
      <c r="E39" s="153">
        <f t="shared" si="1"/>
        <v>7.2920000000000007</v>
      </c>
      <c r="F39" s="153"/>
      <c r="G39" s="153"/>
      <c r="H39" s="154">
        <v>1.0999999999999999E-2</v>
      </c>
      <c r="I39" s="151">
        <v>0.02</v>
      </c>
    </row>
    <row r="42" spans="1:9">
      <c r="A42" s="148"/>
      <c r="B42" s="148"/>
      <c r="C42" s="148"/>
      <c r="D42" s="148"/>
      <c r="E42" s="148"/>
      <c r="F42" s="148"/>
      <c r="G42" s="257" t="s">
        <v>223</v>
      </c>
      <c r="H42" s="257"/>
      <c r="I42" s="149"/>
    </row>
    <row r="43" spans="1:9">
      <c r="A43" s="258" t="s">
        <v>224</v>
      </c>
      <c r="B43" s="258"/>
      <c r="C43" s="252" t="s">
        <v>225</v>
      </c>
      <c r="D43" s="259"/>
      <c r="E43" s="259"/>
      <c r="F43" s="259"/>
      <c r="G43" s="259"/>
      <c r="H43" s="253"/>
      <c r="I43" s="150" t="s">
        <v>232</v>
      </c>
    </row>
    <row r="44" spans="1:9" ht="27">
      <c r="A44" s="258"/>
      <c r="B44" s="258"/>
      <c r="C44" s="159" t="s">
        <v>234</v>
      </c>
      <c r="D44" s="159" t="s">
        <v>235</v>
      </c>
      <c r="E44" s="159" t="s">
        <v>233</v>
      </c>
      <c r="F44" s="160" t="s">
        <v>238</v>
      </c>
      <c r="G44" s="160" t="s">
        <v>237</v>
      </c>
      <c r="H44" s="160" t="s">
        <v>236</v>
      </c>
      <c r="I44" s="164">
        <f>销量!F8</f>
        <v>0</v>
      </c>
    </row>
    <row r="45" spans="1:9">
      <c r="A45" s="254" t="s">
        <v>226</v>
      </c>
      <c r="B45" s="254"/>
      <c r="C45" s="3"/>
      <c r="D45" s="152"/>
      <c r="E45" s="153">
        <f>$I$44*I45</f>
        <v>0</v>
      </c>
      <c r="F45" s="153"/>
      <c r="G45" s="153"/>
      <c r="H45" s="154">
        <v>4.48E-2</v>
      </c>
      <c r="I45" s="151">
        <v>4.3099999999999999E-2</v>
      </c>
    </row>
    <row r="46" spans="1:9">
      <c r="A46" s="254" t="s">
        <v>227</v>
      </c>
      <c r="B46" s="180" t="s">
        <v>228</v>
      </c>
      <c r="C46" s="3"/>
      <c r="D46" s="152"/>
      <c r="E46" s="153">
        <f>I44*H46</f>
        <v>0</v>
      </c>
      <c r="F46" s="153"/>
      <c r="G46" s="153"/>
      <c r="H46" s="154">
        <v>4.0399999999999998E-2</v>
      </c>
    </row>
    <row r="47" spans="1:9">
      <c r="A47" s="254"/>
      <c r="B47" s="180" t="s">
        <v>229</v>
      </c>
      <c r="C47" s="3"/>
      <c r="D47" s="152"/>
      <c r="E47" s="153">
        <f>$I$44*I47</f>
        <v>0</v>
      </c>
      <c r="F47" s="153"/>
      <c r="G47" s="153"/>
      <c r="H47" s="154">
        <v>1.66E-2</v>
      </c>
      <c r="I47" s="151">
        <v>2.1700000000000001E-2</v>
      </c>
    </row>
    <row r="48" spans="1:9">
      <c r="A48" s="252" t="s">
        <v>230</v>
      </c>
      <c r="B48" s="253"/>
      <c r="C48" s="156"/>
      <c r="D48" s="157"/>
      <c r="E48" s="153">
        <f>$I$44*I48</f>
        <v>0</v>
      </c>
      <c r="F48" s="153"/>
      <c r="G48" s="153"/>
      <c r="H48" s="158">
        <f>SUM(H45:H47)</f>
        <v>0.1018</v>
      </c>
      <c r="I48" s="151">
        <f>SUM(I45:I47)</f>
        <v>6.4799999999999996E-2</v>
      </c>
    </row>
    <row r="49" spans="1:9">
      <c r="A49" s="254" t="s">
        <v>51</v>
      </c>
      <c r="B49" s="254"/>
      <c r="C49" s="3"/>
      <c r="D49" s="152"/>
      <c r="E49" s="153">
        <f>H49*I44</f>
        <v>0</v>
      </c>
      <c r="F49" s="153"/>
      <c r="G49" s="153"/>
      <c r="H49" s="154">
        <f>1.97%+0.75%</f>
        <v>2.7199999999999998E-2</v>
      </c>
    </row>
    <row r="50" spans="1:9">
      <c r="A50" s="255" t="s">
        <v>231</v>
      </c>
      <c r="B50" s="180" t="s">
        <v>228</v>
      </c>
      <c r="C50" s="3"/>
      <c r="D50" s="152"/>
      <c r="E50" s="153">
        <f>H50*I44</f>
        <v>0</v>
      </c>
      <c r="F50" s="153"/>
      <c r="G50" s="153"/>
      <c r="H50" s="154">
        <v>5.3E-3</v>
      </c>
    </row>
    <row r="51" spans="1:9">
      <c r="A51" s="256"/>
      <c r="B51" s="180" t="s">
        <v>229</v>
      </c>
      <c r="C51" s="3"/>
      <c r="D51" s="152"/>
      <c r="E51" s="153">
        <f>$I$44*I51</f>
        <v>0</v>
      </c>
      <c r="F51" s="153"/>
      <c r="G51" s="153"/>
      <c r="H51" s="154">
        <v>3.4099999999999998E-2</v>
      </c>
      <c r="I51" s="151">
        <v>0.03</v>
      </c>
    </row>
    <row r="52" spans="1:9">
      <c r="A52" s="254" t="s">
        <v>54</v>
      </c>
      <c r="B52" s="254"/>
      <c r="C52" s="3"/>
      <c r="D52" s="152"/>
      <c r="E52" s="153">
        <f>$I$44*I52</f>
        <v>0</v>
      </c>
      <c r="F52" s="153"/>
      <c r="G52" s="153"/>
      <c r="H52" s="154">
        <v>1.0999999999999999E-2</v>
      </c>
      <c r="I52" s="151">
        <v>0.02</v>
      </c>
    </row>
    <row r="55" spans="1:9">
      <c r="A55" s="148"/>
      <c r="B55" s="148"/>
      <c r="C55" s="148"/>
      <c r="D55" s="148"/>
      <c r="E55" s="148"/>
      <c r="F55" s="148"/>
      <c r="G55" s="257" t="s">
        <v>223</v>
      </c>
      <c r="H55" s="257"/>
      <c r="I55" s="149"/>
    </row>
    <row r="56" spans="1:9">
      <c r="A56" s="258" t="s">
        <v>224</v>
      </c>
      <c r="B56" s="258"/>
      <c r="C56" s="252" t="s">
        <v>225</v>
      </c>
      <c r="D56" s="259"/>
      <c r="E56" s="259"/>
      <c r="F56" s="259"/>
      <c r="G56" s="259"/>
      <c r="H56" s="253"/>
      <c r="I56" s="150" t="s">
        <v>232</v>
      </c>
    </row>
    <row r="57" spans="1:9" ht="27">
      <c r="A57" s="258"/>
      <c r="B57" s="258"/>
      <c r="C57" s="159" t="s">
        <v>234</v>
      </c>
      <c r="D57" s="159" t="s">
        <v>235</v>
      </c>
      <c r="E57" s="159" t="s">
        <v>233</v>
      </c>
      <c r="F57" s="160" t="s">
        <v>238</v>
      </c>
      <c r="G57" s="160" t="s">
        <v>237</v>
      </c>
      <c r="H57" s="160" t="s">
        <v>236</v>
      </c>
      <c r="I57" s="164">
        <f>销量!G8</f>
        <v>0</v>
      </c>
    </row>
    <row r="58" spans="1:9">
      <c r="A58" s="254" t="s">
        <v>226</v>
      </c>
      <c r="B58" s="254"/>
      <c r="C58" s="3"/>
      <c r="D58" s="152"/>
      <c r="E58" s="153">
        <f>$I$57*I58</f>
        <v>0</v>
      </c>
      <c r="F58" s="153"/>
      <c r="G58" s="153"/>
      <c r="H58" s="154">
        <v>4.48E-2</v>
      </c>
      <c r="I58" s="151">
        <v>4.3099999999999999E-2</v>
      </c>
    </row>
    <row r="59" spans="1:9">
      <c r="A59" s="254" t="s">
        <v>227</v>
      </c>
      <c r="B59" s="180" t="s">
        <v>228</v>
      </c>
      <c r="C59" s="3"/>
      <c r="D59" s="152"/>
      <c r="E59" s="153">
        <f>H59*I57</f>
        <v>0</v>
      </c>
      <c r="F59" s="153"/>
      <c r="G59" s="153"/>
      <c r="H59" s="154">
        <v>4.0399999999999998E-2</v>
      </c>
    </row>
    <row r="60" spans="1:9">
      <c r="A60" s="254"/>
      <c r="B60" s="180" t="s">
        <v>229</v>
      </c>
      <c r="C60" s="3"/>
      <c r="D60" s="152"/>
      <c r="E60" s="153">
        <f>$I$57*I60</f>
        <v>0</v>
      </c>
      <c r="F60" s="153"/>
      <c r="G60" s="153"/>
      <c r="H60" s="154">
        <v>1.66E-2</v>
      </c>
      <c r="I60" s="151">
        <v>2.1700000000000001E-2</v>
      </c>
    </row>
    <row r="61" spans="1:9">
      <c r="A61" s="252" t="s">
        <v>230</v>
      </c>
      <c r="B61" s="253"/>
      <c r="C61" s="156"/>
      <c r="D61" s="157"/>
      <c r="E61" s="153">
        <f>$I$57*I61</f>
        <v>0</v>
      </c>
      <c r="F61" s="153"/>
      <c r="G61" s="153"/>
      <c r="H61" s="158">
        <f>SUM(H58:H60)</f>
        <v>0.1018</v>
      </c>
      <c r="I61" s="151">
        <f>SUM(I58:I60)</f>
        <v>6.4799999999999996E-2</v>
      </c>
    </row>
    <row r="62" spans="1:9">
      <c r="A62" s="254" t="s">
        <v>51</v>
      </c>
      <c r="B62" s="254"/>
      <c r="C62" s="3"/>
      <c r="D62" s="152"/>
      <c r="E62" s="153">
        <f>H62*I57</f>
        <v>0</v>
      </c>
      <c r="F62" s="153"/>
      <c r="G62" s="153"/>
      <c r="H62" s="154">
        <f>1.97%+0.75%</f>
        <v>2.7199999999999998E-2</v>
      </c>
    </row>
    <row r="63" spans="1:9">
      <c r="A63" s="255" t="s">
        <v>231</v>
      </c>
      <c r="B63" s="180" t="s">
        <v>228</v>
      </c>
      <c r="C63" s="3"/>
      <c r="D63" s="152"/>
      <c r="E63" s="153">
        <f>H63*I57</f>
        <v>0</v>
      </c>
      <c r="F63" s="153"/>
      <c r="G63" s="153"/>
      <c r="H63" s="154">
        <v>5.3E-3</v>
      </c>
    </row>
    <row r="64" spans="1:9">
      <c r="A64" s="256"/>
      <c r="B64" s="180" t="s">
        <v>229</v>
      </c>
      <c r="C64" s="3"/>
      <c r="D64" s="152"/>
      <c r="E64" s="153">
        <f>$I$57*I64</f>
        <v>0</v>
      </c>
      <c r="F64" s="153"/>
      <c r="G64" s="153"/>
      <c r="H64" s="154">
        <v>3.4099999999999998E-2</v>
      </c>
      <c r="I64" s="151">
        <v>0.03</v>
      </c>
    </row>
    <row r="65" spans="1:9">
      <c r="A65" s="254" t="s">
        <v>54</v>
      </c>
      <c r="B65" s="254"/>
      <c r="C65" s="3"/>
      <c r="D65" s="152"/>
      <c r="E65" s="153">
        <f>$I$57*I65</f>
        <v>0</v>
      </c>
      <c r="F65" s="153"/>
      <c r="G65" s="153"/>
      <c r="H65" s="154">
        <v>1.0999999999999999E-2</v>
      </c>
      <c r="I65" s="151">
        <v>0.02</v>
      </c>
    </row>
    <row r="68" spans="1:9">
      <c r="A68" s="148"/>
      <c r="B68" s="148"/>
      <c r="C68" s="148"/>
      <c r="D68" s="148"/>
      <c r="E68" s="148"/>
      <c r="F68" s="148"/>
      <c r="G68" s="257" t="s">
        <v>223</v>
      </c>
      <c r="H68" s="257"/>
      <c r="I68" s="149"/>
    </row>
    <row r="69" spans="1:9">
      <c r="A69" s="258" t="s">
        <v>224</v>
      </c>
      <c r="B69" s="258"/>
      <c r="C69" s="252" t="s">
        <v>225</v>
      </c>
      <c r="D69" s="259"/>
      <c r="E69" s="259"/>
      <c r="F69" s="259"/>
      <c r="G69" s="259"/>
      <c r="H69" s="253"/>
      <c r="I69" s="150" t="s">
        <v>232</v>
      </c>
    </row>
    <row r="70" spans="1:9" ht="27">
      <c r="A70" s="258"/>
      <c r="B70" s="258"/>
      <c r="C70" s="159" t="s">
        <v>234</v>
      </c>
      <c r="D70" s="159" t="s">
        <v>235</v>
      </c>
      <c r="E70" s="159" t="s">
        <v>233</v>
      </c>
      <c r="F70" s="160" t="s">
        <v>238</v>
      </c>
      <c r="G70" s="160" t="s">
        <v>237</v>
      </c>
      <c r="H70" s="160" t="s">
        <v>236</v>
      </c>
      <c r="I70" s="164">
        <f>销量!H8</f>
        <v>0</v>
      </c>
    </row>
    <row r="71" spans="1:9">
      <c r="A71" s="254" t="s">
        <v>226</v>
      </c>
      <c r="B71" s="254"/>
      <c r="C71" s="3"/>
      <c r="D71" s="152"/>
      <c r="E71" s="153">
        <f>$I$70*I71</f>
        <v>0</v>
      </c>
      <c r="F71" s="153"/>
      <c r="G71" s="153"/>
      <c r="H71" s="154">
        <v>4.48E-2</v>
      </c>
      <c r="I71" s="151">
        <v>4.3099999999999999E-2</v>
      </c>
    </row>
    <row r="72" spans="1:9">
      <c r="A72" s="254" t="s">
        <v>227</v>
      </c>
      <c r="B72" s="180" t="s">
        <v>228</v>
      </c>
      <c r="C72" s="3"/>
      <c r="D72" s="152"/>
      <c r="E72" s="153">
        <f>H72*I70</f>
        <v>0</v>
      </c>
      <c r="F72" s="153"/>
      <c r="G72" s="153"/>
      <c r="H72" s="154">
        <v>4.0399999999999998E-2</v>
      </c>
    </row>
    <row r="73" spans="1:9">
      <c r="A73" s="254"/>
      <c r="B73" s="180" t="s">
        <v>229</v>
      </c>
      <c r="C73" s="3"/>
      <c r="D73" s="152"/>
      <c r="E73" s="153">
        <f>$I$70*I73</f>
        <v>0</v>
      </c>
      <c r="F73" s="153"/>
      <c r="G73" s="153"/>
      <c r="H73" s="154">
        <v>1.66E-2</v>
      </c>
      <c r="I73" s="151">
        <v>2.1700000000000001E-2</v>
      </c>
    </row>
    <row r="74" spans="1:9">
      <c r="A74" s="252" t="s">
        <v>230</v>
      </c>
      <c r="B74" s="253"/>
      <c r="C74" s="156"/>
      <c r="D74" s="157"/>
      <c r="E74" s="153">
        <f>$I$70*I74</f>
        <v>0</v>
      </c>
      <c r="F74" s="153"/>
      <c r="G74" s="153"/>
      <c r="H74" s="158">
        <f>SUM(H71:H73)</f>
        <v>0.1018</v>
      </c>
      <c r="I74" s="151">
        <f>SUM(I71:I73)</f>
        <v>6.4799999999999996E-2</v>
      </c>
    </row>
    <row r="75" spans="1:9">
      <c r="A75" s="254" t="s">
        <v>51</v>
      </c>
      <c r="B75" s="254"/>
      <c r="C75" s="3"/>
      <c r="D75" s="152"/>
      <c r="E75" s="153">
        <f>H75*I70</f>
        <v>0</v>
      </c>
      <c r="F75" s="153"/>
      <c r="G75" s="153"/>
      <c r="H75" s="154">
        <f>1.97%+0.75%</f>
        <v>2.7199999999999998E-2</v>
      </c>
    </row>
    <row r="76" spans="1:9">
      <c r="A76" s="255" t="s">
        <v>231</v>
      </c>
      <c r="B76" s="180" t="s">
        <v>228</v>
      </c>
      <c r="C76" s="3"/>
      <c r="D76" s="152"/>
      <c r="E76" s="153">
        <f>H76*I70</f>
        <v>0</v>
      </c>
      <c r="F76" s="153"/>
      <c r="G76" s="153"/>
      <c r="H76" s="154">
        <v>5.3E-3</v>
      </c>
    </row>
    <row r="77" spans="1:9">
      <c r="A77" s="256"/>
      <c r="B77" s="180" t="s">
        <v>229</v>
      </c>
      <c r="C77" s="3"/>
      <c r="D77" s="152"/>
      <c r="E77" s="153">
        <f>$I$70*I77</f>
        <v>0</v>
      </c>
      <c r="F77" s="153"/>
      <c r="G77" s="153"/>
      <c r="H77" s="154">
        <v>3.4099999999999998E-2</v>
      </c>
      <c r="I77" s="151">
        <v>0.03</v>
      </c>
    </row>
    <row r="78" spans="1:9">
      <c r="A78" s="254" t="s">
        <v>54</v>
      </c>
      <c r="B78" s="254"/>
      <c r="C78" s="3"/>
      <c r="D78" s="152"/>
      <c r="E78" s="153">
        <f>$I$70*I78</f>
        <v>0</v>
      </c>
      <c r="F78" s="153"/>
      <c r="G78" s="153"/>
      <c r="H78" s="154">
        <v>1.0999999999999999E-2</v>
      </c>
      <c r="I78" s="151">
        <v>0.02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L11" sqref="L11"/>
    </sheetView>
  </sheetViews>
  <sheetFormatPr defaultColWidth="9" defaultRowHeight="16.5"/>
  <cols>
    <col min="1" max="1" width="5.125" style="112" customWidth="1"/>
    <col min="2" max="2" width="35.75" style="112" customWidth="1"/>
    <col min="3" max="3" width="14.5" style="113" customWidth="1"/>
    <col min="4" max="7" width="13" style="113" customWidth="1"/>
    <col min="8" max="8" width="16.5" style="113" customWidth="1"/>
    <col min="9" max="34" width="9" style="112"/>
    <col min="35" max="35" width="4.375" style="112" customWidth="1"/>
    <col min="36" max="36" width="13.875" style="112" customWidth="1"/>
    <col min="37" max="16384" width="9" style="112"/>
  </cols>
  <sheetData>
    <row r="1" spans="1:37" ht="27" customHeight="1">
      <c r="A1" s="197" t="s">
        <v>272</v>
      </c>
      <c r="B1" s="197"/>
      <c r="C1" s="197"/>
      <c r="D1" s="197"/>
      <c r="E1" s="197"/>
      <c r="F1" s="197"/>
      <c r="G1" s="197"/>
      <c r="H1" s="197"/>
    </row>
    <row r="2" spans="1:37" s="186" customFormat="1" ht="17.25" customHeight="1">
      <c r="A2" s="184"/>
      <c r="B2" s="185"/>
      <c r="C2" s="185"/>
      <c r="D2" s="190" t="s">
        <v>273</v>
      </c>
      <c r="E2" s="185"/>
      <c r="F2" s="185"/>
      <c r="G2" s="185" t="s">
        <v>260</v>
      </c>
      <c r="H2" s="185"/>
    </row>
    <row r="3" spans="1:37" ht="15.75" customHeight="1">
      <c r="A3" s="198" t="s">
        <v>19</v>
      </c>
      <c r="B3" s="114" t="s">
        <v>1</v>
      </c>
      <c r="C3" s="114" t="s">
        <v>254</v>
      </c>
      <c r="D3" s="114" t="s">
        <v>244</v>
      </c>
      <c r="E3" s="114" t="s">
        <v>245</v>
      </c>
      <c r="F3" s="114" t="s">
        <v>246</v>
      </c>
      <c r="G3" s="114" t="s">
        <v>255</v>
      </c>
      <c r="H3" s="53" t="s">
        <v>21</v>
      </c>
      <c r="AK3" s="112" t="s">
        <v>22</v>
      </c>
    </row>
    <row r="4" spans="1:37" s="50" customFormat="1" ht="15.75" customHeight="1">
      <c r="A4" s="199"/>
      <c r="B4" s="55" t="s">
        <v>3</v>
      </c>
      <c r="C4" s="115">
        <f>'2023年'!I6</f>
        <v>60000</v>
      </c>
      <c r="D4" s="115">
        <f>'2024年'!I6</f>
        <v>60000</v>
      </c>
      <c r="E4" s="115">
        <f>'2025年'!I6</f>
        <v>60000</v>
      </c>
      <c r="F4" s="115">
        <f>'2026年'!I6</f>
        <v>0</v>
      </c>
      <c r="G4" s="115">
        <f>'2027年'!I6</f>
        <v>0</v>
      </c>
      <c r="H4" s="115">
        <f>SUM(C4:G4)</f>
        <v>180000</v>
      </c>
      <c r="AI4" s="54" t="s">
        <v>19</v>
      </c>
      <c r="AJ4" s="55" t="s">
        <v>3</v>
      </c>
      <c r="AK4" s="50" t="s">
        <v>23</v>
      </c>
    </row>
    <row r="5" spans="1:37" s="50" customFormat="1" ht="15.75" customHeight="1">
      <c r="A5" s="64">
        <v>1</v>
      </c>
      <c r="B5" s="55" t="s">
        <v>24</v>
      </c>
      <c r="C5" s="115">
        <f>'2023年'!I7</f>
        <v>22879500</v>
      </c>
      <c r="D5" s="115">
        <f>'2024年'!I7</f>
        <v>22879500</v>
      </c>
      <c r="E5" s="115">
        <f>'2025年'!I7</f>
        <v>22879500</v>
      </c>
      <c r="F5" s="115">
        <f>'2026年'!I7</f>
        <v>0</v>
      </c>
      <c r="G5" s="115">
        <f>'2027年'!I7</f>
        <v>0</v>
      </c>
      <c r="H5" s="115">
        <f t="shared" ref="H5:H11" si="0">SUM(C5:G5)</f>
        <v>68638500</v>
      </c>
      <c r="AI5" s="54" t="s">
        <v>25</v>
      </c>
      <c r="AJ5" s="55" t="s">
        <v>24</v>
      </c>
      <c r="AK5" s="50" t="s">
        <v>23</v>
      </c>
    </row>
    <row r="6" spans="1:37" s="50" customFormat="1" ht="15.75" customHeight="1">
      <c r="A6" s="64">
        <v>2</v>
      </c>
      <c r="B6" s="52" t="s">
        <v>26</v>
      </c>
      <c r="C6" s="115">
        <f>'2023年'!I8</f>
        <v>0</v>
      </c>
      <c r="D6" s="115">
        <f>'2024年'!I8</f>
        <v>686385.0000000007</v>
      </c>
      <c r="E6" s="115">
        <f>'2025年'!I8</f>
        <v>1352178.4499999983</v>
      </c>
      <c r="F6" s="115">
        <f>'2026年'!I8</f>
        <v>0</v>
      </c>
      <c r="G6" s="115">
        <f>'2027年'!I8</f>
        <v>0</v>
      </c>
      <c r="H6" s="115">
        <f t="shared" si="0"/>
        <v>2038563.449999999</v>
      </c>
      <c r="AI6" s="54" t="s">
        <v>27</v>
      </c>
      <c r="AJ6" s="52" t="s">
        <v>28</v>
      </c>
      <c r="AK6" s="50" t="s">
        <v>23</v>
      </c>
    </row>
    <row r="7" spans="1:37" s="50" customFormat="1" ht="15.75" customHeight="1">
      <c r="A7" s="64">
        <v>3</v>
      </c>
      <c r="B7" s="55" t="s">
        <v>29</v>
      </c>
      <c r="C7" s="116">
        <f>+C5-C6</f>
        <v>22879500</v>
      </c>
      <c r="D7" s="116">
        <f>'2024年'!I9</f>
        <v>22193115</v>
      </c>
      <c r="E7" s="116">
        <f>'2025年'!I9</f>
        <v>21527321.550000001</v>
      </c>
      <c r="F7" s="116">
        <f>'2026年'!I9</f>
        <v>0</v>
      </c>
      <c r="G7" s="116">
        <f>'2027年'!I9</f>
        <v>0</v>
      </c>
      <c r="H7" s="115">
        <f t="shared" si="0"/>
        <v>66599936.549999997</v>
      </c>
      <c r="AI7" s="54" t="s">
        <v>30</v>
      </c>
      <c r="AJ7" s="55" t="s">
        <v>29</v>
      </c>
      <c r="AK7" s="50" t="s">
        <v>31</v>
      </c>
    </row>
    <row r="8" spans="1:37" s="50" customFormat="1" ht="15.75" customHeight="1">
      <c r="A8" s="64">
        <v>4</v>
      </c>
      <c r="B8" s="54" t="s">
        <v>32</v>
      </c>
      <c r="C8" s="115">
        <f>'2023年'!I10</f>
        <v>24037800</v>
      </c>
      <c r="D8" s="115">
        <f>'2024年'!I10</f>
        <v>23316666</v>
      </c>
      <c r="E8" s="115">
        <f>'2025年'!I10</f>
        <v>22617166.019999996</v>
      </c>
      <c r="F8" s="115">
        <f>'2026年'!I10</f>
        <v>0</v>
      </c>
      <c r="G8" s="115">
        <f>'2027年'!I10</f>
        <v>0</v>
      </c>
      <c r="H8" s="115">
        <f t="shared" si="0"/>
        <v>69971632.019999996</v>
      </c>
      <c r="AI8" s="54" t="s">
        <v>33</v>
      </c>
      <c r="AJ8" s="54" t="s">
        <v>32</v>
      </c>
      <c r="AK8" s="50" t="s">
        <v>34</v>
      </c>
    </row>
    <row r="9" spans="1:37" s="50" customFormat="1" ht="15.75" customHeight="1">
      <c r="A9" s="64">
        <v>5</v>
      </c>
      <c r="B9" s="54" t="s">
        <v>35</v>
      </c>
      <c r="C9" s="115">
        <f>'2023年'!I11</f>
        <v>957725.10000000009</v>
      </c>
      <c r="D9" s="115">
        <f>'2024年'!I11</f>
        <v>1908468</v>
      </c>
      <c r="E9" s="115">
        <f>'2025年'!I11</f>
        <v>1908468</v>
      </c>
      <c r="F9" s="115">
        <f>'2026年'!I11</f>
        <v>0</v>
      </c>
      <c r="G9" s="115">
        <f>'2027年'!I11</f>
        <v>0</v>
      </c>
      <c r="H9" s="115">
        <f t="shared" si="0"/>
        <v>4774661.0999999996</v>
      </c>
      <c r="AI9" s="54" t="s">
        <v>36</v>
      </c>
      <c r="AJ9" s="54" t="s">
        <v>35</v>
      </c>
    </row>
    <row r="10" spans="1:37" s="50" customFormat="1" ht="15.75" customHeight="1">
      <c r="A10" s="64">
        <v>6</v>
      </c>
      <c r="B10" s="54" t="s">
        <v>37</v>
      </c>
      <c r="C10" s="115">
        <f>'2023年'!I12</f>
        <v>482195.7</v>
      </c>
      <c r="D10" s="115">
        <f>'2024年'!I12</f>
        <v>960876</v>
      </c>
      <c r="E10" s="115">
        <f>'2025年'!I12</f>
        <v>960876</v>
      </c>
      <c r="F10" s="115">
        <f>'2026年'!I12</f>
        <v>0</v>
      </c>
      <c r="G10" s="115">
        <f>'2027年'!I12</f>
        <v>0</v>
      </c>
      <c r="H10" s="115">
        <f t="shared" si="0"/>
        <v>2403947.7000000002</v>
      </c>
      <c r="AI10" s="54" t="s">
        <v>38</v>
      </c>
      <c r="AJ10" s="54" t="s">
        <v>37</v>
      </c>
    </row>
    <row r="11" spans="1:37" s="50" customFormat="1" ht="15.75" customHeight="1">
      <c r="A11" s="64">
        <v>7</v>
      </c>
      <c r="B11" s="117" t="s">
        <v>39</v>
      </c>
      <c r="C11" s="115">
        <f>'2023年'!I13</f>
        <v>666630</v>
      </c>
      <c r="D11" s="115">
        <f>'2024年'!I13</f>
        <v>1771199.9999999998</v>
      </c>
      <c r="E11" s="115">
        <f>'2025年'!I13</f>
        <v>1771199.9999999998</v>
      </c>
      <c r="F11" s="115">
        <f>'2026年'!I13</f>
        <v>0</v>
      </c>
      <c r="G11" s="115">
        <f>'2027年'!I13</f>
        <v>0</v>
      </c>
      <c r="H11" s="115">
        <f t="shared" si="0"/>
        <v>4209030</v>
      </c>
      <c r="AI11" s="54" t="s">
        <v>40</v>
      </c>
      <c r="AJ11" s="54" t="s">
        <v>39</v>
      </c>
      <c r="AK11" s="50" t="s">
        <v>23</v>
      </c>
    </row>
    <row r="12" spans="1:37" s="50" customFormat="1" ht="15.75" customHeight="1">
      <c r="A12" s="64">
        <v>8</v>
      </c>
      <c r="B12" s="118" t="s">
        <v>41</v>
      </c>
      <c r="C12" s="119">
        <f>'2023年'!I14</f>
        <v>2106550.8000000003</v>
      </c>
      <c r="D12" s="119">
        <f>'2024年'!I14</f>
        <v>4640544</v>
      </c>
      <c r="E12" s="119">
        <f>'2025年'!I14</f>
        <v>4640544</v>
      </c>
      <c r="F12" s="119">
        <f>'2026年'!I14</f>
        <v>0</v>
      </c>
      <c r="G12" s="119">
        <f>'2027年'!I14</f>
        <v>0</v>
      </c>
      <c r="H12" s="119">
        <f>SUM(C12:G12)</f>
        <v>11387638.800000001</v>
      </c>
      <c r="AI12" s="54" t="s">
        <v>42</v>
      </c>
      <c r="AJ12" s="57" t="s">
        <v>41</v>
      </c>
    </row>
    <row r="13" spans="1:37" s="50" customFormat="1" ht="15.75" customHeight="1">
      <c r="A13" s="64">
        <v>9</v>
      </c>
      <c r="B13" s="120" t="s">
        <v>43</v>
      </c>
      <c r="C13" s="115">
        <f>'2023年'!I15</f>
        <v>-3264850.8000000003</v>
      </c>
      <c r="D13" s="115">
        <f>'2024年'!I15</f>
        <v>-5764094.9999999981</v>
      </c>
      <c r="E13" s="115">
        <f>'2025年'!I15</f>
        <v>-5730388.469999996</v>
      </c>
      <c r="F13" s="115">
        <f>'2026年'!I15</f>
        <v>0</v>
      </c>
      <c r="G13" s="115">
        <f>'2027年'!I15</f>
        <v>0</v>
      </c>
      <c r="H13" s="115">
        <f>H7-H8-H12</f>
        <v>-14759334.27</v>
      </c>
      <c r="J13" s="112"/>
      <c r="K13" s="112"/>
      <c r="L13" s="112"/>
      <c r="M13" s="112"/>
      <c r="N13" s="112"/>
      <c r="O13" s="112"/>
      <c r="AI13" s="54" t="s">
        <v>44</v>
      </c>
      <c r="AJ13" s="57" t="s">
        <v>43</v>
      </c>
    </row>
    <row r="14" spans="1:37" ht="15.75" customHeight="1">
      <c r="A14" s="64">
        <v>10</v>
      </c>
      <c r="B14" s="121" t="s">
        <v>45</v>
      </c>
      <c r="C14" s="122">
        <f>'2023年'!$I$16</f>
        <v>-0.1426976463646496</v>
      </c>
      <c r="D14" s="122">
        <f>'2024年'!I16</f>
        <v>-0.25972446860208664</v>
      </c>
      <c r="E14" s="122">
        <f>'2025年'!I16</f>
        <v>-0.266191428259685</v>
      </c>
      <c r="F14" s="122">
        <f>'2026年'!I16</f>
        <v>0</v>
      </c>
      <c r="G14" s="122">
        <f>'2027年'!I16</f>
        <v>0</v>
      </c>
      <c r="H14" s="122">
        <f>+H13/H7</f>
        <v>-0.22161183680587154</v>
      </c>
      <c r="AI14" s="121" t="s">
        <v>46</v>
      </c>
      <c r="AJ14" s="121" t="s">
        <v>45</v>
      </c>
    </row>
    <row r="15" spans="1:37" ht="15.75" customHeight="1">
      <c r="A15" s="64">
        <v>11</v>
      </c>
      <c r="B15" s="121" t="s">
        <v>47</v>
      </c>
      <c r="C15" s="115">
        <f>'2023年'!$I$17</f>
        <v>1511133.3333333333</v>
      </c>
      <c r="D15" s="115">
        <f>'2024年'!I17</f>
        <v>1511133.3333333333</v>
      </c>
      <c r="E15" s="115">
        <f>'2025年'!I17</f>
        <v>1511133.3333333333</v>
      </c>
      <c r="F15" s="115">
        <f>'2026年'!I17</f>
        <v>0</v>
      </c>
      <c r="G15" s="115">
        <f>'2027年'!I17</f>
        <v>0</v>
      </c>
      <c r="H15" s="115">
        <f t="shared" ref="H15" si="1">SUM(C15:G15)</f>
        <v>4533400</v>
      </c>
      <c r="AI15" s="121" t="s">
        <v>48</v>
      </c>
      <c r="AJ15" s="121" t="s">
        <v>47</v>
      </c>
    </row>
    <row r="16" spans="1:37" ht="15.75" hidden="1" customHeight="1">
      <c r="A16" s="161"/>
      <c r="B16" s="121"/>
      <c r="C16" s="115"/>
      <c r="D16" s="115"/>
      <c r="E16" s="115"/>
      <c r="F16" s="115"/>
      <c r="G16" s="115"/>
      <c r="H16" s="115"/>
      <c r="AI16" s="121"/>
      <c r="AJ16" s="121"/>
    </row>
    <row r="17" spans="1:37" ht="15.75" customHeight="1">
      <c r="A17" s="64">
        <v>12</v>
      </c>
      <c r="B17" s="121" t="s">
        <v>49</v>
      </c>
      <c r="C17" s="123">
        <f>'2023年'!I19</f>
        <v>0</v>
      </c>
      <c r="D17" s="123">
        <f>'2024年'!I19</f>
        <v>0</v>
      </c>
      <c r="E17" s="123">
        <f>'2025年'!I19</f>
        <v>0</v>
      </c>
      <c r="F17" s="123">
        <f>'2026年'!I19</f>
        <v>0</v>
      </c>
      <c r="G17" s="123">
        <f>'2027年'!I19</f>
        <v>0</v>
      </c>
      <c r="H17" s="115">
        <f t="shared" ref="H17:H21" si="2">SUM(C17:E17)</f>
        <v>0</v>
      </c>
      <c r="P17" s="71"/>
      <c r="AI17" s="121" t="s">
        <v>50</v>
      </c>
      <c r="AJ17" s="121" t="s">
        <v>49</v>
      </c>
      <c r="AK17" s="112" t="s">
        <v>23</v>
      </c>
    </row>
    <row r="18" spans="1:37" ht="15.75" customHeight="1">
      <c r="A18" s="64">
        <v>13</v>
      </c>
      <c r="B18" s="121" t="s">
        <v>51</v>
      </c>
      <c r="C18" s="123">
        <f>'2023年'!I20</f>
        <v>777903.00000000012</v>
      </c>
      <c r="D18" s="123">
        <f>'2024年'!I20</f>
        <v>754565.91000000015</v>
      </c>
      <c r="E18" s="123">
        <f>'2025年'!I20</f>
        <v>731928.93270000012</v>
      </c>
      <c r="F18" s="123">
        <f>'2026年'!I20</f>
        <v>0</v>
      </c>
      <c r="G18" s="123">
        <f>'2027年'!I20</f>
        <v>0</v>
      </c>
      <c r="H18" s="115">
        <f t="shared" ref="H18:H20" si="3">SUM(C18:G18)</f>
        <v>2264397.8427000004</v>
      </c>
      <c r="AI18" s="121" t="s">
        <v>52</v>
      </c>
      <c r="AJ18" s="121" t="s">
        <v>51</v>
      </c>
    </row>
    <row r="19" spans="1:37" s="49" customFormat="1" ht="15.75" customHeight="1">
      <c r="A19" s="64">
        <v>14</v>
      </c>
      <c r="B19" s="62" t="s">
        <v>53</v>
      </c>
      <c r="C19" s="124">
        <f>'2023年'!I21</f>
        <v>935666.66666666663</v>
      </c>
      <c r="D19" s="124">
        <f>'2024年'!I21</f>
        <v>935666.66666666663</v>
      </c>
      <c r="E19" s="124">
        <f>'2025年'!I21</f>
        <v>935666.66666666663</v>
      </c>
      <c r="F19" s="124">
        <f>'2026年'!I21</f>
        <v>0</v>
      </c>
      <c r="G19" s="124">
        <f>'2027年'!I21</f>
        <v>0</v>
      </c>
      <c r="H19" s="115">
        <f t="shared" si="3"/>
        <v>2807000</v>
      </c>
      <c r="AI19" s="62"/>
      <c r="AJ19" s="62"/>
    </row>
    <row r="20" spans="1:37" s="50" customFormat="1" ht="15.75" customHeight="1">
      <c r="A20" s="64">
        <v>15</v>
      </c>
      <c r="B20" s="54" t="s">
        <v>54</v>
      </c>
      <c r="C20" s="123">
        <f>'2023年'!I22</f>
        <v>444420.00000000006</v>
      </c>
      <c r="D20" s="123">
        <f>'2024年'!I22</f>
        <v>1328400</v>
      </c>
      <c r="E20" s="123">
        <f>'2025年'!I22</f>
        <v>1328400</v>
      </c>
      <c r="F20" s="123">
        <f>'2026年'!I22</f>
        <v>0</v>
      </c>
      <c r="G20" s="123">
        <f>'2027年'!I22</f>
        <v>0</v>
      </c>
      <c r="H20" s="115">
        <f t="shared" si="3"/>
        <v>3101220</v>
      </c>
      <c r="AI20" s="54" t="s">
        <v>55</v>
      </c>
      <c r="AJ20" s="54" t="s">
        <v>54</v>
      </c>
    </row>
    <row r="21" spans="1:37" s="110" customFormat="1" ht="15.75" customHeight="1">
      <c r="A21" s="64">
        <v>16</v>
      </c>
      <c r="B21" s="125" t="s">
        <v>56</v>
      </c>
      <c r="C21" s="119">
        <f t="shared" ref="C21" si="4">+C20+C19+C18+C17+C15</f>
        <v>3669123</v>
      </c>
      <c r="D21" s="119">
        <f>'2024年'!I23</f>
        <v>4529765.91</v>
      </c>
      <c r="E21" s="119">
        <f>'2025年'!I23</f>
        <v>4507128.9326999998</v>
      </c>
      <c r="F21" s="119">
        <f>'2026年'!I23</f>
        <v>0</v>
      </c>
      <c r="G21" s="119">
        <f>'2027年'!I23</f>
        <v>0</v>
      </c>
      <c r="H21" s="119">
        <f t="shared" si="2"/>
        <v>12706017.842700001</v>
      </c>
      <c r="AI21" s="137" t="s">
        <v>57</v>
      </c>
      <c r="AJ21" s="138" t="s">
        <v>56</v>
      </c>
    </row>
    <row r="22" spans="1:37" ht="15.75" customHeight="1">
      <c r="A22" s="64">
        <v>17</v>
      </c>
      <c r="B22" s="121" t="s">
        <v>58</v>
      </c>
      <c r="C22" s="126">
        <f>+C13-C21</f>
        <v>-6933973.8000000007</v>
      </c>
      <c r="D22" s="126">
        <f>'2024年'!I24</f>
        <v>-10293860.909999998</v>
      </c>
      <c r="E22" s="126">
        <f>'2025年'!I24</f>
        <v>-10237517.402699996</v>
      </c>
      <c r="F22" s="126">
        <f>'2026年'!I24</f>
        <v>0</v>
      </c>
      <c r="G22" s="126">
        <f>'2027年'!I24</f>
        <v>0</v>
      </c>
      <c r="H22" s="126">
        <f>+H13-H21</f>
        <v>-27465352.1127</v>
      </c>
      <c r="AI22" s="121" t="s">
        <v>59</v>
      </c>
      <c r="AJ22" s="121" t="s">
        <v>58</v>
      </c>
    </row>
    <row r="23" spans="1:37" ht="15.75" customHeight="1">
      <c r="A23" s="64">
        <v>18</v>
      </c>
      <c r="B23" s="121" t="s">
        <v>60</v>
      </c>
      <c r="C23" s="126">
        <f>IF(C22&lt;0,0,C22*0.25)</f>
        <v>0</v>
      </c>
      <c r="D23" s="126">
        <f>'2024年'!I25</f>
        <v>0</v>
      </c>
      <c r="E23" s="126">
        <f>'2025年'!I25</f>
        <v>0</v>
      </c>
      <c r="F23" s="126">
        <f>'2026年'!I25</f>
        <v>0</v>
      </c>
      <c r="G23" s="126">
        <f>'2027年'!I25</f>
        <v>0</v>
      </c>
      <c r="H23" s="126">
        <f>IF(H22&lt;0,0,H22*0.25)</f>
        <v>0</v>
      </c>
      <c r="AI23" s="121" t="s">
        <v>61</v>
      </c>
      <c r="AJ23" s="121" t="s">
        <v>60</v>
      </c>
    </row>
    <row r="24" spans="1:37" ht="15.75" customHeight="1">
      <c r="A24" s="64">
        <v>19</v>
      </c>
      <c r="B24" s="121" t="s">
        <v>62</v>
      </c>
      <c r="C24" s="126">
        <f>C22-C23</f>
        <v>-6933973.8000000007</v>
      </c>
      <c r="D24" s="126">
        <f>'2024年'!I26</f>
        <v>-10293860.909999996</v>
      </c>
      <c r="E24" s="126">
        <f>'2025年'!I26</f>
        <v>-4740049.5227999985</v>
      </c>
      <c r="F24" s="126" t="e">
        <f>'2026年'!I26</f>
        <v>#DIV/0!</v>
      </c>
      <c r="G24" s="126" t="e">
        <f>'2027年'!I26</f>
        <v>#DIV/0!</v>
      </c>
      <c r="H24" s="126">
        <f>H22-H23</f>
        <v>-27465352.1127</v>
      </c>
      <c r="AI24" s="121" t="s">
        <v>63</v>
      </c>
      <c r="AJ24" s="121" t="s">
        <v>62</v>
      </c>
    </row>
    <row r="25" spans="1:37" ht="15.75" customHeight="1">
      <c r="A25" s="64">
        <v>20</v>
      </c>
      <c r="B25" s="121" t="s">
        <v>64</v>
      </c>
      <c r="C25" s="127">
        <f>(C24/C5)*100%</f>
        <v>-0.30306491837671279</v>
      </c>
      <c r="D25" s="127">
        <f>'2024年'!I27</f>
        <v>-0.44991634039205386</v>
      </c>
      <c r="E25" s="127">
        <f>'2025年'!I27</f>
        <v>-0.20717452404117218</v>
      </c>
      <c r="F25" s="127" t="e">
        <f>'2026年'!I27</f>
        <v>#DIV/0!</v>
      </c>
      <c r="G25" s="127" t="e">
        <f>'2027年'!I27</f>
        <v>#DIV/0!</v>
      </c>
      <c r="H25" s="127">
        <f>(H24/H5)*100%</f>
        <v>-0.40014499315544483</v>
      </c>
      <c r="AI25" s="139" t="s">
        <v>65</v>
      </c>
      <c r="AJ25" s="139" t="s">
        <v>66</v>
      </c>
    </row>
    <row r="26" spans="1:37" s="111" customFormat="1" ht="15.75" customHeight="1">
      <c r="C26" s="128"/>
      <c r="D26" s="128"/>
      <c r="E26" s="128"/>
      <c r="F26" s="128"/>
      <c r="G26" s="128"/>
      <c r="H26" s="128"/>
    </row>
    <row r="27" spans="1:37" s="111" customFormat="1" ht="15.75" customHeight="1">
      <c r="A27" s="111" t="s">
        <v>67</v>
      </c>
      <c r="C27" s="129"/>
      <c r="D27" s="129"/>
      <c r="E27" s="129"/>
      <c r="F27" s="129"/>
      <c r="G27" s="129"/>
      <c r="H27" s="129"/>
      <c r="AI27" s="111" t="s">
        <v>67</v>
      </c>
    </row>
    <row r="28" spans="1:37" ht="15.75" customHeight="1">
      <c r="A28" s="121" t="s">
        <v>19</v>
      </c>
      <c r="B28" s="130" t="s">
        <v>1</v>
      </c>
      <c r="C28" s="114" t="s">
        <v>68</v>
      </c>
      <c r="D28" s="114" t="s">
        <v>20</v>
      </c>
      <c r="E28" s="114" t="s">
        <v>69</v>
      </c>
      <c r="F28" s="114" t="s">
        <v>70</v>
      </c>
      <c r="G28" s="114" t="s">
        <v>71</v>
      </c>
      <c r="H28" s="53" t="s">
        <v>21</v>
      </c>
      <c r="AK28" s="112" t="s">
        <v>22</v>
      </c>
    </row>
    <row r="29" spans="1:37" s="50" customFormat="1" ht="15.75" customHeight="1">
      <c r="A29" s="54" t="s">
        <v>72</v>
      </c>
      <c r="B29" s="57" t="s">
        <v>73</v>
      </c>
      <c r="C29" s="61"/>
      <c r="D29" s="61"/>
      <c r="E29" s="61"/>
      <c r="F29" s="61"/>
      <c r="G29" s="61"/>
      <c r="H29" s="61"/>
      <c r="AI29" s="54" t="s">
        <v>74</v>
      </c>
      <c r="AJ29" s="57" t="s">
        <v>73</v>
      </c>
    </row>
    <row r="30" spans="1:37" s="50" customFormat="1" ht="15.75" customHeight="1">
      <c r="A30" s="54" t="s">
        <v>25</v>
      </c>
      <c r="B30" s="54" t="s">
        <v>75</v>
      </c>
      <c r="C30" s="56">
        <f>+C7/C4</f>
        <v>381.32499999999999</v>
      </c>
      <c r="D30" s="56">
        <f t="shared" ref="D30:G30" si="5">+D7/D4</f>
        <v>369.88524999999998</v>
      </c>
      <c r="E30" s="56">
        <f t="shared" si="5"/>
        <v>358.78869250000002</v>
      </c>
      <c r="F30" s="56" t="e">
        <f t="shared" si="5"/>
        <v>#DIV/0!</v>
      </c>
      <c r="G30" s="56" t="e">
        <f t="shared" si="5"/>
        <v>#DIV/0!</v>
      </c>
      <c r="H30" s="56">
        <f>+H7/H4</f>
        <v>369.99964749999998</v>
      </c>
      <c r="AI30" s="54" t="s">
        <v>25</v>
      </c>
      <c r="AJ30" s="54" t="s">
        <v>75</v>
      </c>
    </row>
    <row r="31" spans="1:37" s="50" customFormat="1" ht="15.75" customHeight="1">
      <c r="A31" s="54" t="s">
        <v>27</v>
      </c>
      <c r="B31" s="54" t="s">
        <v>76</v>
      </c>
      <c r="C31" s="56">
        <f>+C8/C4</f>
        <v>400.63</v>
      </c>
      <c r="D31" s="56">
        <f t="shared" ref="D31:G31" si="6">+D8/D4</f>
        <v>388.61110000000002</v>
      </c>
      <c r="E31" s="56">
        <f t="shared" si="6"/>
        <v>376.95276699999994</v>
      </c>
      <c r="F31" s="56" t="e">
        <f t="shared" si="6"/>
        <v>#DIV/0!</v>
      </c>
      <c r="G31" s="56" t="e">
        <f t="shared" si="6"/>
        <v>#DIV/0!</v>
      </c>
      <c r="H31" s="56">
        <f>+H8/H4</f>
        <v>388.731289</v>
      </c>
      <c r="AI31" s="54" t="s">
        <v>27</v>
      </c>
      <c r="AJ31" s="54" t="s">
        <v>76</v>
      </c>
    </row>
    <row r="32" spans="1:37" s="50" customFormat="1" ht="15.75" customHeight="1">
      <c r="A32" s="54" t="s">
        <v>77</v>
      </c>
      <c r="B32" s="54" t="s">
        <v>78</v>
      </c>
      <c r="C32" s="61">
        <f t="shared" ref="C32:H32" si="7">C30-C31</f>
        <v>-19.305000000000007</v>
      </c>
      <c r="D32" s="61">
        <f t="shared" si="7"/>
        <v>-18.725850000000037</v>
      </c>
      <c r="E32" s="61">
        <f t="shared" si="7"/>
        <v>-18.164074499999913</v>
      </c>
      <c r="F32" s="61" t="e">
        <f t="shared" si="7"/>
        <v>#DIV/0!</v>
      </c>
      <c r="G32" s="61" t="e">
        <f t="shared" si="7"/>
        <v>#DIV/0!</v>
      </c>
      <c r="H32" s="61">
        <f t="shared" si="7"/>
        <v>-18.731641500000023</v>
      </c>
      <c r="AI32" s="54" t="s">
        <v>77</v>
      </c>
      <c r="AJ32" s="54" t="s">
        <v>78</v>
      </c>
    </row>
    <row r="33" spans="1:36" s="50" customFormat="1" ht="15.75" customHeight="1">
      <c r="A33" s="54">
        <v>3.1</v>
      </c>
      <c r="B33" s="54" t="s">
        <v>79</v>
      </c>
      <c r="C33" s="131">
        <f t="shared" ref="C33:G33" si="8">C32/C30</f>
        <v>-5.0626106339736465E-2</v>
      </c>
      <c r="D33" s="131">
        <f t="shared" si="8"/>
        <v>-5.0626106339736549E-2</v>
      </c>
      <c r="E33" s="131">
        <f t="shared" si="8"/>
        <v>-5.0626106339736202E-2</v>
      </c>
      <c r="F33" s="131" t="e">
        <f t="shared" si="8"/>
        <v>#DIV/0!</v>
      </c>
      <c r="G33" s="131" t="e">
        <f t="shared" si="8"/>
        <v>#DIV/0!</v>
      </c>
      <c r="H33" s="131">
        <f t="shared" ref="H33" si="9">H32/H30</f>
        <v>-5.0626106339736514E-2</v>
      </c>
      <c r="AI33" s="54"/>
      <c r="AJ33" s="54"/>
    </row>
    <row r="34" spans="1:36" s="50" customFormat="1" ht="15.75" customHeight="1">
      <c r="A34" s="54" t="s">
        <v>74</v>
      </c>
      <c r="B34" s="57" t="s">
        <v>10</v>
      </c>
      <c r="C34" s="61"/>
      <c r="D34" s="61"/>
      <c r="E34" s="61"/>
      <c r="F34" s="61"/>
      <c r="G34" s="61"/>
      <c r="H34" s="61"/>
      <c r="AI34" s="54" t="s">
        <v>80</v>
      </c>
      <c r="AJ34" s="57" t="s">
        <v>10</v>
      </c>
    </row>
    <row r="35" spans="1:36" s="50" customFormat="1" ht="15.75" customHeight="1">
      <c r="A35" s="54" t="s">
        <v>25</v>
      </c>
      <c r="B35" s="62" t="s">
        <v>81</v>
      </c>
      <c r="C35" s="56">
        <f>+C9/C4</f>
        <v>15.962085000000002</v>
      </c>
      <c r="D35" s="56">
        <f t="shared" ref="D35:G35" si="10">+D9/D4</f>
        <v>31.8078</v>
      </c>
      <c r="E35" s="56">
        <f t="shared" si="10"/>
        <v>31.8078</v>
      </c>
      <c r="F35" s="56" t="e">
        <f t="shared" si="10"/>
        <v>#DIV/0!</v>
      </c>
      <c r="G35" s="56" t="e">
        <f t="shared" si="10"/>
        <v>#DIV/0!</v>
      </c>
      <c r="H35" s="56">
        <f>+H9/H4</f>
        <v>26.525894999999998</v>
      </c>
      <c r="AI35" s="54" t="s">
        <v>77</v>
      </c>
      <c r="AJ35" s="54" t="s">
        <v>81</v>
      </c>
    </row>
    <row r="36" spans="1:36" s="50" customFormat="1" ht="15.75" customHeight="1">
      <c r="A36" s="54" t="s">
        <v>27</v>
      </c>
      <c r="B36" s="62" t="s">
        <v>82</v>
      </c>
      <c r="C36" s="56">
        <f>+C10/C4</f>
        <v>8.0365950000000002</v>
      </c>
      <c r="D36" s="56">
        <f t="shared" ref="D36:G36" si="11">+D10/D4</f>
        <v>16.014600000000002</v>
      </c>
      <c r="E36" s="56">
        <f t="shared" si="11"/>
        <v>16.014600000000002</v>
      </c>
      <c r="F36" s="56" t="e">
        <f t="shared" si="11"/>
        <v>#DIV/0!</v>
      </c>
      <c r="G36" s="56" t="e">
        <f t="shared" si="11"/>
        <v>#DIV/0!</v>
      </c>
      <c r="H36" s="56">
        <f>+H10/H4</f>
        <v>13.355265000000001</v>
      </c>
      <c r="AI36" s="54" t="s">
        <v>30</v>
      </c>
      <c r="AJ36" s="54" t="s">
        <v>82</v>
      </c>
    </row>
    <row r="37" spans="1:36" s="50" customFormat="1" ht="15.75" customHeight="1">
      <c r="A37" s="54" t="s">
        <v>77</v>
      </c>
      <c r="B37" s="62" t="s">
        <v>83</v>
      </c>
      <c r="C37" s="56">
        <f>+C11/C4</f>
        <v>11.1105</v>
      </c>
      <c r="D37" s="56">
        <f t="shared" ref="D37:G37" si="12">+D11/D4</f>
        <v>29.519999999999996</v>
      </c>
      <c r="E37" s="56">
        <f t="shared" si="12"/>
        <v>29.519999999999996</v>
      </c>
      <c r="F37" s="56" t="e">
        <f t="shared" si="12"/>
        <v>#DIV/0!</v>
      </c>
      <c r="G37" s="56" t="e">
        <f t="shared" si="12"/>
        <v>#DIV/0!</v>
      </c>
      <c r="H37" s="56">
        <f>+H11/H4</f>
        <v>23.383500000000002</v>
      </c>
      <c r="AI37" s="54" t="s">
        <v>36</v>
      </c>
      <c r="AJ37" s="54" t="s">
        <v>83</v>
      </c>
    </row>
    <row r="38" spans="1:36" s="50" customFormat="1" ht="15.75" customHeight="1">
      <c r="A38" s="54" t="s">
        <v>84</v>
      </c>
      <c r="B38" s="120" t="s">
        <v>85</v>
      </c>
      <c r="C38" s="56"/>
      <c r="D38" s="56"/>
      <c r="E38" s="56"/>
      <c r="F38" s="56"/>
      <c r="G38" s="56"/>
      <c r="H38" s="56"/>
      <c r="AI38" s="54" t="s">
        <v>84</v>
      </c>
      <c r="AJ38" s="57" t="s">
        <v>85</v>
      </c>
    </row>
    <row r="39" spans="1:36" s="50" customFormat="1" ht="15.75" customHeight="1">
      <c r="A39" s="54" t="s">
        <v>25</v>
      </c>
      <c r="B39" s="62" t="s">
        <v>86</v>
      </c>
      <c r="C39" s="56">
        <f>+C13/C4</f>
        <v>-54.414180000000002</v>
      </c>
      <c r="D39" s="56">
        <f t="shared" ref="D39:G39" si="13">+D13/D4</f>
        <v>-96.068249999999964</v>
      </c>
      <c r="E39" s="56">
        <f t="shared" si="13"/>
        <v>-95.506474499999939</v>
      </c>
      <c r="F39" s="56" t="e">
        <f t="shared" si="13"/>
        <v>#DIV/0!</v>
      </c>
      <c r="G39" s="56" t="e">
        <f t="shared" si="13"/>
        <v>#DIV/0!</v>
      </c>
      <c r="H39" s="56">
        <f>+H13/H4</f>
        <v>-81.996301500000001</v>
      </c>
      <c r="AI39" s="54" t="s">
        <v>25</v>
      </c>
      <c r="AJ39" s="54" t="s">
        <v>87</v>
      </c>
    </row>
    <row r="40" spans="1:36" s="50" customFormat="1" ht="15.75" customHeight="1">
      <c r="A40" s="54" t="s">
        <v>27</v>
      </c>
      <c r="B40" s="62" t="s">
        <v>88</v>
      </c>
      <c r="C40" s="115">
        <f t="shared" ref="C40:G40" si="14">+C21/C39</f>
        <v>-67429.537668306308</v>
      </c>
      <c r="D40" s="115">
        <f t="shared" si="14"/>
        <v>-47151.539764698551</v>
      </c>
      <c r="E40" s="115">
        <f t="shared" si="14"/>
        <v>-47191.867947130668</v>
      </c>
      <c r="F40" s="115" t="e">
        <f t="shared" si="14"/>
        <v>#DIV/0!</v>
      </c>
      <c r="G40" s="115" t="e">
        <f t="shared" si="14"/>
        <v>#DIV/0!</v>
      </c>
      <c r="H40" s="115">
        <f t="shared" ref="H40" si="15">+H21/H39</f>
        <v>-154958.42629804468</v>
      </c>
      <c r="AI40" s="54" t="s">
        <v>27</v>
      </c>
      <c r="AJ40" s="54" t="s">
        <v>88</v>
      </c>
    </row>
    <row r="41" spans="1:36" s="50" customFormat="1" ht="15.75" customHeight="1">
      <c r="A41" s="54" t="s">
        <v>89</v>
      </c>
      <c r="B41" s="57" t="s">
        <v>90</v>
      </c>
      <c r="C41" s="61"/>
      <c r="D41" s="61"/>
      <c r="E41" s="61"/>
      <c r="F41" s="61"/>
      <c r="G41" s="61"/>
      <c r="H41" s="61"/>
      <c r="AI41" s="54" t="s">
        <v>89</v>
      </c>
      <c r="AJ41" s="57" t="s">
        <v>90</v>
      </c>
    </row>
    <row r="42" spans="1:36" s="50" customFormat="1" ht="15.75" customHeight="1">
      <c r="A42" s="54" t="s">
        <v>25</v>
      </c>
      <c r="B42" s="54" t="s">
        <v>91</v>
      </c>
      <c r="C42" s="61">
        <f>+C15/C4</f>
        <v>25.185555555555553</v>
      </c>
      <c r="D42" s="61">
        <f t="shared" ref="D42:G42" si="16">+D15/D4</f>
        <v>25.185555555555553</v>
      </c>
      <c r="E42" s="61">
        <f t="shared" si="16"/>
        <v>25.185555555555553</v>
      </c>
      <c r="F42" s="61" t="e">
        <f t="shared" si="16"/>
        <v>#DIV/0!</v>
      </c>
      <c r="G42" s="61" t="e">
        <f t="shared" si="16"/>
        <v>#DIV/0!</v>
      </c>
      <c r="H42" s="61">
        <f>+H15/H4</f>
        <v>25.185555555555556</v>
      </c>
      <c r="AI42" s="54" t="s">
        <v>25</v>
      </c>
      <c r="AJ42" s="54" t="s">
        <v>91</v>
      </c>
    </row>
    <row r="43" spans="1:36" s="50" customFormat="1" ht="15.75" customHeight="1">
      <c r="A43" s="54" t="s">
        <v>27</v>
      </c>
      <c r="B43" s="54" t="s">
        <v>92</v>
      </c>
      <c r="C43" s="61">
        <f>+C17/C4</f>
        <v>0</v>
      </c>
      <c r="D43" s="61">
        <f t="shared" ref="D43:G43" si="17">+D17/D4</f>
        <v>0</v>
      </c>
      <c r="E43" s="61">
        <f t="shared" si="17"/>
        <v>0</v>
      </c>
      <c r="F43" s="61" t="e">
        <f t="shared" si="17"/>
        <v>#DIV/0!</v>
      </c>
      <c r="G43" s="61" t="e">
        <f t="shared" si="17"/>
        <v>#DIV/0!</v>
      </c>
      <c r="H43" s="61">
        <f>+H17/H4</f>
        <v>0</v>
      </c>
      <c r="AI43" s="54" t="s">
        <v>27</v>
      </c>
      <c r="AJ43" s="54" t="s">
        <v>92</v>
      </c>
    </row>
    <row r="44" spans="1:36" s="50" customFormat="1" ht="15.75" customHeight="1">
      <c r="A44" s="54" t="s">
        <v>77</v>
      </c>
      <c r="B44" s="54" t="s">
        <v>93</v>
      </c>
      <c r="C44" s="61">
        <f>+C18/C4</f>
        <v>12.965050000000002</v>
      </c>
      <c r="D44" s="61">
        <f t="shared" ref="D44:G44" si="18">+D18/D4</f>
        <v>12.576098500000002</v>
      </c>
      <c r="E44" s="61">
        <f t="shared" si="18"/>
        <v>12.198815545000002</v>
      </c>
      <c r="F44" s="61" t="e">
        <f t="shared" si="18"/>
        <v>#DIV/0!</v>
      </c>
      <c r="G44" s="61" t="e">
        <f t="shared" si="18"/>
        <v>#DIV/0!</v>
      </c>
      <c r="H44" s="61">
        <f>+H18/H4</f>
        <v>12.579988015000001</v>
      </c>
      <c r="AI44" s="54" t="s">
        <v>77</v>
      </c>
      <c r="AJ44" s="54" t="s">
        <v>93</v>
      </c>
    </row>
    <row r="45" spans="1:36" s="50" customFormat="1" ht="15.75" customHeight="1">
      <c r="A45" s="54" t="s">
        <v>30</v>
      </c>
      <c r="B45" s="54" t="s">
        <v>94</v>
      </c>
      <c r="C45" s="61"/>
      <c r="D45" s="61"/>
      <c r="E45" s="61"/>
      <c r="F45" s="61"/>
      <c r="G45" s="61"/>
      <c r="H45" s="61"/>
      <c r="AI45" s="54" t="s">
        <v>30</v>
      </c>
      <c r="AJ45" s="54" t="s">
        <v>95</v>
      </c>
    </row>
    <row r="46" spans="1:36" s="50" customFormat="1" ht="15.75" customHeight="1">
      <c r="A46" s="54" t="s">
        <v>33</v>
      </c>
      <c r="B46" s="54" t="s">
        <v>96</v>
      </c>
      <c r="C46" s="61"/>
      <c r="D46" s="61"/>
      <c r="E46" s="61"/>
      <c r="F46" s="61"/>
      <c r="G46" s="61"/>
      <c r="H46" s="61"/>
      <c r="AI46" s="54" t="s">
        <v>33</v>
      </c>
      <c r="AJ46" s="54" t="s">
        <v>96</v>
      </c>
    </row>
    <row r="47" spans="1:36" s="50" customFormat="1" ht="15.75" customHeight="1">
      <c r="A47" s="54" t="s">
        <v>97</v>
      </c>
      <c r="B47" s="57" t="s">
        <v>98</v>
      </c>
      <c r="C47" s="61"/>
      <c r="D47" s="61"/>
      <c r="E47" s="61"/>
      <c r="F47" s="61"/>
      <c r="G47" s="61"/>
      <c r="H47" s="61"/>
      <c r="AI47" s="54" t="s">
        <v>97</v>
      </c>
      <c r="AJ47" s="57" t="s">
        <v>98</v>
      </c>
    </row>
    <row r="48" spans="1:36" s="50" customFormat="1" ht="15.75" customHeight="1">
      <c r="A48" s="54" t="s">
        <v>25</v>
      </c>
      <c r="B48" s="54" t="s">
        <v>99</v>
      </c>
      <c r="C48" s="132">
        <f>+(C11+C17)/C7</f>
        <v>2.9136563299023144E-2</v>
      </c>
      <c r="D48" s="132">
        <f t="shared" ref="D48:G48" si="19">+(D11+D17)/D7</f>
        <v>7.9808535214637502E-2</v>
      </c>
      <c r="E48" s="132">
        <f t="shared" si="19"/>
        <v>8.2276840427461334E-2</v>
      </c>
      <c r="F48" s="132" t="e">
        <f t="shared" si="19"/>
        <v>#DIV/0!</v>
      </c>
      <c r="G48" s="132" t="e">
        <f t="shared" si="19"/>
        <v>#DIV/0!</v>
      </c>
      <c r="H48" s="132">
        <f>+(H11+H17)/H7</f>
        <v>6.3198708858229383E-2</v>
      </c>
      <c r="AI48" s="54" t="s">
        <v>25</v>
      </c>
      <c r="AJ48" s="54" t="s">
        <v>99</v>
      </c>
    </row>
    <row r="49" spans="1:36" s="50" customFormat="1" ht="15.75" customHeight="1">
      <c r="A49" s="54" t="s">
        <v>27</v>
      </c>
      <c r="B49" s="54" t="s">
        <v>100</v>
      </c>
      <c r="C49" s="132">
        <f>+(C9+C10+C15)/C7</f>
        <v>0.12898245736722103</v>
      </c>
      <c r="D49" s="132">
        <f t="shared" ref="D49:G49" si="20">+(D9+D10+D15)/D7</f>
        <v>0.19738001327588908</v>
      </c>
      <c r="E49" s="132">
        <f t="shared" si="20"/>
        <v>0.2034845497689578</v>
      </c>
      <c r="F49" s="132" t="e">
        <f t="shared" si="20"/>
        <v>#DIV/0!</v>
      </c>
      <c r="G49" s="132" t="e">
        <f t="shared" si="20"/>
        <v>#DIV/0!</v>
      </c>
      <c r="H49" s="132">
        <f>+(H9+H10+H15)/H7</f>
        <v>0.17585615552662268</v>
      </c>
      <c r="AI49" s="54" t="s">
        <v>27</v>
      </c>
      <c r="AJ49" s="54" t="s">
        <v>100</v>
      </c>
    </row>
    <row r="50" spans="1:36" s="50" customFormat="1" ht="15.75" customHeight="1">
      <c r="A50" s="54" t="s">
        <v>77</v>
      </c>
      <c r="B50" s="54" t="s">
        <v>101</v>
      </c>
      <c r="C50" s="132">
        <f>+C18/C7</f>
        <v>3.4000000000000002E-2</v>
      </c>
      <c r="D50" s="132">
        <f t="shared" ref="D50:G50" si="21">+D18/D7</f>
        <v>3.4000000000000009E-2</v>
      </c>
      <c r="E50" s="132">
        <f t="shared" si="21"/>
        <v>3.4000000000000002E-2</v>
      </c>
      <c r="F50" s="132" t="e">
        <f t="shared" si="21"/>
        <v>#DIV/0!</v>
      </c>
      <c r="G50" s="132" t="e">
        <f t="shared" si="21"/>
        <v>#DIV/0!</v>
      </c>
      <c r="H50" s="132">
        <f>+H18/H7</f>
        <v>3.4000000000000009E-2</v>
      </c>
      <c r="AI50" s="54" t="s">
        <v>77</v>
      </c>
      <c r="AJ50" s="54" t="s">
        <v>101</v>
      </c>
    </row>
    <row r="51" spans="1:36" s="50" customFormat="1" ht="15.75" customHeight="1">
      <c r="A51" s="54" t="s">
        <v>30</v>
      </c>
      <c r="B51" s="54" t="s">
        <v>102</v>
      </c>
      <c r="C51" s="132">
        <f>+C19/C7</f>
        <v>4.0895415838050071E-2</v>
      </c>
      <c r="D51" s="132">
        <f t="shared" ref="D51:G51" si="22">+D19/D7</f>
        <v>4.216022251345368E-2</v>
      </c>
      <c r="E51" s="132">
        <f t="shared" si="22"/>
        <v>4.3464146921086272E-2</v>
      </c>
      <c r="F51" s="132" t="e">
        <f t="shared" si="22"/>
        <v>#DIV/0!</v>
      </c>
      <c r="G51" s="132" t="e">
        <f t="shared" si="22"/>
        <v>#DIV/0!</v>
      </c>
      <c r="H51" s="132">
        <f>+H19/H7</f>
        <v>4.2147187300886402E-2</v>
      </c>
      <c r="AI51" s="54" t="s">
        <v>30</v>
      </c>
      <c r="AJ51" s="54" t="s">
        <v>102</v>
      </c>
    </row>
    <row r="52" spans="1:36" s="50" customFormat="1" ht="15.75" customHeight="1">
      <c r="A52" s="54" t="s">
        <v>33</v>
      </c>
      <c r="B52" s="54" t="s">
        <v>103</v>
      </c>
      <c r="C52" s="132">
        <f>+C20/C7</f>
        <v>1.9424375532682097E-2</v>
      </c>
      <c r="D52" s="132">
        <f t="shared" ref="D52:G52" si="23">+D20/D7</f>
        <v>5.9856401410978137E-2</v>
      </c>
      <c r="E52" s="132">
        <f t="shared" si="23"/>
        <v>6.1707630320596014E-2</v>
      </c>
      <c r="F52" s="132" t="e">
        <f t="shared" si="23"/>
        <v>#DIV/0!</v>
      </c>
      <c r="G52" s="132" t="e">
        <f t="shared" si="23"/>
        <v>#DIV/0!</v>
      </c>
      <c r="H52" s="132">
        <f>+H20/H7</f>
        <v>4.6564909227379742E-2</v>
      </c>
      <c r="AI52" s="54" t="s">
        <v>33</v>
      </c>
      <c r="AJ52" s="54" t="s">
        <v>103</v>
      </c>
    </row>
    <row r="53" spans="1:36" s="50" customFormat="1" ht="15.75" customHeight="1">
      <c r="A53" s="54" t="s">
        <v>36</v>
      </c>
      <c r="B53" s="54" t="s">
        <v>104</v>
      </c>
      <c r="C53" s="132">
        <f>+C24/C7</f>
        <v>-0.30306491837671279</v>
      </c>
      <c r="D53" s="132">
        <f t="shared" ref="D53:G53" si="24">+D24/D7</f>
        <v>-0.46383127875469471</v>
      </c>
      <c r="E53" s="132">
        <f t="shared" si="24"/>
        <v>-0.22018761190474243</v>
      </c>
      <c r="F53" s="132" t="e">
        <f t="shared" si="24"/>
        <v>#DIV/0!</v>
      </c>
      <c r="G53" s="132" t="e">
        <f t="shared" si="24"/>
        <v>#DIV/0!</v>
      </c>
      <c r="H53" s="132">
        <f>+H24/H7</f>
        <v>-0.41239306725285463</v>
      </c>
      <c r="AI53" s="54" t="s">
        <v>36</v>
      </c>
      <c r="AJ53" s="54" t="s">
        <v>105</v>
      </c>
    </row>
    <row r="54" spans="1:36" s="50" customFormat="1" ht="15.75" customHeight="1">
      <c r="A54" s="54" t="s">
        <v>106</v>
      </c>
      <c r="B54" s="57" t="s">
        <v>107</v>
      </c>
      <c r="C54" s="61">
        <f>+C22/C4</f>
        <v>-115.56623000000002</v>
      </c>
      <c r="D54" s="61">
        <f t="shared" ref="D54:G54" si="25">+D22/D4</f>
        <v>-171.56434849999997</v>
      </c>
      <c r="E54" s="61">
        <f t="shared" si="25"/>
        <v>-170.62529004499993</v>
      </c>
      <c r="F54" s="61" t="e">
        <f t="shared" si="25"/>
        <v>#DIV/0!</v>
      </c>
      <c r="G54" s="61" t="e">
        <f t="shared" si="25"/>
        <v>#DIV/0!</v>
      </c>
      <c r="H54" s="61">
        <f>+H22/H4</f>
        <v>-152.585289515</v>
      </c>
      <c r="AI54" s="54" t="s">
        <v>106</v>
      </c>
      <c r="AJ54" s="57" t="s">
        <v>107</v>
      </c>
    </row>
    <row r="55" spans="1:36" s="50" customFormat="1" ht="15.75" customHeight="1">
      <c r="A55" s="54" t="s">
        <v>108</v>
      </c>
      <c r="B55" s="133" t="s">
        <v>109</v>
      </c>
      <c r="C55" s="61"/>
      <c r="D55" s="61"/>
      <c r="E55" s="61"/>
      <c r="F55" s="61"/>
      <c r="G55" s="61"/>
      <c r="H55" s="61"/>
      <c r="AI55" s="54"/>
      <c r="AJ55" s="57"/>
    </row>
    <row r="56" spans="1:36" s="50" customFormat="1" ht="15.75" customHeight="1">
      <c r="A56" s="54" t="s">
        <v>25</v>
      </c>
      <c r="B56" s="54" t="s">
        <v>110</v>
      </c>
      <c r="C56" s="61">
        <f>C57+C58</f>
        <v>7579000</v>
      </c>
      <c r="D56" s="61"/>
      <c r="E56" s="61"/>
      <c r="F56" s="61"/>
      <c r="G56" s="61"/>
      <c r="H56" s="61"/>
    </row>
    <row r="57" spans="1:36" s="50" customFormat="1" ht="15.75" customHeight="1">
      <c r="A57" s="54">
        <v>1.1000000000000001</v>
      </c>
      <c r="B57" s="134" t="s">
        <v>111</v>
      </c>
      <c r="C57" s="61">
        <f>项目投资!B27</f>
        <v>2807000</v>
      </c>
      <c r="D57" s="61"/>
      <c r="E57" s="61"/>
      <c r="F57" s="61"/>
      <c r="G57" s="61"/>
      <c r="H57" s="61"/>
    </row>
    <row r="58" spans="1:36" s="50" customFormat="1" ht="15.75" customHeight="1">
      <c r="A58" s="54">
        <v>1.2</v>
      </c>
      <c r="B58" s="54" t="s">
        <v>112</v>
      </c>
      <c r="C58" s="61">
        <f>项目投资!B26</f>
        <v>4772000</v>
      </c>
      <c r="D58" s="61"/>
      <c r="E58" s="61"/>
      <c r="F58" s="61"/>
      <c r="G58" s="61"/>
      <c r="H58" s="61"/>
    </row>
    <row r="59" spans="1:36" ht="15.75" customHeight="1">
      <c r="A59" s="121" t="s">
        <v>27</v>
      </c>
      <c r="B59" s="121" t="s">
        <v>113</v>
      </c>
      <c r="C59" s="135">
        <f t="shared" ref="C59:G59" si="26">C60+C61</f>
        <v>-5422840.4666666677</v>
      </c>
      <c r="D59" s="135">
        <f t="shared" si="26"/>
        <v>-8782727.5766666625</v>
      </c>
      <c r="E59" s="135">
        <f t="shared" si="26"/>
        <v>-3228916.1894666655</v>
      </c>
      <c r="F59" s="135" t="e">
        <f t="shared" si="26"/>
        <v>#DIV/0!</v>
      </c>
      <c r="G59" s="135" t="e">
        <f t="shared" si="26"/>
        <v>#DIV/0!</v>
      </c>
      <c r="H59" s="135">
        <f t="shared" ref="H59" si="27">H60+H61</f>
        <v>-22931952.1127</v>
      </c>
    </row>
    <row r="60" spans="1:36" ht="15.75" customHeight="1">
      <c r="A60" s="121" t="s">
        <v>77</v>
      </c>
      <c r="B60" s="121" t="s">
        <v>114</v>
      </c>
      <c r="C60" s="135">
        <f t="shared" ref="C60:G60" si="28">C24</f>
        <v>-6933973.8000000007</v>
      </c>
      <c r="D60" s="135">
        <f t="shared" si="28"/>
        <v>-10293860.909999996</v>
      </c>
      <c r="E60" s="135">
        <f t="shared" si="28"/>
        <v>-4740049.5227999985</v>
      </c>
      <c r="F60" s="135" t="e">
        <f t="shared" si="28"/>
        <v>#DIV/0!</v>
      </c>
      <c r="G60" s="135" t="e">
        <f t="shared" si="28"/>
        <v>#DIV/0!</v>
      </c>
      <c r="H60" s="135">
        <f t="shared" ref="H60" si="29">H24</f>
        <v>-27465352.1127</v>
      </c>
    </row>
    <row r="61" spans="1:36" ht="15.75" customHeight="1">
      <c r="A61" s="121" t="s">
        <v>30</v>
      </c>
      <c r="B61" s="121" t="s">
        <v>115</v>
      </c>
      <c r="C61" s="135">
        <f>'2023年'!I18</f>
        <v>1511133.3333333333</v>
      </c>
      <c r="D61" s="135">
        <f>'2024年'!I18</f>
        <v>1511133.3333333333</v>
      </c>
      <c r="E61" s="135">
        <f>'2025年'!I18</f>
        <v>1511133.3333333333</v>
      </c>
      <c r="F61" s="135">
        <f>'2026年'!I18</f>
        <v>0</v>
      </c>
      <c r="G61" s="135">
        <f>'2027年'!I18</f>
        <v>0</v>
      </c>
      <c r="H61" s="135">
        <f>项目投资!I26</f>
        <v>4533400</v>
      </c>
    </row>
    <row r="62" spans="1:36" ht="15.75" customHeight="1">
      <c r="A62" s="121" t="s">
        <v>33</v>
      </c>
      <c r="B62" s="121" t="s">
        <v>116</v>
      </c>
      <c r="C62" s="136"/>
      <c r="D62" s="136"/>
      <c r="E62" s="136"/>
      <c r="F62" s="136"/>
      <c r="G62" s="136"/>
      <c r="H62" s="135"/>
    </row>
    <row r="64" spans="1:36">
      <c r="B64"/>
    </row>
  </sheetData>
  <mergeCells count="2">
    <mergeCell ref="A1:H1"/>
    <mergeCell ref="A3:A4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117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118</v>
      </c>
      <c r="B2" s="79"/>
    </row>
    <row r="3" spans="1:13" ht="16.899999999999999" customHeight="1">
      <c r="A3" s="80" t="s">
        <v>19</v>
      </c>
      <c r="B3" s="80" t="s">
        <v>119</v>
      </c>
      <c r="C3" s="200" t="s">
        <v>120</v>
      </c>
      <c r="D3" s="200"/>
      <c r="E3" s="200"/>
      <c r="F3" s="82"/>
      <c r="G3" s="83"/>
      <c r="H3" s="84"/>
      <c r="I3" s="84"/>
      <c r="J3" s="84" t="s">
        <v>121</v>
      </c>
      <c r="K3" s="84"/>
      <c r="L3" s="84"/>
      <c r="M3" s="105"/>
    </row>
    <row r="4" spans="1:13" ht="16.149999999999999" customHeight="1">
      <c r="A4" s="85"/>
      <c r="B4" s="85" t="s">
        <v>122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123</v>
      </c>
    </row>
    <row r="5" spans="1:13" ht="15.6" customHeight="1">
      <c r="A5" s="87">
        <v>1</v>
      </c>
      <c r="B5" s="88" t="s">
        <v>124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22879500</v>
      </c>
      <c r="G5" s="89">
        <f t="shared" si="1"/>
        <v>22879500</v>
      </c>
      <c r="H5" s="89">
        <f t="shared" si="1"/>
        <v>22879500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68638500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125</v>
      </c>
      <c r="C6" s="91"/>
      <c r="D6" s="91"/>
      <c r="E6" s="91" t="e">
        <f>损益表!#REF!</f>
        <v>#REF!</v>
      </c>
      <c r="F6" s="91">
        <f>损益表!C5</f>
        <v>22879500</v>
      </c>
      <c r="G6" s="91">
        <f>损益表!D5</f>
        <v>22879500</v>
      </c>
      <c r="H6" s="91">
        <f>损益表!E5</f>
        <v>22879500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损益表!H5</f>
        <v>68638500</v>
      </c>
      <c r="M6" s="93" t="e">
        <f t="shared" si="2"/>
        <v>#REF!</v>
      </c>
    </row>
    <row r="7" spans="1:13" ht="15.6" customHeight="1">
      <c r="A7" s="87">
        <v>1.2</v>
      </c>
      <c r="B7" s="90" t="s">
        <v>126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127</v>
      </c>
      <c r="C8" s="91" t="s">
        <v>128</v>
      </c>
      <c r="D8" s="91" t="s">
        <v>128</v>
      </c>
      <c r="E8" s="91" t="s">
        <v>128</v>
      </c>
      <c r="F8" s="91" t="s">
        <v>128</v>
      </c>
      <c r="G8" s="91" t="s">
        <v>128</v>
      </c>
      <c r="H8" s="91" t="s">
        <v>128</v>
      </c>
      <c r="I8" s="91" t="s">
        <v>128</v>
      </c>
      <c r="J8" s="91" t="s">
        <v>128</v>
      </c>
      <c r="K8" s="91" t="s">
        <v>128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129</v>
      </c>
      <c r="C9" s="91" t="s">
        <v>128</v>
      </c>
      <c r="D9" s="91" t="s">
        <v>128</v>
      </c>
      <c r="E9" s="91" t="s">
        <v>128</v>
      </c>
      <c r="F9" s="91" t="s">
        <v>128</v>
      </c>
      <c r="G9" s="91" t="s">
        <v>128</v>
      </c>
      <c r="H9" s="91" t="s">
        <v>128</v>
      </c>
      <c r="I9" s="91" t="s">
        <v>128</v>
      </c>
      <c r="J9" s="91" t="s">
        <v>128</v>
      </c>
      <c r="K9" s="91" t="s">
        <v>128</v>
      </c>
      <c r="L9" s="91" t="s">
        <v>128</v>
      </c>
      <c r="M9" s="93">
        <f t="shared" si="2"/>
        <v>0</v>
      </c>
    </row>
    <row r="10" spans="1:13" ht="15.6" customHeight="1">
      <c r="A10" s="92">
        <v>2</v>
      </c>
      <c r="B10" s="88" t="s">
        <v>130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131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132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133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134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60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135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136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22879500</v>
      </c>
      <c r="G17" s="89">
        <f t="shared" si="4"/>
        <v>22879500</v>
      </c>
      <c r="H17" s="89">
        <f t="shared" si="4"/>
        <v>22879500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68638500</v>
      </c>
      <c r="M17" s="93" t="e">
        <f t="shared" si="2"/>
        <v>#REF!</v>
      </c>
    </row>
    <row r="18" spans="1:18" ht="12">
      <c r="A18" s="94">
        <v>4</v>
      </c>
      <c r="B18" s="90" t="s">
        <v>137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128</v>
      </c>
    </row>
    <row r="19" spans="1:18" s="74" customFormat="1" ht="12">
      <c r="A19" s="94">
        <v>5</v>
      </c>
      <c r="B19" s="90" t="s">
        <v>138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22879500</v>
      </c>
      <c r="G19" s="91">
        <f t="shared" si="6"/>
        <v>22879500</v>
      </c>
      <c r="H19" s="91">
        <f t="shared" si="6"/>
        <v>22879500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68638500</v>
      </c>
      <c r="M19" s="93" t="e">
        <f>SUM(C19:L19)</f>
        <v>#REF!</v>
      </c>
    </row>
    <row r="20" spans="1:18" s="74" customFormat="1" ht="12">
      <c r="A20" s="87">
        <v>6</v>
      </c>
      <c r="B20" s="90" t="s">
        <v>139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128</v>
      </c>
    </row>
    <row r="21" spans="1:18" ht="12">
      <c r="A21" s="95"/>
      <c r="B21" s="96" t="s">
        <v>140</v>
      </c>
      <c r="C21" s="96"/>
      <c r="D21" s="96"/>
      <c r="E21" s="96" t="s">
        <v>141</v>
      </c>
      <c r="F21" s="96"/>
      <c r="G21" s="96"/>
      <c r="H21" s="96"/>
      <c r="I21" s="96" t="s">
        <v>142</v>
      </c>
      <c r="J21" s="96"/>
      <c r="K21" s="96"/>
      <c r="L21" s="96"/>
      <c r="M21" s="107"/>
    </row>
    <row r="22" spans="1:18" ht="12">
      <c r="A22" s="97"/>
      <c r="B22" s="98" t="s">
        <v>143</v>
      </c>
      <c r="C22" s="98"/>
      <c r="D22" s="99" t="s">
        <v>144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145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146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7" sqref="D17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1" t="s">
        <v>147</v>
      </c>
      <c r="B1" s="201"/>
      <c r="C1" s="205" t="s">
        <v>249</v>
      </c>
      <c r="D1" s="206"/>
      <c r="E1" s="206"/>
      <c r="F1" s="206"/>
      <c r="G1" s="206"/>
      <c r="H1" s="206"/>
      <c r="I1" s="207"/>
    </row>
    <row r="2" spans="1:38">
      <c r="A2" s="201" t="s">
        <v>148</v>
      </c>
      <c r="B2" s="201"/>
      <c r="C2" s="208" t="s">
        <v>275</v>
      </c>
      <c r="D2" s="208"/>
      <c r="E2" s="208"/>
      <c r="F2" s="208"/>
      <c r="G2" s="208"/>
      <c r="H2" s="208"/>
      <c r="I2" s="208"/>
    </row>
    <row r="3" spans="1:38">
      <c r="A3" s="201" t="s">
        <v>149</v>
      </c>
      <c r="B3" s="201"/>
      <c r="C3" s="162" t="str">
        <f>销量!C5</f>
        <v>驾驶员座椅总成</v>
      </c>
      <c r="D3" s="162" t="str">
        <f>销量!D5</f>
        <v>副驾驶员座椅总成</v>
      </c>
      <c r="E3" s="162" t="str">
        <f>销量!E5</f>
        <v>副驾驶员座椅总成</v>
      </c>
      <c r="F3" s="162">
        <f>销量!F5</f>
        <v>0</v>
      </c>
      <c r="G3" s="162">
        <f>销量!G5</f>
        <v>0</v>
      </c>
      <c r="H3" s="162">
        <f>销量!H5</f>
        <v>0</v>
      </c>
      <c r="I3" s="202" t="s">
        <v>21</v>
      </c>
    </row>
    <row r="4" spans="1:38" ht="71.25">
      <c r="A4" s="201" t="s">
        <v>150</v>
      </c>
      <c r="B4" s="201"/>
      <c r="C4" s="162" t="str">
        <f>销量!C6</f>
        <v>在L168100000146双轴座椅基础上改单轴放平，面料换厂家，降本</v>
      </c>
      <c r="D4" s="162" t="str">
        <f>销量!D6</f>
        <v>在L168100000147双轴座椅基础上改单轴放平，面料换厂家，降本</v>
      </c>
      <c r="E4" s="162" t="str">
        <f>销量!E6</f>
        <v>在L168100000149双轴座椅基础上改单轴放平，面料换厂家，降本</v>
      </c>
      <c r="F4" s="162">
        <f>销量!F6</f>
        <v>0</v>
      </c>
      <c r="G4" s="162">
        <f>销量!G6</f>
        <v>0</v>
      </c>
      <c r="H4" s="162">
        <f>销量!H6</f>
        <v>0</v>
      </c>
      <c r="I4" s="203"/>
    </row>
    <row r="5" spans="1:38">
      <c r="A5" s="201" t="s">
        <v>151</v>
      </c>
      <c r="B5" s="201"/>
      <c r="C5" s="53"/>
      <c r="D5" s="53"/>
      <c r="E5" s="53"/>
      <c r="F5" s="53"/>
      <c r="G5" s="53"/>
      <c r="H5" s="53"/>
      <c r="I5" s="204"/>
      <c r="AL5" s="50" t="s">
        <v>22</v>
      </c>
    </row>
    <row r="6" spans="1:38" ht="17.25">
      <c r="A6" s="54" t="s">
        <v>19</v>
      </c>
      <c r="B6" s="55" t="s">
        <v>152</v>
      </c>
      <c r="C6" s="23">
        <f>销量!C9</f>
        <v>30000</v>
      </c>
      <c r="D6" s="23">
        <f>销量!D9</f>
        <v>15000</v>
      </c>
      <c r="E6" s="23">
        <f>销量!E9</f>
        <v>15000</v>
      </c>
      <c r="F6" s="23">
        <f>销量!F9</f>
        <v>0</v>
      </c>
      <c r="G6" s="23">
        <f>销量!G9</f>
        <v>0</v>
      </c>
      <c r="H6" s="23">
        <f>销量!H9</f>
        <v>0</v>
      </c>
      <c r="I6" s="56">
        <f>SUM(C6:H6)</f>
        <v>60000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52">
        <v>1</v>
      </c>
      <c r="B7" s="55" t="s">
        <v>24</v>
      </c>
      <c r="C7" s="56">
        <f>C6*销量!C8</f>
        <v>10938000</v>
      </c>
      <c r="D7" s="56">
        <f>D6*销量!D8</f>
        <v>5814000</v>
      </c>
      <c r="E7" s="56">
        <f>E6*销量!E8</f>
        <v>6127500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22879500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52">
        <v>2</v>
      </c>
      <c r="B8" s="52" t="s">
        <v>26</v>
      </c>
      <c r="C8" s="56"/>
      <c r="D8" s="56"/>
      <c r="E8" s="56"/>
      <c r="F8" s="56"/>
      <c r="G8" s="56"/>
      <c r="H8" s="56"/>
      <c r="I8" s="56">
        <f>SUM(C8:H8)</f>
        <v>0</v>
      </c>
      <c r="J8" s="71"/>
      <c r="T8" s="52" t="s">
        <v>28</v>
      </c>
      <c r="AJ8" s="54" t="s">
        <v>27</v>
      </c>
      <c r="AK8" s="52" t="s">
        <v>28</v>
      </c>
      <c r="AL8" s="50" t="s">
        <v>23</v>
      </c>
    </row>
    <row r="9" spans="1:38">
      <c r="A9" s="52">
        <v>3</v>
      </c>
      <c r="B9" s="55" t="s">
        <v>29</v>
      </c>
      <c r="C9" s="56">
        <f>+C7-C8</f>
        <v>10938000</v>
      </c>
      <c r="D9" s="56">
        <f t="shared" ref="D9:H9" si="0">+D7-D8</f>
        <v>5814000</v>
      </c>
      <c r="E9" s="56">
        <f t="shared" si="0"/>
        <v>6127500</v>
      </c>
      <c r="F9" s="56">
        <f t="shared" si="0"/>
        <v>0</v>
      </c>
      <c r="G9" s="56">
        <f t="shared" si="0"/>
        <v>0</v>
      </c>
      <c r="H9" s="56">
        <f t="shared" si="0"/>
        <v>0</v>
      </c>
      <c r="I9" s="56">
        <f>SUM(C9:H9)</f>
        <v>22879500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52">
        <v>4</v>
      </c>
      <c r="B10" s="54" t="s">
        <v>32</v>
      </c>
      <c r="C10" s="56">
        <f>C6*C33</f>
        <v>12240600</v>
      </c>
      <c r="D10" s="56">
        <f t="shared" ref="D10:H10" si="1">D6*D33</f>
        <v>5973600</v>
      </c>
      <c r="E10" s="56">
        <f t="shared" si="1"/>
        <v>5823600</v>
      </c>
      <c r="F10" s="56">
        <f t="shared" si="1"/>
        <v>0</v>
      </c>
      <c r="G10" s="56">
        <f t="shared" si="1"/>
        <v>0</v>
      </c>
      <c r="H10" s="56">
        <f t="shared" si="1"/>
        <v>0</v>
      </c>
      <c r="I10" s="56">
        <f>SUM(C10:H10)</f>
        <v>24037800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52">
        <v>5</v>
      </c>
      <c r="B11" s="54" t="s">
        <v>35</v>
      </c>
      <c r="C11" s="56">
        <f>+C6*C36</f>
        <v>471427.80000000005</v>
      </c>
      <c r="D11" s="56">
        <f t="shared" ref="D11:H11" si="2">+D6*D36</f>
        <v>250583.40000000002</v>
      </c>
      <c r="E11" s="56">
        <f t="shared" si="2"/>
        <v>235713.90000000002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ref="I11:I15" si="3">SUM(C11:H11)</f>
        <v>957725.10000000009</v>
      </c>
      <c r="T11" s="54" t="s">
        <v>35</v>
      </c>
      <c r="AJ11" s="54" t="s">
        <v>36</v>
      </c>
      <c r="AK11" s="54" t="s">
        <v>35</v>
      </c>
    </row>
    <row r="12" spans="1:38">
      <c r="A12" s="52">
        <v>6</v>
      </c>
      <c r="B12" s="54" t="s">
        <v>37</v>
      </c>
      <c r="C12" s="56">
        <f>+C6*C37</f>
        <v>237354.6</v>
      </c>
      <c r="D12" s="56">
        <f t="shared" ref="D12:H12" si="4">+D6*D37</f>
        <v>126163.80000000002</v>
      </c>
      <c r="E12" s="56">
        <f t="shared" si="4"/>
        <v>118677.3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3"/>
        <v>482195.7</v>
      </c>
      <c r="T12" s="54" t="s">
        <v>37</v>
      </c>
      <c r="AJ12" s="54" t="s">
        <v>38</v>
      </c>
      <c r="AK12" s="54" t="s">
        <v>37</v>
      </c>
    </row>
    <row r="13" spans="1:38">
      <c r="A13" s="52">
        <v>7</v>
      </c>
      <c r="B13" s="54" t="s">
        <v>39</v>
      </c>
      <c r="C13" s="56">
        <f>+C6*C38</f>
        <v>328140</v>
      </c>
      <c r="D13" s="56">
        <f t="shared" ref="D13:H13" si="5">+D6*D38</f>
        <v>174420</v>
      </c>
      <c r="E13" s="56">
        <f t="shared" si="5"/>
        <v>164070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3"/>
        <v>666630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52">
        <v>8</v>
      </c>
      <c r="B14" s="57" t="s">
        <v>41</v>
      </c>
      <c r="C14" s="56">
        <f>SUM(C11:C13)</f>
        <v>1036922.4</v>
      </c>
      <c r="D14" s="56">
        <f t="shared" ref="D14:H14" si="6">SUM(D11:D13)</f>
        <v>551167.20000000007</v>
      </c>
      <c r="E14" s="56">
        <f t="shared" si="6"/>
        <v>518461.2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3"/>
        <v>2106550.8000000003</v>
      </c>
      <c r="T14" s="57" t="s">
        <v>41</v>
      </c>
      <c r="AJ14" s="54" t="s">
        <v>42</v>
      </c>
      <c r="AK14" s="57" t="s">
        <v>41</v>
      </c>
    </row>
    <row r="15" spans="1:38">
      <c r="A15" s="52">
        <v>9</v>
      </c>
      <c r="B15" s="57" t="s">
        <v>43</v>
      </c>
      <c r="C15" s="56">
        <f>+C9-C10-C14</f>
        <v>-2339522.4</v>
      </c>
      <c r="D15" s="56">
        <f t="shared" ref="D15:H15" si="7">+D9-D10-D14</f>
        <v>-710767.20000000007</v>
      </c>
      <c r="E15" s="56">
        <f t="shared" si="7"/>
        <v>-214561.2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3"/>
        <v>-3264850.8000000003</v>
      </c>
      <c r="T15" s="57" t="s">
        <v>43</v>
      </c>
      <c r="AJ15" s="54" t="s">
        <v>44</v>
      </c>
      <c r="AK15" s="57" t="s">
        <v>43</v>
      </c>
    </row>
    <row r="16" spans="1:38">
      <c r="A16" s="52">
        <v>10</v>
      </c>
      <c r="B16" s="54" t="s">
        <v>45</v>
      </c>
      <c r="C16" s="58">
        <f>+C15/C9</f>
        <v>-0.21388941305540318</v>
      </c>
      <c r="D16" s="58">
        <f t="shared" ref="D16:H16" si="8">+D15/D9</f>
        <v>-0.12225098039215687</v>
      </c>
      <c r="E16" s="58">
        <f t="shared" si="8"/>
        <v>-3.5016107711138313E-2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>
        <f t="shared" ref="I16" si="9">+I15/I9</f>
        <v>-0.1426976463646496</v>
      </c>
      <c r="T16" s="54" t="s">
        <v>45</v>
      </c>
      <c r="AJ16" s="54" t="s">
        <v>46</v>
      </c>
      <c r="AK16" s="54" t="s">
        <v>45</v>
      </c>
    </row>
    <row r="17" spans="1:38">
      <c r="A17" s="52">
        <v>11</v>
      </c>
      <c r="B17" s="54" t="s">
        <v>47</v>
      </c>
      <c r="C17" s="56">
        <f>C6*C43+C18</f>
        <v>755566.66666666663</v>
      </c>
      <c r="D17" s="56">
        <f t="shared" ref="D17:H17" si="10">D6*D43+D18</f>
        <v>377783.33333333331</v>
      </c>
      <c r="E17" s="56">
        <f t="shared" si="10"/>
        <v>377783.33333333331</v>
      </c>
      <c r="F17" s="56">
        <f t="shared" si="10"/>
        <v>0</v>
      </c>
      <c r="G17" s="56">
        <f t="shared" si="10"/>
        <v>0</v>
      </c>
      <c r="H17" s="56">
        <f t="shared" si="10"/>
        <v>0</v>
      </c>
      <c r="I17" s="56">
        <f>SUM(C17:H17)</f>
        <v>1511133.3333333333</v>
      </c>
      <c r="J17" s="172"/>
      <c r="K17" s="173"/>
      <c r="L17" s="173"/>
      <c r="T17" s="54" t="s">
        <v>47</v>
      </c>
      <c r="AJ17" s="54" t="s">
        <v>48</v>
      </c>
      <c r="AK17" s="54" t="s">
        <v>47</v>
      </c>
    </row>
    <row r="18" spans="1:38" s="48" customFormat="1">
      <c r="A18" s="52">
        <v>12</v>
      </c>
      <c r="B18" s="59" t="s">
        <v>153</v>
      </c>
      <c r="C18" s="60">
        <f>$I$18/$I$6*C6</f>
        <v>755566.66666666663</v>
      </c>
      <c r="D18" s="60">
        <f t="shared" ref="D18:H18" si="11">$I$18/$I$6*D6</f>
        <v>377783.33333333331</v>
      </c>
      <c r="E18" s="60">
        <f t="shared" si="11"/>
        <v>377783.33333333331</v>
      </c>
      <c r="F18" s="60">
        <f t="shared" si="11"/>
        <v>0</v>
      </c>
      <c r="G18" s="60">
        <f t="shared" si="11"/>
        <v>0</v>
      </c>
      <c r="H18" s="60">
        <f t="shared" si="11"/>
        <v>0</v>
      </c>
      <c r="I18" s="60">
        <f>项目投资!D26</f>
        <v>1511133.3333333333</v>
      </c>
      <c r="J18" s="174" t="s">
        <v>154</v>
      </c>
      <c r="K18" s="174"/>
      <c r="L18" s="174"/>
    </row>
    <row r="19" spans="1:38">
      <c r="A19" s="52">
        <v>13</v>
      </c>
      <c r="B19" s="54" t="s">
        <v>49</v>
      </c>
      <c r="C19" s="56">
        <f>C6*C44</f>
        <v>0</v>
      </c>
      <c r="D19" s="56">
        <f t="shared" ref="D19:H19" si="12">D6*D44</f>
        <v>0</v>
      </c>
      <c r="E19" s="56">
        <f t="shared" si="12"/>
        <v>0</v>
      </c>
      <c r="F19" s="56">
        <f>F6*F44</f>
        <v>0</v>
      </c>
      <c r="G19" s="56">
        <f t="shared" si="12"/>
        <v>0</v>
      </c>
      <c r="H19" s="56">
        <f t="shared" si="12"/>
        <v>0</v>
      </c>
      <c r="I19" s="56">
        <f>SUM(C19:C19)</f>
        <v>0</v>
      </c>
      <c r="J19" s="175"/>
      <c r="K19" s="173"/>
      <c r="L19" s="173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52">
        <v>14</v>
      </c>
      <c r="B20" s="54" t="s">
        <v>51</v>
      </c>
      <c r="C20" s="56">
        <f>C6*C45</f>
        <v>371892.00000000006</v>
      </c>
      <c r="D20" s="56">
        <f t="shared" ref="D20:H20" si="13">D6*D45</f>
        <v>197676.00000000003</v>
      </c>
      <c r="E20" s="56">
        <f t="shared" si="13"/>
        <v>208335.00000000003</v>
      </c>
      <c r="F20" s="56">
        <f t="shared" si="13"/>
        <v>0</v>
      </c>
      <c r="G20" s="56">
        <f t="shared" si="13"/>
        <v>0</v>
      </c>
      <c r="H20" s="56">
        <f t="shared" si="13"/>
        <v>0</v>
      </c>
      <c r="I20" s="56">
        <f>SUM(C20:H20)</f>
        <v>777903.00000000012</v>
      </c>
      <c r="T20" s="54" t="s">
        <v>51</v>
      </c>
      <c r="AJ20" s="54" t="s">
        <v>52</v>
      </c>
      <c r="AK20" s="54" t="s">
        <v>51</v>
      </c>
    </row>
    <row r="21" spans="1:38">
      <c r="A21" s="52">
        <v>15</v>
      </c>
      <c r="B21" s="54" t="s">
        <v>53</v>
      </c>
      <c r="C21" s="61">
        <f>$I$21/$I$6*C6</f>
        <v>467833.33333333331</v>
      </c>
      <c r="D21" s="61">
        <f t="shared" ref="D21:H21" si="14">$I$21/$I$6*D6</f>
        <v>233916.66666666666</v>
      </c>
      <c r="E21" s="61">
        <f t="shared" si="14"/>
        <v>233916.66666666666</v>
      </c>
      <c r="F21" s="61">
        <f t="shared" si="14"/>
        <v>0</v>
      </c>
      <c r="G21" s="61">
        <f t="shared" si="14"/>
        <v>0</v>
      </c>
      <c r="H21" s="61">
        <f t="shared" si="14"/>
        <v>0</v>
      </c>
      <c r="I21" s="56">
        <f>项目投资!D27</f>
        <v>935666.66666666663</v>
      </c>
      <c r="T21" s="54" t="s">
        <v>53</v>
      </c>
      <c r="AJ21" s="54"/>
      <c r="AK21" s="54"/>
    </row>
    <row r="22" spans="1:38">
      <c r="A22" s="52">
        <v>16</v>
      </c>
      <c r="B22" s="54" t="s">
        <v>54</v>
      </c>
      <c r="C22" s="56">
        <f>C6*C47</f>
        <v>218760.00000000003</v>
      </c>
      <c r="D22" s="56">
        <f t="shared" ref="D22:H22" si="15">D6*D47</f>
        <v>116280.00000000001</v>
      </c>
      <c r="E22" s="56">
        <f t="shared" si="15"/>
        <v>109380.00000000001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>SUM(C22:H22)</f>
        <v>444420.00000000006</v>
      </c>
      <c r="T22" s="54" t="s">
        <v>54</v>
      </c>
      <c r="AJ22" s="54" t="s">
        <v>55</v>
      </c>
      <c r="AK22" s="54" t="s">
        <v>54</v>
      </c>
    </row>
    <row r="23" spans="1:38">
      <c r="A23" s="52">
        <v>17</v>
      </c>
      <c r="B23" s="57" t="s">
        <v>56</v>
      </c>
      <c r="C23" s="61">
        <f>+C22+C21+C20+C19+C17</f>
        <v>1814052</v>
      </c>
      <c r="D23" s="61">
        <f t="shared" ref="D23:H23" si="16">+D22+D21+D20+D19+D17</f>
        <v>925656</v>
      </c>
      <c r="E23" s="61">
        <f t="shared" si="16"/>
        <v>929415</v>
      </c>
      <c r="F23" s="61">
        <f t="shared" si="16"/>
        <v>0</v>
      </c>
      <c r="G23" s="61">
        <f t="shared" si="16"/>
        <v>0</v>
      </c>
      <c r="H23" s="61">
        <f t="shared" si="16"/>
        <v>0</v>
      </c>
      <c r="I23" s="61">
        <f t="shared" ref="I23" si="17">+I22+I21+I20+I19+I17</f>
        <v>3669123</v>
      </c>
      <c r="T23" s="57" t="s">
        <v>56</v>
      </c>
      <c r="AJ23" s="54" t="s">
        <v>57</v>
      </c>
      <c r="AK23" s="57" t="s">
        <v>56</v>
      </c>
    </row>
    <row r="24" spans="1:38">
      <c r="A24" s="52">
        <v>18</v>
      </c>
      <c r="B24" s="62" t="s">
        <v>58</v>
      </c>
      <c r="C24" s="61">
        <f>+C15-C23</f>
        <v>-4153574.4</v>
      </c>
      <c r="D24" s="61">
        <f t="shared" ref="D24:H24" si="18">+D15-D23</f>
        <v>-1636423.2000000002</v>
      </c>
      <c r="E24" s="61">
        <f t="shared" si="18"/>
        <v>-1143976.2</v>
      </c>
      <c r="F24" s="61">
        <f t="shared" si="18"/>
        <v>0</v>
      </c>
      <c r="G24" s="61">
        <f t="shared" si="18"/>
        <v>0</v>
      </c>
      <c r="H24" s="61">
        <f t="shared" si="18"/>
        <v>0</v>
      </c>
      <c r="I24" s="61">
        <f t="shared" ref="I24" si="19">+I15-I23</f>
        <v>-6933973.8000000007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52">
        <v>19</v>
      </c>
      <c r="B25" s="54" t="s">
        <v>155</v>
      </c>
      <c r="C25" s="61">
        <f>IF(C24&lt;0,0,C24*0.25)</f>
        <v>0</v>
      </c>
      <c r="D25" s="61">
        <f t="shared" ref="D25:H25" si="20">IF(D24&lt;0,0,D24*0.25)</f>
        <v>0</v>
      </c>
      <c r="E25" s="61">
        <f t="shared" si="20"/>
        <v>0</v>
      </c>
      <c r="F25" s="61">
        <f t="shared" si="20"/>
        <v>0</v>
      </c>
      <c r="G25" s="61">
        <f t="shared" si="20"/>
        <v>0</v>
      </c>
      <c r="H25" s="61">
        <f t="shared" si="20"/>
        <v>0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52">
        <v>20</v>
      </c>
      <c r="B26" s="54" t="s">
        <v>62</v>
      </c>
      <c r="C26" s="61">
        <f t="shared" ref="C26:H26" si="22">C24-C25</f>
        <v>-4153574.4</v>
      </c>
      <c r="D26" s="61">
        <f t="shared" si="22"/>
        <v>-1636423.2000000002</v>
      </c>
      <c r="E26" s="61">
        <f t="shared" si="22"/>
        <v>-1143976.2</v>
      </c>
      <c r="F26" s="61">
        <f t="shared" si="22"/>
        <v>0</v>
      </c>
      <c r="G26" s="61">
        <f t="shared" si="22"/>
        <v>0</v>
      </c>
      <c r="H26" s="61">
        <f t="shared" si="22"/>
        <v>0</v>
      </c>
      <c r="I26" s="56">
        <f>SUM(C26:H26)</f>
        <v>-6933973.7999999998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52">
        <v>21</v>
      </c>
      <c r="B27" s="54" t="s">
        <v>66</v>
      </c>
      <c r="C27" s="63">
        <f t="shared" ref="C27:I27" si="23">C26/C7</f>
        <v>-0.37973801426220516</v>
      </c>
      <c r="D27" s="63">
        <f t="shared" ref="D27:H27" si="24">D26/D7</f>
        <v>-0.28146253869969046</v>
      </c>
      <c r="E27" s="63">
        <f t="shared" si="24"/>
        <v>-0.18669542227662178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>
        <f t="shared" si="23"/>
        <v>-0.30306491837671279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64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64">
        <v>2</v>
      </c>
      <c r="B32" s="54" t="s">
        <v>157</v>
      </c>
      <c r="C32" s="56">
        <f>C31*1</f>
        <v>364.6</v>
      </c>
      <c r="D32" s="56">
        <f t="shared" ref="D32:H32" si="25">D31*1</f>
        <v>387.6</v>
      </c>
      <c r="E32" s="56">
        <f t="shared" si="25"/>
        <v>408.5</v>
      </c>
      <c r="F32" s="56">
        <f t="shared" si="25"/>
        <v>0</v>
      </c>
      <c r="G32" s="56">
        <f t="shared" si="25"/>
        <v>0</v>
      </c>
      <c r="H32" s="56">
        <f t="shared" si="25"/>
        <v>0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64">
        <v>3</v>
      </c>
      <c r="B33" s="59" t="s">
        <v>76</v>
      </c>
      <c r="C33" s="56">
        <f>材料成本!D12</f>
        <v>408.02</v>
      </c>
      <c r="D33" s="56">
        <f>材料成本!E12</f>
        <v>398.24</v>
      </c>
      <c r="E33" s="56">
        <f>材料成本!F12</f>
        <v>388.24</v>
      </c>
      <c r="F33" s="56">
        <f>材料成本!G12</f>
        <v>0</v>
      </c>
      <c r="G33" s="56">
        <f>材料成本!H12</f>
        <v>0</v>
      </c>
      <c r="H33" s="56">
        <f>材料成本!I12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64">
        <v>4</v>
      </c>
      <c r="B34" s="54" t="s">
        <v>78</v>
      </c>
      <c r="C34" s="66">
        <f>C32-C33</f>
        <v>-43.419999999999959</v>
      </c>
      <c r="D34" s="66">
        <f t="shared" ref="D34:H34" si="26">D32-D33</f>
        <v>-10.639999999999986</v>
      </c>
      <c r="E34" s="66">
        <f t="shared" si="26"/>
        <v>20.259999999999991</v>
      </c>
      <c r="F34" s="66">
        <f t="shared" si="26"/>
        <v>0</v>
      </c>
      <c r="G34" s="66">
        <f t="shared" si="26"/>
        <v>0</v>
      </c>
      <c r="H34" s="66">
        <f t="shared" si="26"/>
        <v>0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64">
        <v>1</v>
      </c>
      <c r="B36" s="54" t="s">
        <v>81</v>
      </c>
      <c r="C36" s="60">
        <f>标准成本!E4</f>
        <v>15.714260000000001</v>
      </c>
      <c r="D36" s="60">
        <f>标准成本!E18</f>
        <v>16.705560000000002</v>
      </c>
      <c r="E36" s="60">
        <f>标准成本!E32</f>
        <v>15.714260000000001</v>
      </c>
      <c r="F36" s="60">
        <f>标准成本!E45</f>
        <v>0</v>
      </c>
      <c r="G36" s="60">
        <f>标准成本!E58</f>
        <v>0</v>
      </c>
      <c r="H36" s="60">
        <f>标准成本!E71</f>
        <v>0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64">
        <v>2</v>
      </c>
      <c r="B37" s="54" t="s">
        <v>82</v>
      </c>
      <c r="C37" s="60">
        <f>标准成本!E6</f>
        <v>7.9118200000000005</v>
      </c>
      <c r="D37" s="60">
        <f>标准成本!E20</f>
        <v>8.4109200000000008</v>
      </c>
      <c r="E37" s="60">
        <f>标准成本!E34</f>
        <v>7.9118200000000005</v>
      </c>
      <c r="F37" s="60">
        <f>标准成本!E47</f>
        <v>0</v>
      </c>
      <c r="G37" s="60">
        <f>标准成本!E60</f>
        <v>0</v>
      </c>
      <c r="H37" s="60">
        <f>标准成本!E73</f>
        <v>0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64">
        <v>3</v>
      </c>
      <c r="B38" s="54" t="s">
        <v>83</v>
      </c>
      <c r="C38" s="60">
        <f>标准成本!E10</f>
        <v>10.938000000000001</v>
      </c>
      <c r="D38" s="60">
        <f>标准成本!E24</f>
        <v>11.628</v>
      </c>
      <c r="E38" s="60">
        <f>标准成本!E38</f>
        <v>10.938000000000001</v>
      </c>
      <c r="F38" s="60">
        <f>标准成本!E51</f>
        <v>0</v>
      </c>
      <c r="G38" s="60">
        <f>标准成本!E64</f>
        <v>0</v>
      </c>
      <c r="H38" s="60">
        <f>标准成本!E77</f>
        <v>0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64">
        <v>1</v>
      </c>
      <c r="B40" s="54" t="s">
        <v>87</v>
      </c>
      <c r="C40" s="61">
        <f>C34-C36-C37-C38</f>
        <v>-77.984079999999963</v>
      </c>
      <c r="D40" s="61">
        <f t="shared" ref="D40:H40" si="27">D34-D36-D37-D38</f>
        <v>-47.384479999999989</v>
      </c>
      <c r="E40" s="61">
        <f t="shared" si="27"/>
        <v>-14.304080000000011</v>
      </c>
      <c r="F40" s="61">
        <f t="shared" si="27"/>
        <v>0</v>
      </c>
      <c r="G40" s="61">
        <f t="shared" si="27"/>
        <v>0</v>
      </c>
      <c r="H40" s="61">
        <f t="shared" si="27"/>
        <v>0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64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64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64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64">
        <v>3</v>
      </c>
      <c r="B45" s="62" t="s">
        <v>93</v>
      </c>
      <c r="C45" s="60">
        <f>C32*0.034</f>
        <v>12.396400000000002</v>
      </c>
      <c r="D45" s="60">
        <f t="shared" ref="D45:H45" si="28">D32*0.034</f>
        <v>13.178400000000002</v>
      </c>
      <c r="E45" s="60">
        <f t="shared" si="28"/>
        <v>13.889000000000001</v>
      </c>
      <c r="F45" s="60">
        <f t="shared" si="28"/>
        <v>0</v>
      </c>
      <c r="G45" s="60">
        <f t="shared" si="28"/>
        <v>0</v>
      </c>
      <c r="H45" s="60">
        <f t="shared" si="28"/>
        <v>0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64">
        <v>4</v>
      </c>
      <c r="B46" s="62" t="s">
        <v>94</v>
      </c>
      <c r="C46" s="67">
        <f>C21/C6</f>
        <v>15.594444444444443</v>
      </c>
      <c r="D46" s="67">
        <f t="shared" ref="D46:H46" si="29">D21/D6</f>
        <v>15.594444444444443</v>
      </c>
      <c r="E46" s="67">
        <f t="shared" si="29"/>
        <v>15.594444444444443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64">
        <v>5</v>
      </c>
      <c r="B47" s="62" t="s">
        <v>96</v>
      </c>
      <c r="C47" s="67">
        <f>标准成本!E11</f>
        <v>7.2920000000000007</v>
      </c>
      <c r="D47" s="67">
        <f>标准成本!E25</f>
        <v>7.7520000000000007</v>
      </c>
      <c r="E47" s="67">
        <f>标准成本!E39</f>
        <v>7.2920000000000007</v>
      </c>
      <c r="F47" s="67">
        <f>标准成本!E52</f>
        <v>0</v>
      </c>
      <c r="G47" s="67">
        <f>标准成本!E65</f>
        <v>0</v>
      </c>
      <c r="H47" s="67">
        <f>标准成本!E78</f>
        <v>0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>
        <f>C40-C43-C44-C45-C47-C46</f>
        <v>-113.26692444444441</v>
      </c>
      <c r="D48" s="61">
        <f t="shared" ref="D48:H48" si="30">D40-D43-D44-D45-D47-D46</f>
        <v>-83.909324444444437</v>
      </c>
      <c r="E48" s="61">
        <f t="shared" si="30"/>
        <v>-51.079524444444452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1" t="s">
        <v>147</v>
      </c>
      <c r="B1" s="201"/>
      <c r="C1" s="205" t="s">
        <v>250</v>
      </c>
      <c r="D1" s="206"/>
      <c r="E1" s="206"/>
      <c r="F1" s="206"/>
      <c r="G1" s="206"/>
      <c r="H1" s="206"/>
      <c r="I1" s="207"/>
    </row>
    <row r="2" spans="1:38">
      <c r="A2" s="201" t="s">
        <v>148</v>
      </c>
      <c r="B2" s="201"/>
      <c r="C2" s="208" t="str">
        <f>'2023年'!C2:I2</f>
        <v>北汽福田山东多功能</v>
      </c>
      <c r="D2" s="208"/>
      <c r="E2" s="208"/>
      <c r="F2" s="208"/>
      <c r="G2" s="208"/>
      <c r="H2" s="208"/>
      <c r="I2" s="208"/>
    </row>
    <row r="3" spans="1:38">
      <c r="A3" s="201" t="s">
        <v>149</v>
      </c>
      <c r="B3" s="201"/>
      <c r="C3" s="162" t="str">
        <f>销量!C5</f>
        <v>驾驶员座椅总成</v>
      </c>
      <c r="D3" s="162" t="str">
        <f>销量!D5</f>
        <v>副驾驶员座椅总成</v>
      </c>
      <c r="E3" s="162" t="str">
        <f>销量!E5</f>
        <v>副驾驶员座椅总成</v>
      </c>
      <c r="F3" s="162">
        <f>销量!F5</f>
        <v>0</v>
      </c>
      <c r="G3" s="162">
        <f>销量!G5</f>
        <v>0</v>
      </c>
      <c r="H3" s="162">
        <f>销量!H5</f>
        <v>0</v>
      </c>
      <c r="I3" s="202" t="s">
        <v>21</v>
      </c>
    </row>
    <row r="4" spans="1:38" ht="71.25">
      <c r="A4" s="201" t="s">
        <v>150</v>
      </c>
      <c r="B4" s="201"/>
      <c r="C4" s="162" t="str">
        <f>销量!C6</f>
        <v>在L168100000146双轴座椅基础上改单轴放平，面料换厂家，降本</v>
      </c>
      <c r="D4" s="162" t="str">
        <f>销量!D6</f>
        <v>在L168100000147双轴座椅基础上改单轴放平，面料换厂家，降本</v>
      </c>
      <c r="E4" s="162" t="str">
        <f>销量!E6</f>
        <v>在L168100000149双轴座椅基础上改单轴放平，面料换厂家，降本</v>
      </c>
      <c r="F4" s="162">
        <f>销量!F6</f>
        <v>0</v>
      </c>
      <c r="G4" s="162">
        <f>销量!G6</f>
        <v>0</v>
      </c>
      <c r="H4" s="162">
        <f>销量!H6</f>
        <v>0</v>
      </c>
      <c r="I4" s="203"/>
    </row>
    <row r="5" spans="1:38">
      <c r="A5" s="201" t="s">
        <v>151</v>
      </c>
      <c r="B5" s="201"/>
      <c r="C5" s="53"/>
      <c r="D5" s="53"/>
      <c r="E5" s="53"/>
      <c r="F5" s="53"/>
      <c r="G5" s="53"/>
      <c r="H5" s="53"/>
      <c r="I5" s="204"/>
      <c r="AL5" s="50" t="s">
        <v>22</v>
      </c>
    </row>
    <row r="6" spans="1:38" ht="17.25">
      <c r="A6" s="54" t="s">
        <v>19</v>
      </c>
      <c r="B6" s="55" t="s">
        <v>152</v>
      </c>
      <c r="C6" s="23">
        <f>销量!C10</f>
        <v>30000</v>
      </c>
      <c r="D6" s="23">
        <f>销量!D10</f>
        <v>15000</v>
      </c>
      <c r="E6" s="23">
        <f>销量!E10</f>
        <v>15000</v>
      </c>
      <c r="F6" s="23">
        <f>销量!F10</f>
        <v>0</v>
      </c>
      <c r="G6" s="23">
        <f>销量!G10</f>
        <v>0</v>
      </c>
      <c r="H6" s="23">
        <f>销量!H10</f>
        <v>0</v>
      </c>
      <c r="I6" s="56">
        <f>SUM(C6:H6)</f>
        <v>60000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1">
        <v>1</v>
      </c>
      <c r="B7" s="55" t="s">
        <v>24</v>
      </c>
      <c r="C7" s="56">
        <f>C6*销量!C8</f>
        <v>10938000</v>
      </c>
      <c r="D7" s="56">
        <f>D6*销量!D8</f>
        <v>5814000</v>
      </c>
      <c r="E7" s="56">
        <f>E6*销量!E8</f>
        <v>6127500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22879500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1">
        <v>2</v>
      </c>
      <c r="B8" s="161" t="s">
        <v>26</v>
      </c>
      <c r="C8" s="56">
        <f>C7*(1-销量!$L$7)</f>
        <v>328140.00000000029</v>
      </c>
      <c r="D8" s="56">
        <f>D7*(1-销量!$L$7)</f>
        <v>174420.00000000015</v>
      </c>
      <c r="E8" s="56">
        <f>E7*(1-销量!$L$7)</f>
        <v>183825.00000000017</v>
      </c>
      <c r="F8" s="56">
        <f>F7*(1-销量!$L$7)</f>
        <v>0</v>
      </c>
      <c r="G8" s="56">
        <f>G7*(1-销量!$L$7)</f>
        <v>0</v>
      </c>
      <c r="H8" s="56">
        <f>H7*(1-销量!$L$7)</f>
        <v>0</v>
      </c>
      <c r="I8" s="56">
        <f t="shared" ref="I8:I20" si="0">SUM(C8:H8)</f>
        <v>686385.0000000007</v>
      </c>
      <c r="J8" s="71"/>
      <c r="T8" s="161" t="s">
        <v>28</v>
      </c>
      <c r="AJ8" s="54" t="s">
        <v>27</v>
      </c>
      <c r="AK8" s="161" t="s">
        <v>28</v>
      </c>
      <c r="AL8" s="50" t="s">
        <v>23</v>
      </c>
    </row>
    <row r="9" spans="1:38">
      <c r="A9" s="161">
        <v>3</v>
      </c>
      <c r="B9" s="55" t="s">
        <v>29</v>
      </c>
      <c r="C9" s="56">
        <f>+C7-C8</f>
        <v>10609860</v>
      </c>
      <c r="D9" s="56">
        <f t="shared" ref="D9:H9" si="1">+D7-D8</f>
        <v>5639580</v>
      </c>
      <c r="E9" s="56">
        <f t="shared" si="1"/>
        <v>5943675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22193115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1">
        <v>4</v>
      </c>
      <c r="B10" s="54" t="s">
        <v>32</v>
      </c>
      <c r="C10" s="56">
        <f>C6*C33</f>
        <v>11873381.999999998</v>
      </c>
      <c r="D10" s="56">
        <f t="shared" ref="D10:H10" si="2">D6*D33</f>
        <v>5794392</v>
      </c>
      <c r="E10" s="56">
        <f t="shared" si="2"/>
        <v>5648892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23316666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1">
        <v>5</v>
      </c>
      <c r="B11" s="54" t="s">
        <v>35</v>
      </c>
      <c r="C11" s="56">
        <f>+C6*C36</f>
        <v>620640</v>
      </c>
      <c r="D11" s="56">
        <f>+D6*D36</f>
        <v>977507.99999999988</v>
      </c>
      <c r="E11" s="56">
        <f t="shared" ref="E11:H11" si="3">+E6*E36</f>
        <v>310320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1908468</v>
      </c>
      <c r="T11" s="54" t="s">
        <v>35</v>
      </c>
      <c r="AJ11" s="54" t="s">
        <v>36</v>
      </c>
      <c r="AK11" s="54" t="s">
        <v>35</v>
      </c>
    </row>
    <row r="12" spans="1:38">
      <c r="A12" s="161">
        <v>6</v>
      </c>
      <c r="B12" s="54" t="s">
        <v>37</v>
      </c>
      <c r="C12" s="56">
        <f>+C6*C37</f>
        <v>312480</v>
      </c>
      <c r="D12" s="56">
        <f t="shared" ref="D12:H12" si="4">+D6*D37</f>
        <v>492156</v>
      </c>
      <c r="E12" s="56">
        <f t="shared" si="4"/>
        <v>156240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960876</v>
      </c>
      <c r="T12" s="54" t="s">
        <v>37</v>
      </c>
      <c r="AJ12" s="54" t="s">
        <v>38</v>
      </c>
      <c r="AK12" s="54" t="s">
        <v>37</v>
      </c>
    </row>
    <row r="13" spans="1:38">
      <c r="A13" s="161">
        <v>7</v>
      </c>
      <c r="B13" s="54" t="s">
        <v>39</v>
      </c>
      <c r="C13" s="56">
        <f>+C6*C38</f>
        <v>575999.99999999988</v>
      </c>
      <c r="D13" s="56">
        <f t="shared" ref="D13:H13" si="5">+D6*D38</f>
        <v>907199.99999999988</v>
      </c>
      <c r="E13" s="56">
        <f t="shared" si="5"/>
        <v>287999.99999999994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1771199.9999999998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1">
        <v>8</v>
      </c>
      <c r="B14" s="57" t="s">
        <v>41</v>
      </c>
      <c r="C14" s="56">
        <f>SUM(C11:C13)</f>
        <v>1509120</v>
      </c>
      <c r="D14" s="56">
        <f t="shared" ref="D14:H14" si="6">SUM(D11:D13)</f>
        <v>2376864</v>
      </c>
      <c r="E14" s="56">
        <f t="shared" si="6"/>
        <v>754560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4640544</v>
      </c>
      <c r="T14" s="57" t="s">
        <v>41</v>
      </c>
      <c r="AJ14" s="54" t="s">
        <v>42</v>
      </c>
      <c r="AK14" s="57" t="s">
        <v>41</v>
      </c>
    </row>
    <row r="15" spans="1:38">
      <c r="A15" s="161">
        <v>9</v>
      </c>
      <c r="B15" s="57" t="s">
        <v>43</v>
      </c>
      <c r="C15" s="56">
        <f>+C9-C10-C14</f>
        <v>-2772641.9999999981</v>
      </c>
      <c r="D15" s="56">
        <f t="shared" ref="D15:H15" si="7">+D9-D10-D14</f>
        <v>-2531676</v>
      </c>
      <c r="E15" s="56">
        <f t="shared" si="7"/>
        <v>-459777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-5764094.9999999981</v>
      </c>
      <c r="T15" s="57" t="s">
        <v>43</v>
      </c>
      <c r="AJ15" s="54" t="s">
        <v>44</v>
      </c>
      <c r="AK15" s="57" t="s">
        <v>43</v>
      </c>
    </row>
    <row r="16" spans="1:38">
      <c r="A16" s="161">
        <v>10</v>
      </c>
      <c r="B16" s="54" t="s">
        <v>45</v>
      </c>
      <c r="C16" s="58">
        <f>+C15/C9</f>
        <v>-0.26132691666054009</v>
      </c>
      <c r="D16" s="58">
        <f t="shared" ref="D16:H16" si="8">+D15/D9</f>
        <v>-0.44891215303267262</v>
      </c>
      <c r="E16" s="58">
        <f t="shared" si="8"/>
        <v>-7.7355676412320662E-2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>
        <f t="shared" ref="I16" si="9">+I15/I9</f>
        <v>-0.25972446860208664</v>
      </c>
      <c r="T16" s="54" t="s">
        <v>45</v>
      </c>
      <c r="AJ16" s="54" t="s">
        <v>46</v>
      </c>
      <c r="AK16" s="54" t="s">
        <v>45</v>
      </c>
    </row>
    <row r="17" spans="1:38">
      <c r="A17" s="161">
        <v>11</v>
      </c>
      <c r="B17" s="54" t="s">
        <v>47</v>
      </c>
      <c r="C17" s="56">
        <f>C6*C43+C18</f>
        <v>755566.66666666663</v>
      </c>
      <c r="D17" s="56">
        <f t="shared" ref="D17:H17" si="10">D6*D43+D18</f>
        <v>377783.33333333331</v>
      </c>
      <c r="E17" s="56">
        <f t="shared" si="10"/>
        <v>377783.33333333331</v>
      </c>
      <c r="F17" s="56">
        <f t="shared" si="10"/>
        <v>0</v>
      </c>
      <c r="G17" s="56">
        <f t="shared" si="10"/>
        <v>0</v>
      </c>
      <c r="H17" s="56">
        <f t="shared" si="10"/>
        <v>0</v>
      </c>
      <c r="I17" s="56">
        <f t="shared" si="0"/>
        <v>1511133.3333333333</v>
      </c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1">
        <v>12</v>
      </c>
      <c r="B18" s="59" t="s">
        <v>153</v>
      </c>
      <c r="C18" s="60">
        <f>$I$18/$I$6*C6</f>
        <v>755566.66666666663</v>
      </c>
      <c r="D18" s="60">
        <f t="shared" ref="D18:H18" si="11">$I$18/$I$6*D6</f>
        <v>377783.33333333331</v>
      </c>
      <c r="E18" s="60">
        <f t="shared" si="11"/>
        <v>377783.33333333331</v>
      </c>
      <c r="F18" s="60">
        <f t="shared" si="11"/>
        <v>0</v>
      </c>
      <c r="G18" s="60">
        <f t="shared" si="11"/>
        <v>0</v>
      </c>
      <c r="H18" s="60">
        <f t="shared" si="11"/>
        <v>0</v>
      </c>
      <c r="I18" s="60">
        <f>项目投资!D26</f>
        <v>1511133.3333333333</v>
      </c>
      <c r="J18" s="72" t="s">
        <v>154</v>
      </c>
      <c r="K18" s="72"/>
      <c r="L18" s="72"/>
    </row>
    <row r="19" spans="1:38">
      <c r="A19" s="161">
        <v>13</v>
      </c>
      <c r="B19" s="54" t="s">
        <v>49</v>
      </c>
      <c r="C19" s="56">
        <f>C6*C44</f>
        <v>0</v>
      </c>
      <c r="D19" s="56">
        <f t="shared" ref="D19:H19" si="12">D6*D44</f>
        <v>0</v>
      </c>
      <c r="E19" s="56">
        <f t="shared" si="12"/>
        <v>0</v>
      </c>
      <c r="F19" s="56">
        <f t="shared" si="12"/>
        <v>0</v>
      </c>
      <c r="G19" s="56">
        <f t="shared" si="12"/>
        <v>0</v>
      </c>
      <c r="H19" s="56">
        <f t="shared" si="12"/>
        <v>0</v>
      </c>
      <c r="I19" s="56">
        <f>SUM(C19:C19)</f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1">
        <v>14</v>
      </c>
      <c r="B20" s="54" t="s">
        <v>51</v>
      </c>
      <c r="C20" s="56">
        <f>C6*C45</f>
        <v>360735.24000000005</v>
      </c>
      <c r="D20" s="56">
        <f t="shared" ref="D20:E20" si="13">D6*D45</f>
        <v>191745.72</v>
      </c>
      <c r="E20" s="56">
        <f t="shared" si="13"/>
        <v>202084.95</v>
      </c>
      <c r="F20" s="183"/>
      <c r="G20" s="56"/>
      <c r="H20" s="56"/>
      <c r="I20" s="56">
        <f t="shared" si="0"/>
        <v>754565.91000000015</v>
      </c>
      <c r="T20" s="54" t="s">
        <v>51</v>
      </c>
      <c r="AJ20" s="54" t="s">
        <v>52</v>
      </c>
      <c r="AK20" s="54" t="s">
        <v>51</v>
      </c>
    </row>
    <row r="21" spans="1:38">
      <c r="A21" s="161">
        <v>15</v>
      </c>
      <c r="B21" s="54" t="s">
        <v>53</v>
      </c>
      <c r="C21" s="61">
        <f>$I$21/$I$6*C6</f>
        <v>467833.33333333331</v>
      </c>
      <c r="D21" s="61">
        <f t="shared" ref="D21:H21" si="14">$I$21/$I$6*D6</f>
        <v>233916.66666666666</v>
      </c>
      <c r="E21" s="61">
        <f t="shared" si="14"/>
        <v>233916.66666666666</v>
      </c>
      <c r="F21" s="61">
        <f t="shared" si="14"/>
        <v>0</v>
      </c>
      <c r="G21" s="61">
        <f t="shared" si="14"/>
        <v>0</v>
      </c>
      <c r="H21" s="61">
        <f t="shared" si="14"/>
        <v>0</v>
      </c>
      <c r="I21" s="56">
        <f>项目投资!D27</f>
        <v>935666.66666666663</v>
      </c>
      <c r="T21" s="54" t="s">
        <v>53</v>
      </c>
      <c r="AJ21" s="54"/>
      <c r="AK21" s="54"/>
    </row>
    <row r="22" spans="1:38">
      <c r="A22" s="161">
        <v>16</v>
      </c>
      <c r="B22" s="54" t="s">
        <v>54</v>
      </c>
      <c r="C22" s="56">
        <f>C6*C47</f>
        <v>431999.99999999994</v>
      </c>
      <c r="D22" s="56">
        <f t="shared" ref="D22:H22" si="15">D6*D47</f>
        <v>680400</v>
      </c>
      <c r="E22" s="56">
        <f t="shared" si="15"/>
        <v>215999.99999999997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>SUM(C22:H22)</f>
        <v>1328400</v>
      </c>
      <c r="T22" s="54" t="s">
        <v>54</v>
      </c>
      <c r="AJ22" s="54" t="s">
        <v>55</v>
      </c>
      <c r="AK22" s="54" t="s">
        <v>54</v>
      </c>
    </row>
    <row r="23" spans="1:38">
      <c r="A23" s="161">
        <v>17</v>
      </c>
      <c r="B23" s="57" t="s">
        <v>56</v>
      </c>
      <c r="C23" s="61">
        <f>+C22+C21+C20+C19+C17</f>
        <v>2016135.2399999998</v>
      </c>
      <c r="D23" s="61">
        <f t="shared" ref="D23:H23" si="16">+D22+D21+D20+D19+D17</f>
        <v>1483845.72</v>
      </c>
      <c r="E23" s="61">
        <f t="shared" si="16"/>
        <v>1029784.95</v>
      </c>
      <c r="F23" s="61">
        <f t="shared" si="16"/>
        <v>0</v>
      </c>
      <c r="G23" s="61">
        <f t="shared" si="16"/>
        <v>0</v>
      </c>
      <c r="H23" s="61">
        <f t="shared" si="16"/>
        <v>0</v>
      </c>
      <c r="I23" s="61">
        <f t="shared" ref="I23" si="17">+I22+I21+I20+I19+I17</f>
        <v>4529765.91</v>
      </c>
      <c r="T23" s="57" t="s">
        <v>56</v>
      </c>
      <c r="AJ23" s="54" t="s">
        <v>57</v>
      </c>
      <c r="AK23" s="57" t="s">
        <v>56</v>
      </c>
    </row>
    <row r="24" spans="1:38">
      <c r="A24" s="161">
        <v>18</v>
      </c>
      <c r="B24" s="62" t="s">
        <v>58</v>
      </c>
      <c r="C24" s="61">
        <f>+C15-C23</f>
        <v>-4788777.2399999984</v>
      </c>
      <c r="D24" s="61">
        <f t="shared" ref="D24:H24" si="18">+D15-D23</f>
        <v>-4015521.7199999997</v>
      </c>
      <c r="E24" s="61">
        <f t="shared" si="18"/>
        <v>-1489561.95</v>
      </c>
      <c r="F24" s="61">
        <f t="shared" si="18"/>
        <v>0</v>
      </c>
      <c r="G24" s="61">
        <f t="shared" si="18"/>
        <v>0</v>
      </c>
      <c r="H24" s="61">
        <f t="shared" si="18"/>
        <v>0</v>
      </c>
      <c r="I24" s="61">
        <f t="shared" ref="I24" si="19">+I15-I23</f>
        <v>-10293860.909999998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1">
        <v>19</v>
      </c>
      <c r="B25" s="54" t="s">
        <v>155</v>
      </c>
      <c r="C25" s="61">
        <f>IF(C24&lt;0,0,C24*0.25)</f>
        <v>0</v>
      </c>
      <c r="D25" s="61">
        <f t="shared" ref="D25:H25" si="20">IF(D24&lt;0,0,D24*0.25)</f>
        <v>0</v>
      </c>
      <c r="E25" s="61">
        <f t="shared" si="20"/>
        <v>0</v>
      </c>
      <c r="F25" s="61">
        <f t="shared" si="20"/>
        <v>0</v>
      </c>
      <c r="G25" s="61">
        <f t="shared" si="20"/>
        <v>0</v>
      </c>
      <c r="H25" s="61">
        <f t="shared" si="20"/>
        <v>0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1">
        <v>20</v>
      </c>
      <c r="B26" s="54" t="s">
        <v>62</v>
      </c>
      <c r="C26" s="61">
        <f t="shared" ref="C26:H26" si="22">C24-C25</f>
        <v>-4788777.2399999984</v>
      </c>
      <c r="D26" s="61">
        <f t="shared" si="22"/>
        <v>-4015521.7199999997</v>
      </c>
      <c r="E26" s="61">
        <f t="shared" si="22"/>
        <v>-1489561.95</v>
      </c>
      <c r="F26" s="61">
        <f t="shared" si="22"/>
        <v>0</v>
      </c>
      <c r="G26" s="61">
        <f t="shared" si="22"/>
        <v>0</v>
      </c>
      <c r="H26" s="61">
        <f t="shared" si="22"/>
        <v>0</v>
      </c>
      <c r="I26" s="56">
        <f>SUM(C26:H26)</f>
        <v>-10293860.909999996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1">
        <v>21</v>
      </c>
      <c r="B27" s="54" t="s">
        <v>66</v>
      </c>
      <c r="C27" s="63">
        <f t="shared" ref="C27:I27" si="23">C26/C7</f>
        <v>-0.43781104772353246</v>
      </c>
      <c r="D27" s="63">
        <f t="shared" ref="D27:H27" si="24">D26/D7</f>
        <v>-0.69066421052631577</v>
      </c>
      <c r="E27" s="63">
        <f t="shared" si="24"/>
        <v>-0.24309456548347613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>
        <f t="shared" si="23"/>
        <v>-0.44991634039205386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1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1">
        <v>2</v>
      </c>
      <c r="B32" s="54" t="s">
        <v>157</v>
      </c>
      <c r="C32" s="56">
        <f>C9/C6</f>
        <v>353.66199999999998</v>
      </c>
      <c r="D32" s="56">
        <f t="shared" ref="D32:H32" si="25">D9/D6</f>
        <v>375.97199999999998</v>
      </c>
      <c r="E32" s="56">
        <f t="shared" si="25"/>
        <v>396.245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1">
        <v>3</v>
      </c>
      <c r="B33" s="59" t="s">
        <v>76</v>
      </c>
      <c r="C33" s="56">
        <f>材料成本!D14</f>
        <v>395.77939999999995</v>
      </c>
      <c r="D33" s="56">
        <f>材料成本!E14</f>
        <v>386.2928</v>
      </c>
      <c r="E33" s="56">
        <f>材料成本!F14</f>
        <v>376.59280000000001</v>
      </c>
      <c r="F33" s="56">
        <f>材料成本!G14</f>
        <v>0</v>
      </c>
      <c r="G33" s="56">
        <f>材料成本!H14</f>
        <v>0</v>
      </c>
      <c r="H33" s="56">
        <f>材料成本!I14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1">
        <v>4</v>
      </c>
      <c r="B34" s="54" t="s">
        <v>78</v>
      </c>
      <c r="C34" s="66">
        <f>C32-C33</f>
        <v>-42.117399999999975</v>
      </c>
      <c r="D34" s="66">
        <f t="shared" ref="D34:H34" si="26">D32-D33</f>
        <v>-10.32080000000002</v>
      </c>
      <c r="E34" s="66">
        <f t="shared" si="26"/>
        <v>19.652199999999993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1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1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1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1">
        <v>1</v>
      </c>
      <c r="B40" s="54" t="s">
        <v>87</v>
      </c>
      <c r="C40" s="61">
        <f>C34-C36-C37-C38</f>
        <v>-92.421399999999977</v>
      </c>
      <c r="D40" s="61">
        <f t="shared" ref="D40:H40" si="27">D34-D36-D37-D38</f>
        <v>-168.7784</v>
      </c>
      <c r="E40" s="61">
        <f t="shared" si="27"/>
        <v>-30.651800000000001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1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1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1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1">
        <v>3</v>
      </c>
      <c r="B45" s="62" t="s">
        <v>93</v>
      </c>
      <c r="C45" s="60">
        <f t="shared" ref="C45:H45" si="28">C32*0.034</f>
        <v>12.024508000000001</v>
      </c>
      <c r="D45" s="60">
        <f t="shared" si="28"/>
        <v>12.783048000000001</v>
      </c>
      <c r="E45" s="60">
        <f t="shared" si="28"/>
        <v>13.472330000000001</v>
      </c>
      <c r="F45" s="60" t="e">
        <f t="shared" si="28"/>
        <v>#DIV/0!</v>
      </c>
      <c r="G45" s="60" t="e">
        <f t="shared" si="28"/>
        <v>#DIV/0!</v>
      </c>
      <c r="H45" s="60" t="e">
        <f t="shared" si="28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1">
        <v>4</v>
      </c>
      <c r="B46" s="62" t="s">
        <v>94</v>
      </c>
      <c r="C46" s="67">
        <f>C21/C6</f>
        <v>15.594444444444443</v>
      </c>
      <c r="D46" s="67">
        <f t="shared" ref="D46:H46" si="29">D21/D6</f>
        <v>15.594444444444443</v>
      </c>
      <c r="E46" s="67">
        <f t="shared" si="29"/>
        <v>15.594444444444443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1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>
        <f>C40-C43-C44-C45-C47-C46</f>
        <v>-134.44035244444441</v>
      </c>
      <c r="D48" s="61">
        <f t="shared" ref="D48:H48" si="30">D40-D43-D44-D45-D47-D46</f>
        <v>-242.51589244444443</v>
      </c>
      <c r="E48" s="61">
        <f t="shared" si="30"/>
        <v>-74.118574444444448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13" sqref="G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1" t="s">
        <v>147</v>
      </c>
      <c r="B1" s="201"/>
      <c r="C1" s="205" t="s">
        <v>251</v>
      </c>
      <c r="D1" s="206"/>
      <c r="E1" s="206"/>
      <c r="F1" s="206"/>
      <c r="G1" s="206"/>
      <c r="H1" s="206"/>
      <c r="I1" s="207"/>
    </row>
    <row r="2" spans="1:38">
      <c r="A2" s="201" t="s">
        <v>148</v>
      </c>
      <c r="B2" s="201"/>
      <c r="C2" s="208" t="str">
        <f>'2023年'!C2:I2</f>
        <v>北汽福田山东多功能</v>
      </c>
      <c r="D2" s="208"/>
      <c r="E2" s="208"/>
      <c r="F2" s="208"/>
      <c r="G2" s="208"/>
      <c r="H2" s="208"/>
      <c r="I2" s="208"/>
    </row>
    <row r="3" spans="1:38">
      <c r="A3" s="201" t="s">
        <v>149</v>
      </c>
      <c r="B3" s="201"/>
      <c r="C3" s="162" t="str">
        <f>销量!C5</f>
        <v>驾驶员座椅总成</v>
      </c>
      <c r="D3" s="162" t="str">
        <f>销量!D5</f>
        <v>副驾驶员座椅总成</v>
      </c>
      <c r="E3" s="162" t="str">
        <f>销量!E5</f>
        <v>副驾驶员座椅总成</v>
      </c>
      <c r="F3" s="162">
        <f>销量!F5</f>
        <v>0</v>
      </c>
      <c r="G3" s="162">
        <f>销量!G5</f>
        <v>0</v>
      </c>
      <c r="H3" s="162">
        <f>销量!H5</f>
        <v>0</v>
      </c>
      <c r="I3" s="202" t="s">
        <v>21</v>
      </c>
    </row>
    <row r="4" spans="1:38" ht="71.25">
      <c r="A4" s="201" t="s">
        <v>150</v>
      </c>
      <c r="B4" s="201"/>
      <c r="C4" s="162" t="str">
        <f>销量!C6</f>
        <v>在L168100000146双轴座椅基础上改单轴放平，面料换厂家，降本</v>
      </c>
      <c r="D4" s="162" t="str">
        <f>销量!D6</f>
        <v>在L168100000147双轴座椅基础上改单轴放平，面料换厂家，降本</v>
      </c>
      <c r="E4" s="162" t="str">
        <f>销量!E6</f>
        <v>在L168100000149双轴座椅基础上改单轴放平，面料换厂家，降本</v>
      </c>
      <c r="F4" s="162">
        <f>销量!F6</f>
        <v>0</v>
      </c>
      <c r="G4" s="162">
        <f>销量!G6</f>
        <v>0</v>
      </c>
      <c r="H4" s="162">
        <f>销量!H6</f>
        <v>0</v>
      </c>
      <c r="I4" s="203"/>
    </row>
    <row r="5" spans="1:38">
      <c r="A5" s="201" t="s">
        <v>151</v>
      </c>
      <c r="B5" s="201"/>
      <c r="C5" s="53"/>
      <c r="D5" s="53"/>
      <c r="E5" s="53"/>
      <c r="F5" s="53"/>
      <c r="G5" s="53"/>
      <c r="H5" s="53"/>
      <c r="I5" s="204"/>
      <c r="AL5" s="50" t="s">
        <v>22</v>
      </c>
    </row>
    <row r="6" spans="1:38" ht="17.25">
      <c r="A6" s="54" t="s">
        <v>19</v>
      </c>
      <c r="B6" s="55" t="s">
        <v>152</v>
      </c>
      <c r="C6" s="23">
        <f>销量!C11</f>
        <v>30000</v>
      </c>
      <c r="D6" s="23">
        <f>销量!D11</f>
        <v>15000</v>
      </c>
      <c r="E6" s="23">
        <f>销量!E11</f>
        <v>15000</v>
      </c>
      <c r="F6" s="23">
        <f>销量!F11</f>
        <v>0</v>
      </c>
      <c r="G6" s="23">
        <f>销量!G11</f>
        <v>0</v>
      </c>
      <c r="H6" s="23">
        <f>销量!H11</f>
        <v>0</v>
      </c>
      <c r="I6" s="56">
        <f>SUM(C6:H6)</f>
        <v>60000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1">
        <v>1</v>
      </c>
      <c r="B7" s="55" t="s">
        <v>24</v>
      </c>
      <c r="C7" s="56">
        <f>C6*销量!C8</f>
        <v>10938000</v>
      </c>
      <c r="D7" s="56">
        <f>D6*销量!D8</f>
        <v>5814000</v>
      </c>
      <c r="E7" s="56">
        <f>E6*销量!E8</f>
        <v>6127500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22879500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1">
        <v>2</v>
      </c>
      <c r="B8" s="161" t="s">
        <v>26</v>
      </c>
      <c r="C8" s="56">
        <f>C7*(1-销量!$L$8)</f>
        <v>646435.79999999923</v>
      </c>
      <c r="D8" s="56">
        <f>D7*(1-销量!$L$8)</f>
        <v>343607.39999999962</v>
      </c>
      <c r="E8" s="56">
        <f>E7*(1-销量!$L$8)</f>
        <v>362135.24999999959</v>
      </c>
      <c r="F8" s="56">
        <f>F7*(1-销量!$L$8)</f>
        <v>0</v>
      </c>
      <c r="G8" s="56">
        <f>G7*(1-销量!$L$8)</f>
        <v>0</v>
      </c>
      <c r="H8" s="56">
        <f>H7*(1-销量!$L$8)</f>
        <v>0</v>
      </c>
      <c r="I8" s="56">
        <f t="shared" ref="I8:I15" si="0">SUM(C8:H8)</f>
        <v>1352178.4499999983</v>
      </c>
      <c r="J8" s="71"/>
      <c r="T8" s="161" t="s">
        <v>28</v>
      </c>
      <c r="AJ8" s="54" t="s">
        <v>27</v>
      </c>
      <c r="AK8" s="161" t="s">
        <v>28</v>
      </c>
      <c r="AL8" s="50" t="s">
        <v>23</v>
      </c>
    </row>
    <row r="9" spans="1:38">
      <c r="A9" s="161">
        <v>3</v>
      </c>
      <c r="B9" s="55" t="s">
        <v>29</v>
      </c>
      <c r="C9" s="56">
        <f>+C7-C8</f>
        <v>10291564.200000001</v>
      </c>
      <c r="D9" s="56">
        <f t="shared" ref="D9:H9" si="1">+D7-D8</f>
        <v>5470392.6000000006</v>
      </c>
      <c r="E9" s="56">
        <f t="shared" si="1"/>
        <v>5765364.75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21527321.550000001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1">
        <v>4</v>
      </c>
      <c r="B10" s="54" t="s">
        <v>32</v>
      </c>
      <c r="C10" s="56">
        <f>C6*C33</f>
        <v>11517180.539999999</v>
      </c>
      <c r="D10" s="56">
        <f t="shared" ref="D10:H10" si="2">D6*D33</f>
        <v>5620560.2399999993</v>
      </c>
      <c r="E10" s="56">
        <f t="shared" si="2"/>
        <v>5479425.2399999993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22617166.019999996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1">
        <v>5</v>
      </c>
      <c r="B11" s="54" t="s">
        <v>35</v>
      </c>
      <c r="C11" s="56">
        <f>+C6*C36</f>
        <v>620640</v>
      </c>
      <c r="D11" s="56">
        <f t="shared" ref="D11:H11" si="3">+D6*D36</f>
        <v>977507.99999999988</v>
      </c>
      <c r="E11" s="56">
        <f t="shared" si="3"/>
        <v>310320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1908468</v>
      </c>
      <c r="T11" s="54" t="s">
        <v>35</v>
      </c>
      <c r="AJ11" s="54" t="s">
        <v>36</v>
      </c>
      <c r="AK11" s="54" t="s">
        <v>35</v>
      </c>
    </row>
    <row r="12" spans="1:38">
      <c r="A12" s="161">
        <v>6</v>
      </c>
      <c r="B12" s="54" t="s">
        <v>37</v>
      </c>
      <c r="C12" s="56">
        <f>+C6*C37</f>
        <v>312480</v>
      </c>
      <c r="D12" s="56">
        <f t="shared" ref="D12:H12" si="4">+D6*D37</f>
        <v>492156</v>
      </c>
      <c r="E12" s="56">
        <f t="shared" si="4"/>
        <v>156240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960876</v>
      </c>
      <c r="T12" s="54" t="s">
        <v>37</v>
      </c>
      <c r="AJ12" s="54" t="s">
        <v>38</v>
      </c>
      <c r="AK12" s="54" t="s">
        <v>37</v>
      </c>
    </row>
    <row r="13" spans="1:38">
      <c r="A13" s="161">
        <v>7</v>
      </c>
      <c r="B13" s="54" t="s">
        <v>39</v>
      </c>
      <c r="C13" s="56">
        <f>+C6*C38</f>
        <v>575999.99999999988</v>
      </c>
      <c r="D13" s="56">
        <f t="shared" ref="D13:H13" si="5">+D6*D38</f>
        <v>907199.99999999988</v>
      </c>
      <c r="E13" s="56">
        <f t="shared" si="5"/>
        <v>287999.99999999994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1771199.9999999998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1">
        <v>8</v>
      </c>
      <c r="B14" s="57" t="s">
        <v>41</v>
      </c>
      <c r="C14" s="56">
        <f>SUM(C11:C13)</f>
        <v>1509120</v>
      </c>
      <c r="D14" s="56">
        <f t="shared" ref="D14:H14" si="6">SUM(D11:D13)</f>
        <v>2376864</v>
      </c>
      <c r="E14" s="56">
        <f t="shared" si="6"/>
        <v>754560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4640544</v>
      </c>
      <c r="T14" s="57" t="s">
        <v>41</v>
      </c>
      <c r="AJ14" s="54" t="s">
        <v>42</v>
      </c>
      <c r="AK14" s="57" t="s">
        <v>41</v>
      </c>
    </row>
    <row r="15" spans="1:38">
      <c r="A15" s="161">
        <v>9</v>
      </c>
      <c r="B15" s="57" t="s">
        <v>43</v>
      </c>
      <c r="C15" s="56">
        <f>+C9-C10-C14</f>
        <v>-2734736.339999998</v>
      </c>
      <c r="D15" s="56">
        <f t="shared" ref="D15:H15" si="7">+D9-D10-D14</f>
        <v>-2527031.6399999987</v>
      </c>
      <c r="E15" s="56">
        <f t="shared" si="7"/>
        <v>-468620.48999999929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-5730388.469999996</v>
      </c>
      <c r="T15" s="57" t="s">
        <v>43</v>
      </c>
      <c r="AJ15" s="54" t="s">
        <v>44</v>
      </c>
      <c r="AK15" s="57" t="s">
        <v>43</v>
      </c>
    </row>
    <row r="16" spans="1:38">
      <c r="A16" s="161">
        <v>10</v>
      </c>
      <c r="B16" s="54" t="s">
        <v>45</v>
      </c>
      <c r="C16" s="58">
        <f>+C15/C9</f>
        <v>-0.26572601471018348</v>
      </c>
      <c r="D16" s="58">
        <f t="shared" ref="D16:H16" si="8">+D15/D9</f>
        <v>-0.46194703466072956</v>
      </c>
      <c r="E16" s="58">
        <f t="shared" si="8"/>
        <v>-8.1282019494083063E-2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>
        <f t="shared" ref="I16" si="9">+I15/I9</f>
        <v>-0.266191428259685</v>
      </c>
      <c r="T16" s="54" t="s">
        <v>45</v>
      </c>
      <c r="AJ16" s="54" t="s">
        <v>46</v>
      </c>
      <c r="AK16" s="54" t="s">
        <v>45</v>
      </c>
    </row>
    <row r="17" spans="1:38">
      <c r="A17" s="161">
        <v>11</v>
      </c>
      <c r="B17" s="54" t="s">
        <v>47</v>
      </c>
      <c r="C17" s="56">
        <f>C6*C43+C18</f>
        <v>755566.66666666663</v>
      </c>
      <c r="D17" s="56">
        <f t="shared" ref="D17:H17" si="10">D6*D43+D18</f>
        <v>377783.33333333331</v>
      </c>
      <c r="E17" s="56">
        <f t="shared" si="10"/>
        <v>377783.33333333331</v>
      </c>
      <c r="F17" s="56">
        <f t="shared" si="10"/>
        <v>0</v>
      </c>
      <c r="G17" s="56">
        <f t="shared" si="10"/>
        <v>0</v>
      </c>
      <c r="H17" s="56">
        <f t="shared" si="10"/>
        <v>0</v>
      </c>
      <c r="I17" s="56">
        <f>SUM(C17:H17)</f>
        <v>1511133.3333333333</v>
      </c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1">
        <v>12</v>
      </c>
      <c r="B18" s="59" t="s">
        <v>153</v>
      </c>
      <c r="C18" s="60">
        <f>$I$18/$I$6*C6</f>
        <v>755566.66666666663</v>
      </c>
      <c r="D18" s="60">
        <f t="shared" ref="D18:H18" si="11">$I$18/$I$6*D6</f>
        <v>377783.33333333331</v>
      </c>
      <c r="E18" s="60">
        <f t="shared" si="11"/>
        <v>377783.33333333331</v>
      </c>
      <c r="F18" s="60">
        <f t="shared" si="11"/>
        <v>0</v>
      </c>
      <c r="G18" s="60">
        <f t="shared" si="11"/>
        <v>0</v>
      </c>
      <c r="H18" s="60">
        <f t="shared" si="11"/>
        <v>0</v>
      </c>
      <c r="I18" s="60">
        <f>项目投资!D26</f>
        <v>1511133.3333333333</v>
      </c>
      <c r="J18" s="72" t="s">
        <v>154</v>
      </c>
      <c r="K18" s="72"/>
      <c r="L18" s="72"/>
    </row>
    <row r="19" spans="1:38">
      <c r="A19" s="161">
        <v>13</v>
      </c>
      <c r="B19" s="54" t="s">
        <v>49</v>
      </c>
      <c r="C19" s="56">
        <f>C6*C44</f>
        <v>0</v>
      </c>
      <c r="D19" s="56">
        <f t="shared" ref="D19:H19" si="12">D6*D44</f>
        <v>0</v>
      </c>
      <c r="E19" s="56">
        <f t="shared" si="12"/>
        <v>0</v>
      </c>
      <c r="F19" s="56">
        <f t="shared" si="12"/>
        <v>0</v>
      </c>
      <c r="G19" s="56">
        <f t="shared" si="12"/>
        <v>0</v>
      </c>
      <c r="H19" s="56">
        <f t="shared" si="12"/>
        <v>0</v>
      </c>
      <c r="I19" s="56">
        <f>SUM(C19:C19)</f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1">
        <v>14</v>
      </c>
      <c r="B20" s="54" t="s">
        <v>51</v>
      </c>
      <c r="C20" s="56">
        <f>C6*C45</f>
        <v>349913.18280000007</v>
      </c>
      <c r="D20" s="56">
        <f t="shared" ref="D20:E20" si="13">D6*D45</f>
        <v>185993.34840000005</v>
      </c>
      <c r="E20" s="56">
        <f t="shared" si="13"/>
        <v>196022.40150000001</v>
      </c>
      <c r="F20" s="56"/>
      <c r="G20" s="56"/>
      <c r="H20" s="56"/>
      <c r="I20" s="56">
        <f>SUM(C20:H20)</f>
        <v>731928.93270000012</v>
      </c>
      <c r="T20" s="54" t="s">
        <v>51</v>
      </c>
      <c r="AJ20" s="54" t="s">
        <v>52</v>
      </c>
      <c r="AK20" s="54" t="s">
        <v>51</v>
      </c>
    </row>
    <row r="21" spans="1:38">
      <c r="A21" s="161">
        <v>15</v>
      </c>
      <c r="B21" s="54" t="s">
        <v>53</v>
      </c>
      <c r="C21" s="61">
        <f>$I$21/$I$6*C6</f>
        <v>467833.33333333331</v>
      </c>
      <c r="D21" s="61">
        <f t="shared" ref="D21:H21" si="14">$I$21/$I$6*D6</f>
        <v>233916.66666666666</v>
      </c>
      <c r="E21" s="61">
        <f t="shared" si="14"/>
        <v>233916.66666666666</v>
      </c>
      <c r="F21" s="61">
        <f t="shared" si="14"/>
        <v>0</v>
      </c>
      <c r="G21" s="61">
        <f t="shared" si="14"/>
        <v>0</v>
      </c>
      <c r="H21" s="61">
        <f t="shared" si="14"/>
        <v>0</v>
      </c>
      <c r="I21" s="56">
        <f>项目投资!D27</f>
        <v>935666.66666666663</v>
      </c>
      <c r="T21" s="54" t="s">
        <v>53</v>
      </c>
      <c r="AJ21" s="54"/>
      <c r="AK21" s="54"/>
    </row>
    <row r="22" spans="1:38">
      <c r="A22" s="161">
        <v>16</v>
      </c>
      <c r="B22" s="54" t="s">
        <v>54</v>
      </c>
      <c r="C22" s="56">
        <f>C6*C47</f>
        <v>431999.99999999994</v>
      </c>
      <c r="D22" s="56">
        <f t="shared" ref="D22:H22" si="15">D6*D47</f>
        <v>680400</v>
      </c>
      <c r="E22" s="56">
        <f t="shared" si="15"/>
        <v>215999.99999999997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>SUM(C22:H22)</f>
        <v>1328400</v>
      </c>
      <c r="T22" s="54" t="s">
        <v>54</v>
      </c>
      <c r="AJ22" s="54" t="s">
        <v>55</v>
      </c>
      <c r="AK22" s="54" t="s">
        <v>54</v>
      </c>
    </row>
    <row r="23" spans="1:38">
      <c r="A23" s="161">
        <v>17</v>
      </c>
      <c r="B23" s="57" t="s">
        <v>56</v>
      </c>
      <c r="C23" s="61">
        <f>+C22+C21+C20+C19+C17</f>
        <v>2005313.1828000001</v>
      </c>
      <c r="D23" s="61">
        <f t="shared" ref="D23:H23" si="16">+D22+D21+D20+D19+D17</f>
        <v>1478093.3484</v>
      </c>
      <c r="E23" s="61">
        <f t="shared" si="16"/>
        <v>1023722.4014999999</v>
      </c>
      <c r="F23" s="61">
        <f t="shared" si="16"/>
        <v>0</v>
      </c>
      <c r="G23" s="61">
        <f t="shared" si="16"/>
        <v>0</v>
      </c>
      <c r="H23" s="61">
        <f t="shared" si="16"/>
        <v>0</v>
      </c>
      <c r="I23" s="61">
        <f t="shared" ref="I23" si="17">+I22+I21+I20+I19+I17</f>
        <v>4507128.9326999998</v>
      </c>
      <c r="T23" s="57" t="s">
        <v>56</v>
      </c>
      <c r="AJ23" s="54" t="s">
        <v>57</v>
      </c>
      <c r="AK23" s="57" t="s">
        <v>56</v>
      </c>
    </row>
    <row r="24" spans="1:38">
      <c r="A24" s="161">
        <v>18</v>
      </c>
      <c r="B24" s="62" t="s">
        <v>58</v>
      </c>
      <c r="C24" s="61">
        <f>+C15-C23</f>
        <v>-4740049.5227999985</v>
      </c>
      <c r="D24" s="61">
        <f t="shared" ref="D24:H24" si="18">+D15-D23</f>
        <v>-4005124.9883999988</v>
      </c>
      <c r="E24" s="61">
        <f t="shared" si="18"/>
        <v>-1492342.8914999992</v>
      </c>
      <c r="F24" s="61">
        <f t="shared" si="18"/>
        <v>0</v>
      </c>
      <c r="G24" s="61">
        <f t="shared" si="18"/>
        <v>0</v>
      </c>
      <c r="H24" s="61">
        <f t="shared" si="18"/>
        <v>0</v>
      </c>
      <c r="I24" s="61">
        <f t="shared" ref="I24" si="19">+I15-I23</f>
        <v>-10237517.402699996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1">
        <v>19</v>
      </c>
      <c r="B25" s="54" t="s">
        <v>155</v>
      </c>
      <c r="C25" s="61">
        <f>IF(C24&lt;0,0,C24*0.25)</f>
        <v>0</v>
      </c>
      <c r="D25" s="61">
        <f t="shared" ref="D25:H25" si="20">IF(D24&lt;0,0,D24*0.25)</f>
        <v>0</v>
      </c>
      <c r="E25" s="61">
        <f t="shared" si="20"/>
        <v>0</v>
      </c>
      <c r="F25" s="61">
        <f t="shared" si="20"/>
        <v>0</v>
      </c>
      <c r="G25" s="61">
        <f t="shared" si="20"/>
        <v>0</v>
      </c>
      <c r="H25" s="61">
        <f t="shared" si="20"/>
        <v>0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1">
        <v>20</v>
      </c>
      <c r="B26" s="54" t="s">
        <v>62</v>
      </c>
      <c r="C26" s="61">
        <f t="shared" ref="C26:H26" si="22">C24-C25</f>
        <v>-4740049.5227999985</v>
      </c>
      <c r="D26" s="61">
        <f t="shared" si="22"/>
        <v>-4005124.9883999988</v>
      </c>
      <c r="E26" s="61">
        <f t="shared" si="22"/>
        <v>-1492342.8914999992</v>
      </c>
      <c r="F26" s="61">
        <f t="shared" si="22"/>
        <v>0</v>
      </c>
      <c r="G26" s="61">
        <f t="shared" si="22"/>
        <v>0</v>
      </c>
      <c r="H26" s="61">
        <f t="shared" si="22"/>
        <v>0</v>
      </c>
      <c r="I26" s="56">
        <f>+SUM(C26:C26)</f>
        <v>-4740049.5227999985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1">
        <v>21</v>
      </c>
      <c r="B27" s="54" t="s">
        <v>66</v>
      </c>
      <c r="C27" s="63">
        <f t="shared" ref="C27:I27" si="23">C26/C7</f>
        <v>-0.43335614580362025</v>
      </c>
      <c r="D27" s="63">
        <f t="shared" ref="D27:H27" si="24">D26/D7</f>
        <v>-0.68887598699690378</v>
      </c>
      <c r="E27" s="63">
        <f t="shared" si="24"/>
        <v>-0.24354841150550782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>
        <f t="shared" si="23"/>
        <v>-0.20717452404117218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1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1">
        <v>2</v>
      </c>
      <c r="B32" s="54" t="s">
        <v>157</v>
      </c>
      <c r="C32" s="56">
        <f>C9/C6</f>
        <v>343.05214000000007</v>
      </c>
      <c r="D32" s="56">
        <f t="shared" ref="D32:H32" si="25">D9/D6</f>
        <v>364.69284000000005</v>
      </c>
      <c r="E32" s="56">
        <f t="shared" si="25"/>
        <v>384.35764999999998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1">
        <v>3</v>
      </c>
      <c r="B33" s="59" t="s">
        <v>76</v>
      </c>
      <c r="C33" s="56">
        <f>材料成本!D15</f>
        <v>383.90601799999996</v>
      </c>
      <c r="D33" s="56">
        <f>材料成本!E15</f>
        <v>374.70401599999997</v>
      </c>
      <c r="E33" s="56">
        <f>材料成本!F15</f>
        <v>365.29501599999998</v>
      </c>
      <c r="F33" s="56">
        <f>材料成本!G15</f>
        <v>0</v>
      </c>
      <c r="G33" s="56">
        <f>材料成本!H15</f>
        <v>0</v>
      </c>
      <c r="H33" s="56">
        <f>材料成本!I15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1">
        <v>4</v>
      </c>
      <c r="B34" s="54" t="s">
        <v>78</v>
      </c>
      <c r="C34" s="66">
        <f>C32-C33</f>
        <v>-40.853877999999895</v>
      </c>
      <c r="D34" s="66">
        <f t="shared" ref="D34:H34" si="26">D32-D33</f>
        <v>-10.011175999999921</v>
      </c>
      <c r="E34" s="66">
        <f t="shared" si="26"/>
        <v>19.062634000000003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1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1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1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1">
        <v>1</v>
      </c>
      <c r="B40" s="54" t="s">
        <v>87</v>
      </c>
      <c r="C40" s="61">
        <f>C34-C36-C37-C38</f>
        <v>-91.157877999999897</v>
      </c>
      <c r="D40" s="61">
        <f t="shared" ref="D40:H40" si="27">D34-D36-D37-D38</f>
        <v>-168.46877599999991</v>
      </c>
      <c r="E40" s="61">
        <f t="shared" si="27"/>
        <v>-31.241365999999992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1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1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1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1">
        <v>3</v>
      </c>
      <c r="B45" s="62" t="s">
        <v>93</v>
      </c>
      <c r="C45" s="60">
        <f>C32*0.034</f>
        <v>11.663772760000002</v>
      </c>
      <c r="D45" s="60">
        <f t="shared" ref="D45:H45" si="28">D32*0.034</f>
        <v>12.399556560000002</v>
      </c>
      <c r="E45" s="60">
        <f t="shared" si="28"/>
        <v>13.0681601</v>
      </c>
      <c r="F45" s="60" t="e">
        <f t="shared" si="28"/>
        <v>#DIV/0!</v>
      </c>
      <c r="G45" s="60" t="e">
        <f t="shared" si="28"/>
        <v>#DIV/0!</v>
      </c>
      <c r="H45" s="60" t="e">
        <f t="shared" si="28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1">
        <v>4</v>
      </c>
      <c r="B46" s="62" t="s">
        <v>94</v>
      </c>
      <c r="C46" s="67">
        <f>C21/C6</f>
        <v>15.594444444444443</v>
      </c>
      <c r="D46" s="67">
        <f t="shared" ref="D46:H46" si="29">D21/D6</f>
        <v>15.594444444444443</v>
      </c>
      <c r="E46" s="67">
        <f t="shared" si="29"/>
        <v>15.594444444444443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1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>
        <f>C40-C43-C44-C45-C47-C46</f>
        <v>-132.81609520444434</v>
      </c>
      <c r="D48" s="61">
        <f t="shared" ref="D48:H48" si="30">D40-D43-D44-D45-D47-D46</f>
        <v>-241.82277700444433</v>
      </c>
      <c r="E48" s="61">
        <f t="shared" si="30"/>
        <v>-74.303970544444439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4" sqref="D4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1" t="s">
        <v>147</v>
      </c>
      <c r="B1" s="201"/>
      <c r="C1" s="205" t="s">
        <v>252</v>
      </c>
      <c r="D1" s="206"/>
      <c r="E1" s="206"/>
      <c r="F1" s="206"/>
      <c r="G1" s="206"/>
      <c r="H1" s="206"/>
      <c r="I1" s="207"/>
    </row>
    <row r="2" spans="1:38">
      <c r="A2" s="201" t="s">
        <v>148</v>
      </c>
      <c r="B2" s="201"/>
      <c r="C2" s="209" t="str">
        <f>'2023年'!C2:I2</f>
        <v>北汽福田山东多功能</v>
      </c>
      <c r="D2" s="210"/>
      <c r="E2" s="210"/>
      <c r="F2" s="210"/>
      <c r="G2" s="210"/>
      <c r="H2" s="210"/>
      <c r="I2" s="211"/>
    </row>
    <row r="3" spans="1:38">
      <c r="A3" s="201" t="s">
        <v>149</v>
      </c>
      <c r="B3" s="201"/>
      <c r="C3" s="162" t="str">
        <f>销量!C5</f>
        <v>驾驶员座椅总成</v>
      </c>
      <c r="D3" s="162" t="str">
        <f>销量!D5</f>
        <v>副驾驶员座椅总成</v>
      </c>
      <c r="E3" s="162" t="str">
        <f>销量!E5</f>
        <v>副驾驶员座椅总成</v>
      </c>
      <c r="F3" s="162">
        <f>销量!F5</f>
        <v>0</v>
      </c>
      <c r="G3" s="162">
        <f>销量!G5</f>
        <v>0</v>
      </c>
      <c r="H3" s="162">
        <f>销量!H5</f>
        <v>0</v>
      </c>
      <c r="I3" s="202" t="s">
        <v>21</v>
      </c>
    </row>
    <row r="4" spans="1:38" ht="16.5" customHeight="1">
      <c r="A4" s="201" t="s">
        <v>150</v>
      </c>
      <c r="B4" s="201"/>
      <c r="C4" s="162" t="str">
        <f>销量!C6</f>
        <v>在L168100000146双轴座椅基础上改单轴放平，面料换厂家，降本</v>
      </c>
      <c r="D4" s="162" t="str">
        <f>销量!D6</f>
        <v>在L168100000147双轴座椅基础上改单轴放平，面料换厂家，降本</v>
      </c>
      <c r="E4" s="162" t="str">
        <f>销量!E6</f>
        <v>在L168100000149双轴座椅基础上改单轴放平，面料换厂家，降本</v>
      </c>
      <c r="F4" s="162">
        <f>销量!F6</f>
        <v>0</v>
      </c>
      <c r="G4" s="162">
        <f>销量!G6</f>
        <v>0</v>
      </c>
      <c r="H4" s="162">
        <f>销量!H6</f>
        <v>0</v>
      </c>
      <c r="I4" s="203"/>
    </row>
    <row r="5" spans="1:38">
      <c r="A5" s="201" t="s">
        <v>151</v>
      </c>
      <c r="B5" s="201"/>
      <c r="C5" s="53"/>
      <c r="D5" s="53"/>
      <c r="E5" s="53"/>
      <c r="F5" s="53"/>
      <c r="G5" s="53"/>
      <c r="H5" s="53"/>
      <c r="I5" s="204"/>
      <c r="AL5" s="50" t="s">
        <v>22</v>
      </c>
    </row>
    <row r="6" spans="1:38" ht="17.25">
      <c r="A6" s="54" t="s">
        <v>19</v>
      </c>
      <c r="B6" s="55" t="s">
        <v>152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6">
        <f>SUM(C6:H6)</f>
        <v>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1">
        <v>1</v>
      </c>
      <c r="B7" s="55" t="s">
        <v>24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15" si="0">SUM(C7:H7)</f>
        <v>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1">
        <v>2</v>
      </c>
      <c r="B8" s="161" t="s">
        <v>26</v>
      </c>
      <c r="C8" s="56">
        <f>C7*(1-销量!$L$9)</f>
        <v>0</v>
      </c>
      <c r="D8" s="56">
        <f>D7*(1-销量!$L$9)</f>
        <v>0</v>
      </c>
      <c r="E8" s="56">
        <f>E7*(1-销量!$L$9)</f>
        <v>0</v>
      </c>
      <c r="F8" s="56">
        <f>F7*(1-销量!$L$9)</f>
        <v>0</v>
      </c>
      <c r="G8" s="56">
        <f>G7*(1-销量!$L$9)</f>
        <v>0</v>
      </c>
      <c r="H8" s="56">
        <f>H7*(1-销量!$L$9)</f>
        <v>0</v>
      </c>
      <c r="I8" s="56">
        <f t="shared" si="0"/>
        <v>0</v>
      </c>
      <c r="J8" s="71"/>
      <c r="T8" s="161" t="s">
        <v>28</v>
      </c>
      <c r="AJ8" s="54" t="s">
        <v>27</v>
      </c>
      <c r="AK8" s="161" t="s">
        <v>28</v>
      </c>
      <c r="AL8" s="50" t="s">
        <v>23</v>
      </c>
    </row>
    <row r="9" spans="1:38">
      <c r="A9" s="161">
        <v>3</v>
      </c>
      <c r="B9" s="55" t="s">
        <v>29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1">
        <v>4</v>
      </c>
      <c r="B10" s="54" t="s">
        <v>32</v>
      </c>
      <c r="C10" s="56">
        <f>C6*C33</f>
        <v>0</v>
      </c>
      <c r="D10" s="56">
        <f t="shared" ref="D10:H10" si="2">D6*D33</f>
        <v>0</v>
      </c>
      <c r="E10" s="56">
        <f t="shared" si="2"/>
        <v>0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0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1">
        <v>5</v>
      </c>
      <c r="B11" s="54" t="s">
        <v>35</v>
      </c>
      <c r="C11" s="56">
        <f>+C6*C36</f>
        <v>0</v>
      </c>
      <c r="D11" s="56">
        <f t="shared" ref="D11:H11" si="3">+D6*D36</f>
        <v>0</v>
      </c>
      <c r="E11" s="56">
        <f t="shared" si="3"/>
        <v>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0</v>
      </c>
      <c r="T11" s="54" t="s">
        <v>35</v>
      </c>
      <c r="AJ11" s="54" t="s">
        <v>36</v>
      </c>
      <c r="AK11" s="54" t="s">
        <v>35</v>
      </c>
    </row>
    <row r="12" spans="1:38">
      <c r="A12" s="161">
        <v>6</v>
      </c>
      <c r="B12" s="54" t="s">
        <v>37</v>
      </c>
      <c r="C12" s="56">
        <f>+C6*C37</f>
        <v>0</v>
      </c>
      <c r="D12" s="56">
        <f t="shared" ref="D12:H12" si="4">+D6*D37</f>
        <v>0</v>
      </c>
      <c r="E12" s="56">
        <f t="shared" si="4"/>
        <v>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0</v>
      </c>
      <c r="T12" s="54" t="s">
        <v>37</v>
      </c>
      <c r="AJ12" s="54" t="s">
        <v>38</v>
      </c>
      <c r="AK12" s="54" t="s">
        <v>37</v>
      </c>
    </row>
    <row r="13" spans="1:38">
      <c r="A13" s="161">
        <v>7</v>
      </c>
      <c r="B13" s="54" t="s">
        <v>39</v>
      </c>
      <c r="C13" s="56">
        <f>+C6*C38</f>
        <v>0</v>
      </c>
      <c r="D13" s="56">
        <f t="shared" ref="D13:H13" si="5">+D6*D38</f>
        <v>0</v>
      </c>
      <c r="E13" s="56">
        <f t="shared" si="5"/>
        <v>0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0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1">
        <v>8</v>
      </c>
      <c r="B14" s="57" t="s">
        <v>41</v>
      </c>
      <c r="C14" s="56">
        <f>SUM(C11:C13)</f>
        <v>0</v>
      </c>
      <c r="D14" s="56">
        <f t="shared" ref="D14:H14" si="6">SUM(D11:D13)</f>
        <v>0</v>
      </c>
      <c r="E14" s="56">
        <f t="shared" si="6"/>
        <v>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0</v>
      </c>
      <c r="T14" s="57" t="s">
        <v>41</v>
      </c>
      <c r="AJ14" s="54" t="s">
        <v>42</v>
      </c>
      <c r="AK14" s="57" t="s">
        <v>41</v>
      </c>
    </row>
    <row r="15" spans="1:38">
      <c r="A15" s="161">
        <v>9</v>
      </c>
      <c r="B15" s="57" t="s">
        <v>43</v>
      </c>
      <c r="C15" s="56">
        <f>+C9-C10-C14</f>
        <v>0</v>
      </c>
      <c r="D15" s="56">
        <f t="shared" ref="D15:H15" si="7">+D9-D10-D14</f>
        <v>0</v>
      </c>
      <c r="E15" s="56">
        <f t="shared" si="7"/>
        <v>0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0</v>
      </c>
      <c r="T15" s="57" t="s">
        <v>43</v>
      </c>
      <c r="AJ15" s="54" t="s">
        <v>44</v>
      </c>
      <c r="AK15" s="57" t="s">
        <v>43</v>
      </c>
    </row>
    <row r="16" spans="1:38">
      <c r="A16" s="161">
        <v>10</v>
      </c>
      <c r="B16" s="54" t="s">
        <v>45</v>
      </c>
      <c r="C16" s="58" t="e">
        <f>+C15/C9</f>
        <v>#DIV/0!</v>
      </c>
      <c r="D16" s="58" t="e">
        <f t="shared" ref="D16:H16" si="8">+D15/D9</f>
        <v>#DIV/0!</v>
      </c>
      <c r="E16" s="58" t="e">
        <f t="shared" si="8"/>
        <v>#DIV/0!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/>
      <c r="T16" s="54" t="s">
        <v>45</v>
      </c>
      <c r="AJ16" s="54" t="s">
        <v>46</v>
      </c>
      <c r="AK16" s="54" t="s">
        <v>45</v>
      </c>
    </row>
    <row r="17" spans="1:38">
      <c r="A17" s="161">
        <v>11</v>
      </c>
      <c r="B17" s="54" t="s">
        <v>47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/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1">
        <v>12</v>
      </c>
      <c r="B18" s="59" t="s">
        <v>153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/>
      <c r="J18" s="72" t="s">
        <v>154</v>
      </c>
      <c r="K18" s="72"/>
      <c r="L18" s="72"/>
    </row>
    <row r="19" spans="1:38">
      <c r="A19" s="161">
        <v>13</v>
      </c>
      <c r="B19" s="54" t="s">
        <v>49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1">
        <v>14</v>
      </c>
      <c r="B20" s="54" t="s">
        <v>51</v>
      </c>
      <c r="C20" s="56" t="e">
        <f>C6*C45</f>
        <v>#DIV/0!</v>
      </c>
      <c r="D20" s="56" t="e">
        <f t="shared" ref="D20:H20" si="12">D6*D45</f>
        <v>#DIV/0!</v>
      </c>
      <c r="E20" s="56" t="e">
        <f t="shared" si="12"/>
        <v>#DIV/0!</v>
      </c>
      <c r="F20" s="56" t="e">
        <f t="shared" si="12"/>
        <v>#DIV/0!</v>
      </c>
      <c r="G20" s="56" t="e">
        <f t="shared" si="12"/>
        <v>#DIV/0!</v>
      </c>
      <c r="H20" s="56" t="e">
        <f t="shared" si="12"/>
        <v>#DIV/0!</v>
      </c>
      <c r="I20" s="56"/>
      <c r="T20" s="54" t="s">
        <v>51</v>
      </c>
      <c r="AJ20" s="54" t="s">
        <v>52</v>
      </c>
      <c r="AK20" s="54" t="s">
        <v>51</v>
      </c>
    </row>
    <row r="21" spans="1:38">
      <c r="A21" s="161">
        <v>15</v>
      </c>
      <c r="B21" s="54" t="s">
        <v>53</v>
      </c>
      <c r="C21" s="61" t="e">
        <f>$I$21/$I$6*C6</f>
        <v>#DIV/0!</v>
      </c>
      <c r="D21" s="61" t="e">
        <f t="shared" ref="D21:H21" si="13">$I$21/$I$6*D6</f>
        <v>#DIV/0!</v>
      </c>
      <c r="E21" s="61" t="e">
        <f t="shared" si="13"/>
        <v>#DIV/0!</v>
      </c>
      <c r="F21" s="61" t="e">
        <f t="shared" si="13"/>
        <v>#DIV/0!</v>
      </c>
      <c r="G21" s="61" t="e">
        <f t="shared" si="13"/>
        <v>#DIV/0!</v>
      </c>
      <c r="H21" s="61" t="e">
        <f t="shared" si="13"/>
        <v>#DIV/0!</v>
      </c>
      <c r="I21" s="56"/>
      <c r="T21" s="54" t="s">
        <v>53</v>
      </c>
      <c r="AJ21" s="54"/>
      <c r="AK21" s="54"/>
    </row>
    <row r="22" spans="1:38">
      <c r="A22" s="161">
        <v>16</v>
      </c>
      <c r="B22" s="54" t="s">
        <v>54</v>
      </c>
      <c r="C22" s="56">
        <f>C6*C47</f>
        <v>0</v>
      </c>
      <c r="D22" s="56">
        <f t="shared" ref="D22:H22" si="14">D6*D47</f>
        <v>0</v>
      </c>
      <c r="E22" s="56">
        <f t="shared" si="14"/>
        <v>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 t="shared" ref="I22" si="15">SUM(C22:H22)</f>
        <v>0</v>
      </c>
      <c r="T22" s="54" t="s">
        <v>54</v>
      </c>
      <c r="AJ22" s="54" t="s">
        <v>55</v>
      </c>
      <c r="AK22" s="54" t="s">
        <v>54</v>
      </c>
    </row>
    <row r="23" spans="1:38">
      <c r="A23" s="161">
        <v>17</v>
      </c>
      <c r="B23" s="57" t="s">
        <v>56</v>
      </c>
      <c r="C23" s="61" t="e">
        <f>+C22+C21+C20+C19+C17</f>
        <v>#DIV/0!</v>
      </c>
      <c r="D23" s="61" t="e">
        <f t="shared" ref="D23:H23" si="16">+D22+D21+D20+D19+D17</f>
        <v>#DIV/0!</v>
      </c>
      <c r="E23" s="61" t="e">
        <f t="shared" si="16"/>
        <v>#DIV/0!</v>
      </c>
      <c r="F23" s="61" t="e">
        <f t="shared" si="16"/>
        <v>#DIV/0!</v>
      </c>
      <c r="G23" s="61" t="e">
        <f t="shared" si="16"/>
        <v>#DIV/0!</v>
      </c>
      <c r="H23" s="61" t="e">
        <f t="shared" si="16"/>
        <v>#DIV/0!</v>
      </c>
      <c r="I23" s="61">
        <f t="shared" ref="I23" si="17">+I22+I21+I20+I19+I17</f>
        <v>0</v>
      </c>
      <c r="T23" s="57" t="s">
        <v>56</v>
      </c>
      <c r="AJ23" s="54" t="s">
        <v>57</v>
      </c>
      <c r="AK23" s="57" t="s">
        <v>56</v>
      </c>
    </row>
    <row r="24" spans="1:38">
      <c r="A24" s="161">
        <v>18</v>
      </c>
      <c r="B24" s="62" t="s">
        <v>58</v>
      </c>
      <c r="C24" s="61" t="e">
        <f>+C15-C23</f>
        <v>#DIV/0!</v>
      </c>
      <c r="D24" s="61" t="e">
        <f t="shared" ref="D24:H24" si="18">+D15-D23</f>
        <v>#DIV/0!</v>
      </c>
      <c r="E24" s="61" t="e">
        <f t="shared" si="18"/>
        <v>#DIV/0!</v>
      </c>
      <c r="F24" s="61" t="e">
        <f t="shared" si="18"/>
        <v>#DIV/0!</v>
      </c>
      <c r="G24" s="61" t="e">
        <f t="shared" si="18"/>
        <v>#DIV/0!</v>
      </c>
      <c r="H24" s="61" t="e">
        <f t="shared" si="18"/>
        <v>#DIV/0!</v>
      </c>
      <c r="I24" s="61">
        <f t="shared" ref="I24" si="19">+I15-I23</f>
        <v>0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1">
        <v>19</v>
      </c>
      <c r="B25" s="54" t="s">
        <v>155</v>
      </c>
      <c r="C25" s="61" t="e">
        <f>IF(C24&lt;0,0,C24*0.25)</f>
        <v>#DIV/0!</v>
      </c>
      <c r="D25" s="61" t="e">
        <f t="shared" ref="D25:H25" si="20">IF(D24&lt;0,0,D24*0.25)</f>
        <v>#DIV/0!</v>
      </c>
      <c r="E25" s="61" t="e">
        <f t="shared" si="20"/>
        <v>#DIV/0!</v>
      </c>
      <c r="F25" s="61" t="e">
        <f t="shared" si="20"/>
        <v>#DIV/0!</v>
      </c>
      <c r="G25" s="61" t="e">
        <f t="shared" si="20"/>
        <v>#DIV/0!</v>
      </c>
      <c r="H25" s="61" t="e">
        <f t="shared" si="20"/>
        <v>#DIV/0!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1">
        <v>20</v>
      </c>
      <c r="B26" s="54" t="s">
        <v>62</v>
      </c>
      <c r="C26" s="61" t="e">
        <f t="shared" ref="C26:H26" si="22">C24-C25</f>
        <v>#DIV/0!</v>
      </c>
      <c r="D26" s="61" t="e">
        <f t="shared" si="22"/>
        <v>#DIV/0!</v>
      </c>
      <c r="E26" s="61" t="e">
        <f t="shared" si="22"/>
        <v>#DIV/0!</v>
      </c>
      <c r="F26" s="61" t="e">
        <f t="shared" si="22"/>
        <v>#DIV/0!</v>
      </c>
      <c r="G26" s="61" t="e">
        <f t="shared" si="22"/>
        <v>#DIV/0!</v>
      </c>
      <c r="H26" s="61" t="e">
        <f t="shared" si="22"/>
        <v>#DIV/0!</v>
      </c>
      <c r="I26" s="56" t="e">
        <f>+SUM(C26:C26)</f>
        <v>#DIV/0!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1">
        <v>21</v>
      </c>
      <c r="B27" s="54" t="s">
        <v>66</v>
      </c>
      <c r="C27" s="63" t="e">
        <f t="shared" ref="C27:I27" si="23">C26/C7</f>
        <v>#DIV/0!</v>
      </c>
      <c r="D27" s="63" t="e">
        <f t="shared" ref="D27:H27" si="24">D26/D7</f>
        <v>#DIV/0!</v>
      </c>
      <c r="E27" s="63" t="e">
        <f t="shared" si="24"/>
        <v>#DIV/0!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 t="e">
        <f t="shared" si="23"/>
        <v>#DIV/0!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1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1">
        <v>2</v>
      </c>
      <c r="B32" s="54" t="s">
        <v>157</v>
      </c>
      <c r="C32" s="56" t="e">
        <f>C9/C6</f>
        <v>#DIV/0!</v>
      </c>
      <c r="D32" s="56" t="e">
        <f t="shared" ref="D32:H32" si="25">D9/D6</f>
        <v>#DIV/0!</v>
      </c>
      <c r="E32" s="56" t="e">
        <f t="shared" si="25"/>
        <v>#DIV/0!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1">
        <v>3</v>
      </c>
      <c r="B33" s="59" t="s">
        <v>76</v>
      </c>
      <c r="C33" s="56">
        <f>材料成本!D16</f>
        <v>0</v>
      </c>
      <c r="D33" s="56">
        <f>材料成本!E16</f>
        <v>0</v>
      </c>
      <c r="E33" s="56">
        <f>材料成本!F16</f>
        <v>0</v>
      </c>
      <c r="F33" s="56">
        <f>材料成本!G16</f>
        <v>0</v>
      </c>
      <c r="G33" s="56">
        <f>材料成本!H16</f>
        <v>0</v>
      </c>
      <c r="H33" s="56">
        <f>材料成本!I16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1">
        <v>4</v>
      </c>
      <c r="B34" s="54" t="s">
        <v>78</v>
      </c>
      <c r="C34" s="66" t="e">
        <f>C32-C33</f>
        <v>#DIV/0!</v>
      </c>
      <c r="D34" s="66" t="e">
        <f t="shared" ref="D34:H34" si="26">D32-D33</f>
        <v>#DIV/0!</v>
      </c>
      <c r="E34" s="66" t="e">
        <f t="shared" si="26"/>
        <v>#DIV/0!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1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1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1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1">
        <v>1</v>
      </c>
      <c r="B40" s="54" t="s">
        <v>87</v>
      </c>
      <c r="C40" s="61" t="e">
        <f>C34-C36-C37-C38</f>
        <v>#DIV/0!</v>
      </c>
      <c r="D40" s="61" t="e">
        <f t="shared" ref="D40:H40" si="27">D34-D36-D37-D38</f>
        <v>#DIV/0!</v>
      </c>
      <c r="E40" s="61" t="e">
        <f t="shared" si="27"/>
        <v>#DIV/0!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1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1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1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1">
        <v>3</v>
      </c>
      <c r="B45" s="62" t="s">
        <v>93</v>
      </c>
      <c r="C45" s="60" t="e">
        <f>C32*0.034</f>
        <v>#DIV/0!</v>
      </c>
      <c r="D45" s="60" t="e">
        <f t="shared" ref="D45:H45" si="28">D32*0.034</f>
        <v>#DIV/0!</v>
      </c>
      <c r="E45" s="60" t="e">
        <f t="shared" si="28"/>
        <v>#DIV/0!</v>
      </c>
      <c r="F45" s="60" t="e">
        <f t="shared" si="28"/>
        <v>#DIV/0!</v>
      </c>
      <c r="G45" s="60" t="e">
        <f t="shared" si="28"/>
        <v>#DIV/0!</v>
      </c>
      <c r="H45" s="60" t="e">
        <f t="shared" si="28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1">
        <v>4</v>
      </c>
      <c r="B46" s="62" t="s">
        <v>94</v>
      </c>
      <c r="C46" s="67" t="e">
        <f>C21/C6</f>
        <v>#DIV/0!</v>
      </c>
      <c r="D46" s="67" t="e">
        <f t="shared" ref="D46:H46" si="29">D21/D6</f>
        <v>#DIV/0!</v>
      </c>
      <c r="E46" s="67" t="e">
        <f t="shared" si="29"/>
        <v>#DIV/0!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1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 t="e">
        <f>C40-C43-C44-C45-C47-C46</f>
        <v>#DIV/0!</v>
      </c>
      <c r="D48" s="61" t="e">
        <f t="shared" ref="D48:H48" si="30">D40-D43-D44-D45-D47-D46</f>
        <v>#DIV/0!</v>
      </c>
      <c r="E48" s="61" t="e">
        <f t="shared" si="30"/>
        <v>#DIV/0!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201" t="s">
        <v>147</v>
      </c>
      <c r="B1" s="201"/>
      <c r="C1" s="205" t="s">
        <v>253</v>
      </c>
      <c r="D1" s="206"/>
      <c r="E1" s="206"/>
      <c r="F1" s="206"/>
      <c r="G1" s="206"/>
      <c r="H1" s="206"/>
      <c r="I1" s="207"/>
    </row>
    <row r="2" spans="1:38">
      <c r="A2" s="201" t="s">
        <v>148</v>
      </c>
      <c r="B2" s="201"/>
      <c r="C2" s="208" t="str">
        <f>'2023年'!C2:I2</f>
        <v>北汽福田山东多功能</v>
      </c>
      <c r="D2" s="208"/>
      <c r="E2" s="208"/>
      <c r="F2" s="208"/>
      <c r="G2" s="208"/>
      <c r="H2" s="208"/>
      <c r="I2" s="208"/>
    </row>
    <row r="3" spans="1:38">
      <c r="A3" s="201" t="s">
        <v>149</v>
      </c>
      <c r="B3" s="201"/>
      <c r="C3" s="162" t="str">
        <f>销量!C5</f>
        <v>驾驶员座椅总成</v>
      </c>
      <c r="D3" s="162" t="str">
        <f>销量!D5</f>
        <v>副驾驶员座椅总成</v>
      </c>
      <c r="E3" s="162" t="str">
        <f>销量!E5</f>
        <v>副驾驶员座椅总成</v>
      </c>
      <c r="F3" s="162">
        <f>销量!F5</f>
        <v>0</v>
      </c>
      <c r="G3" s="162">
        <f>销量!G5</f>
        <v>0</v>
      </c>
      <c r="H3" s="162">
        <f>销量!H5</f>
        <v>0</v>
      </c>
      <c r="I3" s="202" t="s">
        <v>21</v>
      </c>
    </row>
    <row r="4" spans="1:38" ht="71.25">
      <c r="A4" s="201" t="s">
        <v>150</v>
      </c>
      <c r="B4" s="201"/>
      <c r="C4" s="162" t="str">
        <f>销量!C6</f>
        <v>在L168100000146双轴座椅基础上改单轴放平，面料换厂家，降本</v>
      </c>
      <c r="D4" s="162" t="str">
        <f>销量!D6</f>
        <v>在L168100000147双轴座椅基础上改单轴放平，面料换厂家，降本</v>
      </c>
      <c r="E4" s="162" t="str">
        <f>销量!E6</f>
        <v>在L168100000149双轴座椅基础上改单轴放平，面料换厂家，降本</v>
      </c>
      <c r="F4" s="162">
        <f>销量!F6</f>
        <v>0</v>
      </c>
      <c r="G4" s="162">
        <f>销量!G6</f>
        <v>0</v>
      </c>
      <c r="H4" s="162">
        <f>销量!H6</f>
        <v>0</v>
      </c>
      <c r="I4" s="203"/>
    </row>
    <row r="5" spans="1:38">
      <c r="A5" s="201" t="s">
        <v>151</v>
      </c>
      <c r="B5" s="201"/>
      <c r="C5" s="53"/>
      <c r="D5" s="53"/>
      <c r="E5" s="53"/>
      <c r="F5" s="53"/>
      <c r="G5" s="53"/>
      <c r="H5" s="53"/>
      <c r="I5" s="204"/>
      <c r="AL5" s="50" t="s">
        <v>22</v>
      </c>
    </row>
    <row r="6" spans="1:38" ht="17.25">
      <c r="A6" s="54" t="s">
        <v>19</v>
      </c>
      <c r="B6" s="55" t="s">
        <v>152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6">
        <f>SUM(C6:H6)</f>
        <v>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1">
        <v>1</v>
      </c>
      <c r="B7" s="55" t="s">
        <v>24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22" si="0">SUM(C7:H7)</f>
        <v>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1">
        <v>2</v>
      </c>
      <c r="B8" s="161" t="s">
        <v>26</v>
      </c>
      <c r="C8" s="56">
        <f>C7*(1-销量!$L$10)</f>
        <v>0</v>
      </c>
      <c r="D8" s="56">
        <f>D7*(1-销量!$L$10)</f>
        <v>0</v>
      </c>
      <c r="E8" s="56">
        <f>E7*(1-销量!$L$10)</f>
        <v>0</v>
      </c>
      <c r="F8" s="56">
        <f>F7*(1-销量!$L$10)</f>
        <v>0</v>
      </c>
      <c r="G8" s="56">
        <f>G7*(1-销量!$L$10)</f>
        <v>0</v>
      </c>
      <c r="H8" s="56">
        <f>H7*(1-销量!$L$10)</f>
        <v>0</v>
      </c>
      <c r="I8" s="56">
        <f t="shared" si="0"/>
        <v>0</v>
      </c>
      <c r="J8" s="71"/>
      <c r="T8" s="161" t="s">
        <v>28</v>
      </c>
      <c r="AJ8" s="54" t="s">
        <v>27</v>
      </c>
      <c r="AK8" s="161" t="s">
        <v>28</v>
      </c>
      <c r="AL8" s="50" t="s">
        <v>23</v>
      </c>
    </row>
    <row r="9" spans="1:38">
      <c r="A9" s="161">
        <v>3</v>
      </c>
      <c r="B9" s="55" t="s">
        <v>29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1">
        <v>4</v>
      </c>
      <c r="B10" s="54" t="s">
        <v>32</v>
      </c>
      <c r="C10" s="56">
        <f>C6*C33</f>
        <v>0</v>
      </c>
      <c r="D10" s="56">
        <f t="shared" ref="D10:H10" si="2">D6*D33</f>
        <v>0</v>
      </c>
      <c r="E10" s="56">
        <f t="shared" si="2"/>
        <v>0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0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1">
        <v>5</v>
      </c>
      <c r="B11" s="54" t="s">
        <v>35</v>
      </c>
      <c r="C11" s="56">
        <f>+C6*C36</f>
        <v>0</v>
      </c>
      <c r="D11" s="56">
        <f t="shared" ref="D11:H11" si="3">+D6*D36</f>
        <v>0</v>
      </c>
      <c r="E11" s="56">
        <f t="shared" si="3"/>
        <v>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0</v>
      </c>
      <c r="T11" s="54" t="s">
        <v>35</v>
      </c>
      <c r="AJ11" s="54" t="s">
        <v>36</v>
      </c>
      <c r="AK11" s="54" t="s">
        <v>35</v>
      </c>
    </row>
    <row r="12" spans="1:38">
      <c r="A12" s="161">
        <v>6</v>
      </c>
      <c r="B12" s="54" t="s">
        <v>37</v>
      </c>
      <c r="C12" s="56">
        <f>+C6*C37</f>
        <v>0</v>
      </c>
      <c r="D12" s="56">
        <f t="shared" ref="D12:H12" si="4">+D6*D37</f>
        <v>0</v>
      </c>
      <c r="E12" s="56">
        <f t="shared" si="4"/>
        <v>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0</v>
      </c>
      <c r="T12" s="54" t="s">
        <v>37</v>
      </c>
      <c r="AJ12" s="54" t="s">
        <v>38</v>
      </c>
      <c r="AK12" s="54" t="s">
        <v>37</v>
      </c>
    </row>
    <row r="13" spans="1:38">
      <c r="A13" s="161">
        <v>7</v>
      </c>
      <c r="B13" s="54" t="s">
        <v>39</v>
      </c>
      <c r="C13" s="56">
        <f>+C6*C38</f>
        <v>0</v>
      </c>
      <c r="D13" s="56">
        <f t="shared" ref="D13:H13" si="5">+D6*D38</f>
        <v>0</v>
      </c>
      <c r="E13" s="56">
        <f t="shared" si="5"/>
        <v>0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0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1">
        <v>8</v>
      </c>
      <c r="B14" s="57" t="s">
        <v>41</v>
      </c>
      <c r="C14" s="56">
        <f>SUM(C11:C13)</f>
        <v>0</v>
      </c>
      <c r="D14" s="56">
        <f t="shared" ref="D14:H14" si="6">SUM(D11:D13)</f>
        <v>0</v>
      </c>
      <c r="E14" s="56">
        <f t="shared" si="6"/>
        <v>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0</v>
      </c>
      <c r="T14" s="57" t="s">
        <v>41</v>
      </c>
      <c r="AJ14" s="54" t="s">
        <v>42</v>
      </c>
      <c r="AK14" s="57" t="s">
        <v>41</v>
      </c>
    </row>
    <row r="15" spans="1:38">
      <c r="A15" s="161">
        <v>9</v>
      </c>
      <c r="B15" s="57" t="s">
        <v>43</v>
      </c>
      <c r="C15" s="56">
        <f>+C9-C10-C14</f>
        <v>0</v>
      </c>
      <c r="D15" s="56">
        <f t="shared" ref="D15:H15" si="7">+D9-D10-D14</f>
        <v>0</v>
      </c>
      <c r="E15" s="56">
        <f t="shared" si="7"/>
        <v>0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0</v>
      </c>
      <c r="T15" s="57" t="s">
        <v>43</v>
      </c>
      <c r="AJ15" s="54" t="s">
        <v>44</v>
      </c>
      <c r="AK15" s="57" t="s">
        <v>43</v>
      </c>
    </row>
    <row r="16" spans="1:38">
      <c r="A16" s="161">
        <v>10</v>
      </c>
      <c r="B16" s="54" t="s">
        <v>45</v>
      </c>
      <c r="C16" s="58" t="e">
        <f>+C15/C9</f>
        <v>#DIV/0!</v>
      </c>
      <c r="D16" s="58" t="e">
        <f t="shared" ref="D16:H16" si="8">+D15/D9</f>
        <v>#DIV/0!</v>
      </c>
      <c r="E16" s="58" t="e">
        <f t="shared" si="8"/>
        <v>#DIV/0!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/>
      <c r="T16" s="54" t="s">
        <v>45</v>
      </c>
      <c r="AJ16" s="54" t="s">
        <v>46</v>
      </c>
      <c r="AK16" s="54" t="s">
        <v>45</v>
      </c>
    </row>
    <row r="17" spans="1:38">
      <c r="A17" s="161">
        <v>11</v>
      </c>
      <c r="B17" s="54" t="s">
        <v>47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/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1">
        <v>12</v>
      </c>
      <c r="B18" s="59" t="s">
        <v>153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/>
      <c r="J18" s="72" t="s">
        <v>154</v>
      </c>
      <c r="K18" s="72"/>
      <c r="L18" s="72"/>
    </row>
    <row r="19" spans="1:38">
      <c r="A19" s="161">
        <v>13</v>
      </c>
      <c r="B19" s="54" t="s">
        <v>49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0"/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1">
        <v>14</v>
      </c>
      <c r="B20" s="54" t="s">
        <v>51</v>
      </c>
      <c r="C20" s="56" t="e">
        <f>C6*C45</f>
        <v>#DIV/0!</v>
      </c>
      <c r="D20" s="56" t="e">
        <f t="shared" ref="D20:H20" si="12">D6*D45</f>
        <v>#DIV/0!</v>
      </c>
      <c r="E20" s="56" t="e">
        <f t="shared" si="12"/>
        <v>#DIV/0!</v>
      </c>
      <c r="F20" s="56" t="e">
        <f t="shared" si="12"/>
        <v>#DIV/0!</v>
      </c>
      <c r="G20" s="56" t="e">
        <f t="shared" si="12"/>
        <v>#DIV/0!</v>
      </c>
      <c r="H20" s="56" t="e">
        <f t="shared" si="12"/>
        <v>#DIV/0!</v>
      </c>
      <c r="I20" s="56"/>
      <c r="T20" s="54" t="s">
        <v>51</v>
      </c>
      <c r="AJ20" s="54" t="s">
        <v>52</v>
      </c>
      <c r="AK20" s="54" t="s">
        <v>51</v>
      </c>
    </row>
    <row r="21" spans="1:38">
      <c r="A21" s="161">
        <v>15</v>
      </c>
      <c r="B21" s="54" t="s">
        <v>53</v>
      </c>
      <c r="C21" s="61" t="e">
        <f>$I$21/$I$6*C6</f>
        <v>#DIV/0!</v>
      </c>
      <c r="D21" s="61" t="e">
        <f t="shared" ref="D21:H21" si="13">$I$21/$I$6*D6</f>
        <v>#DIV/0!</v>
      </c>
      <c r="E21" s="61" t="e">
        <f t="shared" si="13"/>
        <v>#DIV/0!</v>
      </c>
      <c r="F21" s="61" t="e">
        <f t="shared" si="13"/>
        <v>#DIV/0!</v>
      </c>
      <c r="G21" s="61" t="e">
        <f t="shared" si="13"/>
        <v>#DIV/0!</v>
      </c>
      <c r="H21" s="61" t="e">
        <f t="shared" si="13"/>
        <v>#DIV/0!</v>
      </c>
      <c r="I21" s="56"/>
      <c r="T21" s="54" t="s">
        <v>53</v>
      </c>
      <c r="AJ21" s="54"/>
      <c r="AK21" s="54"/>
    </row>
    <row r="22" spans="1:38">
      <c r="A22" s="161">
        <v>16</v>
      </c>
      <c r="B22" s="54" t="s">
        <v>54</v>
      </c>
      <c r="C22" s="56">
        <f>C6*C47</f>
        <v>0</v>
      </c>
      <c r="D22" s="56">
        <f t="shared" ref="D22:H22" si="14">D6*D47</f>
        <v>0</v>
      </c>
      <c r="E22" s="56">
        <f t="shared" si="14"/>
        <v>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 t="shared" si="0"/>
        <v>0</v>
      </c>
      <c r="T22" s="54" t="s">
        <v>54</v>
      </c>
      <c r="AJ22" s="54" t="s">
        <v>55</v>
      </c>
      <c r="AK22" s="54" t="s">
        <v>54</v>
      </c>
    </row>
    <row r="23" spans="1:38">
      <c r="A23" s="161">
        <v>17</v>
      </c>
      <c r="B23" s="57" t="s">
        <v>56</v>
      </c>
      <c r="C23" s="61" t="e">
        <f>+C22+C21+C20+C19+C17</f>
        <v>#DIV/0!</v>
      </c>
      <c r="D23" s="61" t="e">
        <f t="shared" ref="D23:H23" si="15">+D22+D21+D20+D19+D17</f>
        <v>#DIV/0!</v>
      </c>
      <c r="E23" s="61" t="e">
        <f t="shared" si="15"/>
        <v>#DIV/0!</v>
      </c>
      <c r="F23" s="61" t="e">
        <f t="shared" si="15"/>
        <v>#DIV/0!</v>
      </c>
      <c r="G23" s="61" t="e">
        <f t="shared" si="15"/>
        <v>#DIV/0!</v>
      </c>
      <c r="H23" s="61" t="e">
        <f t="shared" si="15"/>
        <v>#DIV/0!</v>
      </c>
      <c r="I23" s="61">
        <f t="shared" ref="I23" si="16">+I22+I21+I20+I19+I17</f>
        <v>0</v>
      </c>
      <c r="T23" s="57" t="s">
        <v>56</v>
      </c>
      <c r="AJ23" s="54" t="s">
        <v>57</v>
      </c>
      <c r="AK23" s="57" t="s">
        <v>56</v>
      </c>
    </row>
    <row r="24" spans="1:38">
      <c r="A24" s="161">
        <v>18</v>
      </c>
      <c r="B24" s="62" t="s">
        <v>58</v>
      </c>
      <c r="C24" s="61" t="e">
        <f>+C15-C23</f>
        <v>#DIV/0!</v>
      </c>
      <c r="D24" s="61" t="e">
        <f t="shared" ref="D24:H24" si="17">+D15-D23</f>
        <v>#DIV/0!</v>
      </c>
      <c r="E24" s="61" t="e">
        <f t="shared" si="17"/>
        <v>#DIV/0!</v>
      </c>
      <c r="F24" s="61" t="e">
        <f t="shared" si="17"/>
        <v>#DIV/0!</v>
      </c>
      <c r="G24" s="61" t="e">
        <f t="shared" si="17"/>
        <v>#DIV/0!</v>
      </c>
      <c r="H24" s="61" t="e">
        <f t="shared" si="17"/>
        <v>#DIV/0!</v>
      </c>
      <c r="I24" s="61">
        <f t="shared" ref="I24" si="18">+I15-I23</f>
        <v>0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1">
        <v>19</v>
      </c>
      <c r="B25" s="54" t="s">
        <v>155</v>
      </c>
      <c r="C25" s="61" t="e">
        <f>IF(C24&lt;0,0,C24*0.25)</f>
        <v>#DIV/0!</v>
      </c>
      <c r="D25" s="61" t="e">
        <f t="shared" ref="D25:H25" si="19">IF(D24&lt;0,0,D24*0.25)</f>
        <v>#DIV/0!</v>
      </c>
      <c r="E25" s="61" t="e">
        <f t="shared" si="19"/>
        <v>#DIV/0!</v>
      </c>
      <c r="F25" s="61" t="e">
        <f t="shared" si="19"/>
        <v>#DIV/0!</v>
      </c>
      <c r="G25" s="61" t="e">
        <f t="shared" si="19"/>
        <v>#DIV/0!</v>
      </c>
      <c r="H25" s="61" t="e">
        <f t="shared" si="19"/>
        <v>#DIV/0!</v>
      </c>
      <c r="I25" s="61">
        <f t="shared" ref="I25" si="20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1">
        <v>20</v>
      </c>
      <c r="B26" s="54" t="s">
        <v>62</v>
      </c>
      <c r="C26" s="61" t="e">
        <f t="shared" ref="C26:H26" si="21">C24-C25</f>
        <v>#DIV/0!</v>
      </c>
      <c r="D26" s="61" t="e">
        <f t="shared" si="21"/>
        <v>#DIV/0!</v>
      </c>
      <c r="E26" s="61" t="e">
        <f t="shared" si="21"/>
        <v>#DIV/0!</v>
      </c>
      <c r="F26" s="61" t="e">
        <f t="shared" si="21"/>
        <v>#DIV/0!</v>
      </c>
      <c r="G26" s="61" t="e">
        <f t="shared" si="21"/>
        <v>#DIV/0!</v>
      </c>
      <c r="H26" s="61" t="e">
        <f t="shared" si="21"/>
        <v>#DIV/0!</v>
      </c>
      <c r="I26" s="56" t="e">
        <f>+SUM(C26:C26)</f>
        <v>#DIV/0!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1">
        <v>21</v>
      </c>
      <c r="B27" s="54" t="s">
        <v>66</v>
      </c>
      <c r="C27" s="63" t="e">
        <f t="shared" ref="C27:I27" si="22">C26/C7</f>
        <v>#DIV/0!</v>
      </c>
      <c r="D27" s="63" t="e">
        <f t="shared" ref="D27:H27" si="23">D26/D7</f>
        <v>#DIV/0!</v>
      </c>
      <c r="E27" s="63" t="e">
        <f t="shared" si="23"/>
        <v>#DIV/0!</v>
      </c>
      <c r="F27" s="63" t="e">
        <f t="shared" si="23"/>
        <v>#DIV/0!</v>
      </c>
      <c r="G27" s="63" t="e">
        <f t="shared" si="23"/>
        <v>#DIV/0!</v>
      </c>
      <c r="H27" s="63" t="e">
        <f t="shared" si="23"/>
        <v>#DIV/0!</v>
      </c>
      <c r="I27" s="63" t="e">
        <f t="shared" si="22"/>
        <v>#DIV/0!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1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1">
        <v>2</v>
      </c>
      <c r="B32" s="54" t="s">
        <v>157</v>
      </c>
      <c r="C32" s="56" t="e">
        <f>C9/C6</f>
        <v>#DIV/0!</v>
      </c>
      <c r="D32" s="56" t="e">
        <f t="shared" ref="D32:H32" si="24">D9/D6</f>
        <v>#DIV/0!</v>
      </c>
      <c r="E32" s="56" t="e">
        <f t="shared" si="24"/>
        <v>#DIV/0!</v>
      </c>
      <c r="F32" s="56" t="e">
        <f t="shared" si="24"/>
        <v>#DIV/0!</v>
      </c>
      <c r="G32" s="56" t="e">
        <f t="shared" si="24"/>
        <v>#DIV/0!</v>
      </c>
      <c r="H32" s="56" t="e">
        <f t="shared" si="24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1">
        <v>3</v>
      </c>
      <c r="B33" s="59" t="s">
        <v>76</v>
      </c>
      <c r="C33" s="56">
        <f>材料成本!D17</f>
        <v>0</v>
      </c>
      <c r="D33" s="56">
        <f>材料成本!E17</f>
        <v>0</v>
      </c>
      <c r="E33" s="56">
        <f>材料成本!F17</f>
        <v>0</v>
      </c>
      <c r="F33" s="56">
        <f>材料成本!G17</f>
        <v>0</v>
      </c>
      <c r="G33" s="56">
        <f>材料成本!H17</f>
        <v>0</v>
      </c>
      <c r="H33" s="56">
        <f>材料成本!I17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1">
        <v>4</v>
      </c>
      <c r="B34" s="54" t="s">
        <v>78</v>
      </c>
      <c r="C34" s="66" t="e">
        <f>C32-C33</f>
        <v>#DIV/0!</v>
      </c>
      <c r="D34" s="66" t="e">
        <f t="shared" ref="D34:H34" si="25">D32-D33</f>
        <v>#DIV/0!</v>
      </c>
      <c r="E34" s="66" t="e">
        <f t="shared" si="25"/>
        <v>#DIV/0!</v>
      </c>
      <c r="F34" s="66" t="e">
        <f t="shared" si="25"/>
        <v>#DIV/0!</v>
      </c>
      <c r="G34" s="66" t="e">
        <f t="shared" si="25"/>
        <v>#DIV/0!</v>
      </c>
      <c r="H34" s="66" t="e">
        <f t="shared" si="25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1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1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1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1">
        <v>1</v>
      </c>
      <c r="B40" s="54" t="s">
        <v>87</v>
      </c>
      <c r="C40" s="61" t="e">
        <f>C34-C36-C37-C38</f>
        <v>#DIV/0!</v>
      </c>
      <c r="D40" s="61" t="e">
        <f t="shared" ref="D40:H40" si="26">D34-D36-D37-D38</f>
        <v>#DIV/0!</v>
      </c>
      <c r="E40" s="61" t="e">
        <f t="shared" si="26"/>
        <v>#DIV/0!</v>
      </c>
      <c r="F40" s="61" t="e">
        <f t="shared" si="26"/>
        <v>#DIV/0!</v>
      </c>
      <c r="G40" s="61" t="e">
        <f t="shared" si="26"/>
        <v>#DIV/0!</v>
      </c>
      <c r="H40" s="61" t="e">
        <f t="shared" si="26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1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1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1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1">
        <v>3</v>
      </c>
      <c r="B45" s="62" t="s">
        <v>93</v>
      </c>
      <c r="C45" s="60" t="e">
        <f>C32*0.034</f>
        <v>#DIV/0!</v>
      </c>
      <c r="D45" s="60" t="e">
        <f t="shared" ref="D45:H45" si="27">D32*0.034</f>
        <v>#DIV/0!</v>
      </c>
      <c r="E45" s="60" t="e">
        <f t="shared" si="27"/>
        <v>#DIV/0!</v>
      </c>
      <c r="F45" s="60" t="e">
        <f t="shared" si="27"/>
        <v>#DIV/0!</v>
      </c>
      <c r="G45" s="60" t="e">
        <f t="shared" si="27"/>
        <v>#DIV/0!</v>
      </c>
      <c r="H45" s="60" t="e">
        <f t="shared" si="27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1">
        <v>4</v>
      </c>
      <c r="B46" s="62" t="s">
        <v>94</v>
      </c>
      <c r="C46" s="67" t="e">
        <f>C21/C6</f>
        <v>#DIV/0!</v>
      </c>
      <c r="D46" s="67" t="e">
        <f t="shared" ref="D46:H46" si="28">D21/D6</f>
        <v>#DIV/0!</v>
      </c>
      <c r="E46" s="67" t="e">
        <f t="shared" si="28"/>
        <v>#DIV/0!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1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 t="e">
        <f>C40-C43-C44-C45-C47-C46</f>
        <v>#DIV/0!</v>
      </c>
      <c r="D48" s="61" t="e">
        <f t="shared" ref="D48:H48" si="29">D40-D43-D44-D45-D47-D46</f>
        <v>#DIV/0!</v>
      </c>
      <c r="E48" s="61" t="e">
        <f t="shared" si="29"/>
        <v>#DIV/0!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0" zoomScaleNormal="90" workbookViewId="0">
      <pane xSplit="6" ySplit="2" topLeftCell="G12" activePane="bottomRight" state="frozen"/>
      <selection pane="topRight"/>
      <selection pane="bottomLeft"/>
      <selection pane="bottomRight" activeCell="G22" sqref="G22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7" width="14.5" customWidth="1"/>
    <col min="8" max="8" width="18.125" customWidth="1"/>
    <col min="9" max="9" width="15.875" customWidth="1"/>
    <col min="10" max="10" width="14.125" customWidth="1"/>
  </cols>
  <sheetData>
    <row r="1" spans="1:8" ht="20.25">
      <c r="A1" s="212" t="s">
        <v>158</v>
      </c>
      <c r="B1" s="212"/>
      <c r="C1" s="212"/>
      <c r="E1" s="213" t="s">
        <v>262</v>
      </c>
      <c r="F1" s="214"/>
      <c r="G1" s="214"/>
      <c r="H1" s="215"/>
    </row>
    <row r="2" spans="1:8" ht="23.45" customHeight="1">
      <c r="A2" s="28" t="s">
        <v>1</v>
      </c>
      <c r="B2" s="29" t="s">
        <v>159</v>
      </c>
      <c r="C2" s="30" t="s">
        <v>160</v>
      </c>
      <c r="E2" s="1" t="s">
        <v>161</v>
      </c>
      <c r="F2" s="1" t="s">
        <v>1</v>
      </c>
      <c r="G2" s="31" t="s">
        <v>162</v>
      </c>
      <c r="H2" s="1" t="s">
        <v>160</v>
      </c>
    </row>
    <row r="3" spans="1:8" ht="15.75" customHeight="1">
      <c r="A3" s="32" t="s">
        <v>163</v>
      </c>
      <c r="B3" s="33"/>
      <c r="C3" s="34"/>
      <c r="E3" s="220" t="s">
        <v>164</v>
      </c>
      <c r="F3" s="2" t="s">
        <v>165</v>
      </c>
      <c r="G3" s="35"/>
      <c r="H3" s="2"/>
    </row>
    <row r="4" spans="1:8" ht="15.75" customHeight="1">
      <c r="A4" s="32" t="s">
        <v>166</v>
      </c>
      <c r="B4" s="33"/>
      <c r="C4" s="36"/>
      <c r="E4" s="221"/>
      <c r="F4" s="2" t="s">
        <v>167</v>
      </c>
      <c r="G4" s="35"/>
      <c r="H4" s="2"/>
    </row>
    <row r="5" spans="1:8" ht="15.75" customHeight="1">
      <c r="A5" s="32" t="s">
        <v>168</v>
      </c>
      <c r="B5" s="37">
        <f>SUM(G3:G4)</f>
        <v>0</v>
      </c>
      <c r="C5" s="34"/>
      <c r="E5" s="222" t="s">
        <v>169</v>
      </c>
      <c r="F5" s="38" t="s">
        <v>170</v>
      </c>
      <c r="G5" s="176">
        <v>91</v>
      </c>
      <c r="H5" s="38"/>
    </row>
    <row r="6" spans="1:8" ht="15.75" customHeight="1">
      <c r="A6" s="32" t="s">
        <v>171</v>
      </c>
      <c r="B6" s="33"/>
      <c r="C6" s="34"/>
      <c r="E6" s="223"/>
      <c r="F6" s="38" t="s">
        <v>172</v>
      </c>
      <c r="G6" s="176">
        <v>236.2</v>
      </c>
      <c r="H6" s="2"/>
    </row>
    <row r="7" spans="1:8" ht="15.75" customHeight="1">
      <c r="A7" s="39" t="s">
        <v>173</v>
      </c>
      <c r="B7" s="37">
        <f>SUM(B3:B6)</f>
        <v>0</v>
      </c>
      <c r="C7" s="34"/>
      <c r="E7" s="223"/>
      <c r="F7" s="38" t="s">
        <v>174</v>
      </c>
      <c r="G7" s="176">
        <v>35</v>
      </c>
      <c r="H7" s="2"/>
    </row>
    <row r="8" spans="1:8" ht="15.75" customHeight="1">
      <c r="A8" s="40" t="s">
        <v>175</v>
      </c>
      <c r="B8" s="37">
        <f>SUM(G5:G12)</f>
        <v>477.2</v>
      </c>
      <c r="C8" s="41"/>
      <c r="E8" s="223"/>
      <c r="F8" s="38" t="s">
        <v>176</v>
      </c>
      <c r="G8" s="176"/>
      <c r="H8" s="2"/>
    </row>
    <row r="9" spans="1:8" ht="15.75" customHeight="1">
      <c r="A9" s="32" t="s">
        <v>177</v>
      </c>
      <c r="B9" s="37">
        <f>SUM(G13:G21)</f>
        <v>280.7</v>
      </c>
      <c r="C9" s="34"/>
      <c r="E9" s="223"/>
      <c r="F9" s="2" t="s">
        <v>178</v>
      </c>
      <c r="G9" s="176">
        <v>65</v>
      </c>
      <c r="H9" s="163"/>
    </row>
    <row r="10" spans="1:8" ht="15.75" customHeight="1">
      <c r="A10" s="36" t="s">
        <v>21</v>
      </c>
      <c r="B10" s="37">
        <f>B7+B8+B9</f>
        <v>757.9</v>
      </c>
      <c r="C10" s="34"/>
      <c r="E10" s="223"/>
      <c r="F10" s="2" t="s">
        <v>179</v>
      </c>
      <c r="G10" s="177">
        <v>30</v>
      </c>
      <c r="H10" s="2"/>
    </row>
    <row r="11" spans="1:8" ht="15.75" customHeight="1">
      <c r="E11" s="223"/>
      <c r="F11" s="2" t="s">
        <v>180</v>
      </c>
      <c r="G11" s="177">
        <v>20</v>
      </c>
      <c r="H11" s="2"/>
    </row>
    <row r="12" spans="1:8" ht="15.75" customHeight="1">
      <c r="E12" s="224"/>
      <c r="F12" s="2" t="s">
        <v>181</v>
      </c>
      <c r="G12" s="176" t="s">
        <v>128</v>
      </c>
      <c r="H12" s="163"/>
    </row>
    <row r="13" spans="1:8" ht="15.75" customHeight="1">
      <c r="E13" s="220" t="s">
        <v>53</v>
      </c>
      <c r="F13" s="2" t="s">
        <v>182</v>
      </c>
      <c r="G13" s="176">
        <v>30</v>
      </c>
      <c r="H13" s="42"/>
    </row>
    <row r="14" spans="1:8" ht="15.75" customHeight="1">
      <c r="E14" s="221"/>
      <c r="F14" s="2" t="s">
        <v>183</v>
      </c>
      <c r="G14" s="176">
        <v>30</v>
      </c>
      <c r="H14" s="2"/>
    </row>
    <row r="15" spans="1:8" ht="15.75" customHeight="1">
      <c r="E15" s="221"/>
      <c r="F15" s="2" t="s">
        <v>184</v>
      </c>
      <c r="G15" s="176"/>
      <c r="H15" s="2"/>
    </row>
    <row r="16" spans="1:8" ht="15.75" customHeight="1">
      <c r="E16" s="221"/>
      <c r="F16" s="2" t="s">
        <v>185</v>
      </c>
      <c r="G16" s="176">
        <v>5</v>
      </c>
      <c r="H16" s="2"/>
    </row>
    <row r="17" spans="1:10" ht="15.75" customHeight="1">
      <c r="E17" s="221"/>
      <c r="F17" s="2" t="s">
        <v>186</v>
      </c>
      <c r="G17" s="176">
        <v>120</v>
      </c>
      <c r="H17" s="2"/>
    </row>
    <row r="18" spans="1:10" ht="15.75" customHeight="1">
      <c r="E18" s="221"/>
      <c r="F18" s="2" t="s">
        <v>187</v>
      </c>
      <c r="G18" s="176">
        <v>30</v>
      </c>
      <c r="H18" s="2"/>
    </row>
    <row r="19" spans="1:10" ht="15.75" customHeight="1">
      <c r="E19" s="221"/>
      <c r="F19" s="2" t="s">
        <v>188</v>
      </c>
      <c r="G19" s="176">
        <f>65+0.7</f>
        <v>65.7</v>
      </c>
      <c r="H19" s="191" t="s">
        <v>274</v>
      </c>
    </row>
    <row r="20" spans="1:10" ht="15.75" customHeight="1">
      <c r="E20" s="221"/>
      <c r="F20" s="2" t="s">
        <v>189</v>
      </c>
      <c r="G20" s="35"/>
      <c r="H20" s="2"/>
    </row>
    <row r="21" spans="1:10" ht="15.75" customHeight="1">
      <c r="E21" s="225"/>
      <c r="F21" s="2" t="s">
        <v>135</v>
      </c>
      <c r="G21" s="35"/>
      <c r="H21" s="2"/>
    </row>
    <row r="22" spans="1:10" ht="20.25" customHeight="1">
      <c r="E22" s="1" t="s">
        <v>21</v>
      </c>
      <c r="F22" s="2"/>
      <c r="G22" s="31">
        <f>SUM(G3:G21)</f>
        <v>757.90000000000009</v>
      </c>
      <c r="H22" s="187" t="s">
        <v>261</v>
      </c>
    </row>
    <row r="23" spans="1:10" ht="30.75" customHeight="1">
      <c r="E23" s="216" t="s">
        <v>190</v>
      </c>
      <c r="F23" s="216"/>
      <c r="G23" s="216"/>
      <c r="H23" s="216"/>
    </row>
    <row r="25" spans="1:10" ht="17.25">
      <c r="A25" s="19" t="s">
        <v>1</v>
      </c>
      <c r="B25" s="19" t="s">
        <v>159</v>
      </c>
      <c r="C25" s="19" t="s">
        <v>191</v>
      </c>
      <c r="D25" s="178" t="s">
        <v>247</v>
      </c>
      <c r="E25" s="178" t="s">
        <v>256</v>
      </c>
      <c r="F25" s="178" t="s">
        <v>257</v>
      </c>
      <c r="G25" s="178" t="s">
        <v>258</v>
      </c>
      <c r="H25" s="178" t="s">
        <v>259</v>
      </c>
      <c r="I25" s="22" t="s">
        <v>21</v>
      </c>
      <c r="J25" s="46" t="s">
        <v>194</v>
      </c>
    </row>
    <row r="26" spans="1:10" ht="16.5">
      <c r="A26" s="43" t="s">
        <v>153</v>
      </c>
      <c r="B26" s="44">
        <f>(B5+B8)*10000</f>
        <v>4772000</v>
      </c>
      <c r="C26" s="45">
        <v>0.05</v>
      </c>
      <c r="D26" s="13">
        <f>B26*(1-C26)/3</f>
        <v>1511133.3333333333</v>
      </c>
      <c r="E26" s="13">
        <f t="shared" ref="E26:F27" si="0">D26</f>
        <v>1511133.3333333333</v>
      </c>
      <c r="F26" s="13">
        <f t="shared" si="0"/>
        <v>1511133.3333333333</v>
      </c>
      <c r="G26" s="13"/>
      <c r="H26" s="13"/>
      <c r="I26" s="13">
        <f>SUM(D26:H26)</f>
        <v>4533400</v>
      </c>
      <c r="J26" s="13">
        <f>B26*0.05</f>
        <v>238600</v>
      </c>
    </row>
    <row r="27" spans="1:10" ht="16.5">
      <c r="A27" s="43" t="s">
        <v>195</v>
      </c>
      <c r="B27" s="44">
        <f>B9*10000</f>
        <v>2807000</v>
      </c>
      <c r="C27" s="13"/>
      <c r="D27" s="13">
        <f>B27/3</f>
        <v>935666.66666666663</v>
      </c>
      <c r="E27" s="13">
        <f t="shared" si="0"/>
        <v>935666.66666666663</v>
      </c>
      <c r="F27" s="13">
        <f t="shared" si="0"/>
        <v>935666.66666666663</v>
      </c>
      <c r="G27" s="13"/>
      <c r="H27" s="13"/>
      <c r="I27" s="13">
        <f>SUM(D27:H27)</f>
        <v>2807000</v>
      </c>
      <c r="J27" s="13"/>
    </row>
    <row r="28" spans="1:10" ht="16.5">
      <c r="A28" s="217" t="s">
        <v>115</v>
      </c>
      <c r="B28" s="218"/>
      <c r="C28" s="219"/>
      <c r="D28" s="13">
        <f>SUM(D26:D27)</f>
        <v>2446800</v>
      </c>
      <c r="E28" s="13">
        <f t="shared" ref="E28:H28" si="1">SUM(E26:E27)</f>
        <v>2446800</v>
      </c>
      <c r="F28" s="13">
        <f t="shared" si="1"/>
        <v>2446800</v>
      </c>
      <c r="G28" s="13">
        <f t="shared" si="1"/>
        <v>0</v>
      </c>
      <c r="H28" s="13">
        <f t="shared" si="1"/>
        <v>0</v>
      </c>
      <c r="I28" s="47"/>
      <c r="J28" s="4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2023-09-26T01:53:11Z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