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一汽解放青岛悍V座椅项目\"/>
    </mc:Choice>
  </mc:AlternateContent>
  <bookViews>
    <workbookView xWindow="0" yWindow="0" windowWidth="20925" windowHeight="9390" tabRatio="810" activeTab="2"/>
  </bookViews>
  <sheets>
    <sheet name="假设条件" sheetId="34" r:id="rId1"/>
    <sheet name="现金" sheetId="36" state="hidden" r:id="rId2"/>
    <sheet name="损益表" sheetId="56" r:id="rId3"/>
    <sheet name="2023年" sheetId="43" r:id="rId4"/>
    <sheet name="2024年" sheetId="57" r:id="rId5"/>
    <sheet name="2025年" sheetId="58" r:id="rId6"/>
    <sheet name="2026年" sheetId="59" r:id="rId7"/>
    <sheet name="2027年" sheetId="60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3">'2023年'!$A$1:$N$48</definedName>
    <definedName name="_xlnm.Print_Area" localSheetId="4">'2024年'!$A$1:$N$48</definedName>
    <definedName name="_xlnm.Print_Area" localSheetId="5">'2025年'!$A$1:$N$48</definedName>
    <definedName name="_xlnm.Print_Area" localSheetId="6">'2026年'!$A$1:$N$48</definedName>
    <definedName name="_xlnm.Print_Area" localSheetId="7">'2027年'!$A$1:$N$48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E42" i="56" l="1"/>
  <c r="F42" i="56"/>
  <c r="G42" i="56"/>
  <c r="E43" i="56"/>
  <c r="F43" i="56"/>
  <c r="G43" i="56"/>
  <c r="E44" i="56"/>
  <c r="F44" i="56"/>
  <c r="G44" i="56"/>
  <c r="E45" i="56"/>
  <c r="F45" i="56"/>
  <c r="G45" i="56"/>
  <c r="E46" i="56"/>
  <c r="F46" i="56"/>
  <c r="G46" i="56"/>
  <c r="E48" i="56"/>
  <c r="F48" i="56"/>
  <c r="G48" i="56"/>
  <c r="E49" i="56"/>
  <c r="F49" i="56"/>
  <c r="G49" i="56"/>
  <c r="E50" i="56"/>
  <c r="F50" i="56"/>
  <c r="G50" i="56"/>
  <c r="E51" i="56"/>
  <c r="F51" i="56"/>
  <c r="G51" i="56"/>
  <c r="E52" i="56"/>
  <c r="F52" i="56"/>
  <c r="G52" i="56"/>
  <c r="E53" i="56"/>
  <c r="F53" i="56"/>
  <c r="G53" i="56"/>
  <c r="E54" i="56"/>
  <c r="F54" i="56"/>
  <c r="G54" i="56"/>
  <c r="E60" i="56"/>
  <c r="E59" i="56" s="1"/>
  <c r="F60" i="56"/>
  <c r="F59" i="56" s="1"/>
  <c r="G60" i="56"/>
  <c r="G59" i="56" s="1"/>
  <c r="D30" i="56"/>
  <c r="E30" i="56"/>
  <c r="E32" i="56" s="1"/>
  <c r="E33" i="56" s="1"/>
  <c r="F30" i="56"/>
  <c r="F32" i="56" s="1"/>
  <c r="F33" i="56" s="1"/>
  <c r="G30" i="56"/>
  <c r="D31" i="56"/>
  <c r="E31" i="56"/>
  <c r="F31" i="56"/>
  <c r="G31" i="56"/>
  <c r="D32" i="56"/>
  <c r="D33" i="56" s="1"/>
  <c r="G32" i="56"/>
  <c r="G33" i="56" s="1"/>
  <c r="D35" i="56"/>
  <c r="E35" i="56"/>
  <c r="F35" i="56"/>
  <c r="G35" i="56"/>
  <c r="D36" i="56"/>
  <c r="E36" i="56"/>
  <c r="F36" i="56"/>
  <c r="G36" i="56"/>
  <c r="D37" i="56"/>
  <c r="E37" i="56"/>
  <c r="F37" i="56"/>
  <c r="G37" i="56"/>
  <c r="D39" i="56"/>
  <c r="E39" i="56"/>
  <c r="E40" i="56" s="1"/>
  <c r="F39" i="56"/>
  <c r="G39" i="56"/>
  <c r="D40" i="56"/>
  <c r="F40" i="56"/>
  <c r="G40" i="56"/>
  <c r="H23" i="56"/>
  <c r="N25" i="60"/>
  <c r="M25" i="60"/>
  <c r="L25" i="60"/>
  <c r="K25" i="60"/>
  <c r="J25" i="60"/>
  <c r="I25" i="60"/>
  <c r="H25" i="60"/>
  <c r="G25" i="60"/>
  <c r="F25" i="60"/>
  <c r="E25" i="60"/>
  <c r="D25" i="60"/>
  <c r="C25" i="60"/>
  <c r="N25" i="59"/>
  <c r="M25" i="59"/>
  <c r="L25" i="59"/>
  <c r="K25" i="59"/>
  <c r="J25" i="59"/>
  <c r="I25" i="59"/>
  <c r="H25" i="59"/>
  <c r="G25" i="59"/>
  <c r="F25" i="59"/>
  <c r="E25" i="59"/>
  <c r="D25" i="59"/>
  <c r="C25" i="59"/>
  <c r="N25" i="58"/>
  <c r="M25" i="58"/>
  <c r="L25" i="58"/>
  <c r="K25" i="58"/>
  <c r="J25" i="58"/>
  <c r="I25" i="58"/>
  <c r="H25" i="58"/>
  <c r="G25" i="58"/>
  <c r="F25" i="58"/>
  <c r="E25" i="58"/>
  <c r="D25" i="58"/>
  <c r="C25" i="58"/>
  <c r="N25" i="57"/>
  <c r="M25" i="57"/>
  <c r="L25" i="57"/>
  <c r="K25" i="57"/>
  <c r="J25" i="57"/>
  <c r="I25" i="57"/>
  <c r="H25" i="57"/>
  <c r="G25" i="57"/>
  <c r="F25" i="57"/>
  <c r="E25" i="57"/>
  <c r="D25" i="57"/>
  <c r="C25" i="57"/>
  <c r="N25" i="43"/>
  <c r="D25" i="43"/>
  <c r="E25" i="43"/>
  <c r="F25" i="43"/>
  <c r="G25" i="43"/>
  <c r="H25" i="43"/>
  <c r="I25" i="43"/>
  <c r="J25" i="43"/>
  <c r="K25" i="43"/>
  <c r="L25" i="43"/>
  <c r="M25" i="43"/>
  <c r="C25" i="43"/>
  <c r="G4" i="56" l="1"/>
  <c r="G5" i="56"/>
  <c r="G6" i="56"/>
  <c r="G7" i="56"/>
  <c r="G9" i="56"/>
  <c r="G10" i="56"/>
  <c r="G11" i="56"/>
  <c r="G12" i="56"/>
  <c r="G15" i="56"/>
  <c r="G16" i="56"/>
  <c r="G17" i="56"/>
  <c r="G18" i="56"/>
  <c r="G19" i="56"/>
  <c r="G20" i="56"/>
  <c r="G21" i="56"/>
  <c r="F4" i="56"/>
  <c r="F5" i="56"/>
  <c r="F6" i="56"/>
  <c r="F7" i="56"/>
  <c r="F9" i="56"/>
  <c r="F10" i="56"/>
  <c r="F11" i="56"/>
  <c r="F12" i="56"/>
  <c r="F15" i="56"/>
  <c r="F16" i="56"/>
  <c r="F17" i="56"/>
  <c r="F18" i="56"/>
  <c r="F19" i="56"/>
  <c r="F20" i="56"/>
  <c r="F21" i="56"/>
  <c r="E4" i="56"/>
  <c r="E5" i="56"/>
  <c r="E6" i="56"/>
  <c r="E7" i="56"/>
  <c r="E9" i="56"/>
  <c r="E10" i="56"/>
  <c r="E11" i="56"/>
  <c r="E12" i="56"/>
  <c r="E15" i="56"/>
  <c r="E16" i="56"/>
  <c r="E17" i="56"/>
  <c r="E18" i="56"/>
  <c r="E19" i="56"/>
  <c r="E20" i="56"/>
  <c r="E21" i="56"/>
  <c r="D33" i="43"/>
  <c r="E33" i="43"/>
  <c r="F33" i="43"/>
  <c r="G33" i="43"/>
  <c r="H33" i="43"/>
  <c r="I33" i="43"/>
  <c r="J33" i="43"/>
  <c r="K33" i="43"/>
  <c r="L33" i="43"/>
  <c r="M33" i="43"/>
  <c r="D33" i="57"/>
  <c r="E33" i="57"/>
  <c r="F33" i="57"/>
  <c r="G33" i="57"/>
  <c r="H33" i="57"/>
  <c r="I33" i="57"/>
  <c r="J33" i="57"/>
  <c r="K33" i="57"/>
  <c r="L33" i="57"/>
  <c r="M33" i="57"/>
  <c r="D33" i="58"/>
  <c r="E33" i="58"/>
  <c r="F33" i="58"/>
  <c r="G33" i="58"/>
  <c r="H33" i="58"/>
  <c r="I33" i="58"/>
  <c r="J33" i="58"/>
  <c r="K33" i="58"/>
  <c r="L33" i="58"/>
  <c r="M33" i="58"/>
  <c r="D33" i="59"/>
  <c r="E33" i="59"/>
  <c r="F33" i="59"/>
  <c r="G33" i="59"/>
  <c r="H33" i="59"/>
  <c r="I33" i="59"/>
  <c r="J33" i="59"/>
  <c r="K33" i="59"/>
  <c r="L33" i="59"/>
  <c r="M33" i="59"/>
  <c r="D33" i="60"/>
  <c r="E33" i="60"/>
  <c r="F33" i="60"/>
  <c r="G33" i="60"/>
  <c r="H33" i="60"/>
  <c r="I33" i="60"/>
  <c r="J33" i="60"/>
  <c r="K33" i="60"/>
  <c r="L33" i="60"/>
  <c r="M33" i="60"/>
  <c r="C6" i="60"/>
  <c r="C6" i="59"/>
  <c r="C3" i="60"/>
  <c r="D3" i="60"/>
  <c r="E3" i="60"/>
  <c r="F3" i="60"/>
  <c r="G3" i="60"/>
  <c r="H3" i="60"/>
  <c r="I3" i="60"/>
  <c r="J3" i="60"/>
  <c r="K3" i="60"/>
  <c r="L3" i="60"/>
  <c r="M3" i="60"/>
  <c r="C4" i="60"/>
  <c r="D4" i="60"/>
  <c r="E4" i="60"/>
  <c r="F4" i="60"/>
  <c r="G4" i="60"/>
  <c r="H4" i="60"/>
  <c r="I4" i="60"/>
  <c r="J4" i="60"/>
  <c r="K4" i="60"/>
  <c r="L4" i="60"/>
  <c r="M4" i="60"/>
  <c r="C5" i="60"/>
  <c r="D5" i="60"/>
  <c r="E5" i="60"/>
  <c r="F5" i="60"/>
  <c r="G5" i="60"/>
  <c r="H5" i="60"/>
  <c r="I5" i="60"/>
  <c r="J5" i="60"/>
  <c r="K5" i="60"/>
  <c r="L5" i="60"/>
  <c r="M5" i="60"/>
  <c r="C3" i="59"/>
  <c r="D3" i="59"/>
  <c r="E3" i="59"/>
  <c r="F3" i="59"/>
  <c r="G3" i="59"/>
  <c r="H3" i="59"/>
  <c r="I3" i="59"/>
  <c r="J3" i="59"/>
  <c r="K3" i="59"/>
  <c r="L3" i="59"/>
  <c r="M3" i="59"/>
  <c r="C4" i="59"/>
  <c r="D4" i="59"/>
  <c r="E4" i="59"/>
  <c r="F4" i="59"/>
  <c r="G4" i="59"/>
  <c r="H4" i="59"/>
  <c r="I4" i="59"/>
  <c r="J4" i="59"/>
  <c r="K4" i="59"/>
  <c r="L4" i="59"/>
  <c r="M4" i="59"/>
  <c r="C5" i="59"/>
  <c r="D5" i="59"/>
  <c r="E5" i="59"/>
  <c r="F5" i="59"/>
  <c r="G5" i="59"/>
  <c r="H5" i="59"/>
  <c r="I5" i="59"/>
  <c r="J5" i="59"/>
  <c r="K5" i="59"/>
  <c r="L5" i="59"/>
  <c r="M5" i="59"/>
  <c r="C3" i="58"/>
  <c r="D3" i="58"/>
  <c r="E3" i="58"/>
  <c r="F3" i="58"/>
  <c r="G3" i="58"/>
  <c r="H3" i="58"/>
  <c r="I3" i="58"/>
  <c r="J3" i="58"/>
  <c r="K3" i="58"/>
  <c r="L3" i="58"/>
  <c r="M3" i="58"/>
  <c r="C4" i="58"/>
  <c r="D4" i="58"/>
  <c r="E4" i="58"/>
  <c r="F4" i="58"/>
  <c r="G4" i="58"/>
  <c r="H4" i="58"/>
  <c r="I4" i="58"/>
  <c r="J4" i="58"/>
  <c r="K4" i="58"/>
  <c r="L4" i="58"/>
  <c r="M4" i="58"/>
  <c r="C5" i="58"/>
  <c r="D5" i="58"/>
  <c r="E5" i="58"/>
  <c r="F5" i="58"/>
  <c r="G5" i="58"/>
  <c r="H5" i="58"/>
  <c r="I5" i="58"/>
  <c r="J5" i="58"/>
  <c r="K5" i="58"/>
  <c r="L5" i="58"/>
  <c r="M5" i="58"/>
  <c r="C3" i="57"/>
  <c r="D3" i="57"/>
  <c r="E3" i="57"/>
  <c r="F3" i="57"/>
  <c r="G3" i="57"/>
  <c r="H3" i="57"/>
  <c r="I3" i="57"/>
  <c r="J3" i="57"/>
  <c r="K3" i="57"/>
  <c r="L3" i="57"/>
  <c r="M3" i="57"/>
  <c r="C4" i="57"/>
  <c r="D4" i="57"/>
  <c r="E4" i="57"/>
  <c r="F4" i="57"/>
  <c r="G4" i="57"/>
  <c r="H4" i="57"/>
  <c r="I4" i="57"/>
  <c r="J4" i="57"/>
  <c r="K4" i="57"/>
  <c r="L4" i="57"/>
  <c r="M4" i="57"/>
  <c r="C5" i="57"/>
  <c r="D5" i="57"/>
  <c r="E5" i="57"/>
  <c r="F5" i="57"/>
  <c r="G5" i="57"/>
  <c r="H5" i="57"/>
  <c r="I5" i="57"/>
  <c r="J5" i="57"/>
  <c r="K5" i="57"/>
  <c r="L5" i="57"/>
  <c r="M5" i="57"/>
  <c r="C3" i="43"/>
  <c r="D3" i="43"/>
  <c r="E3" i="43"/>
  <c r="F3" i="43"/>
  <c r="G3" i="43"/>
  <c r="H3" i="43"/>
  <c r="I3" i="43"/>
  <c r="J3" i="43"/>
  <c r="K3" i="43"/>
  <c r="L3" i="43"/>
  <c r="M3" i="43"/>
  <c r="C4" i="43"/>
  <c r="D4" i="43"/>
  <c r="E4" i="43"/>
  <c r="F4" i="43"/>
  <c r="G4" i="43"/>
  <c r="H4" i="43"/>
  <c r="I4" i="43"/>
  <c r="J4" i="43"/>
  <c r="K4" i="43"/>
  <c r="L4" i="43"/>
  <c r="M4" i="43"/>
  <c r="F27" i="51"/>
  <c r="G27" i="51"/>
  <c r="H27" i="51" s="1"/>
  <c r="D27" i="51"/>
  <c r="F26" i="51"/>
  <c r="G26" i="51" s="1"/>
  <c r="H26" i="51" s="1"/>
  <c r="D26" i="51"/>
  <c r="I4" i="51"/>
  <c r="I5" i="51"/>
  <c r="I6" i="51"/>
  <c r="I7" i="51"/>
  <c r="I8" i="51"/>
  <c r="I9" i="51"/>
  <c r="I10" i="51"/>
  <c r="I11" i="51"/>
  <c r="I12" i="51"/>
  <c r="I13" i="51"/>
  <c r="I14" i="51"/>
  <c r="I15" i="51"/>
  <c r="I16" i="51"/>
  <c r="I17" i="51"/>
  <c r="I18" i="51"/>
  <c r="I19" i="51"/>
  <c r="I20" i="51"/>
  <c r="I21" i="51"/>
  <c r="I3" i="51"/>
  <c r="Q7" i="55"/>
  <c r="D3" i="53" l="1"/>
  <c r="D4" i="53"/>
  <c r="E4" i="53"/>
  <c r="F4" i="53"/>
  <c r="G4" i="53"/>
  <c r="H4" i="53"/>
  <c r="I4" i="53"/>
  <c r="J4" i="53"/>
  <c r="K4" i="53"/>
  <c r="L4" i="53"/>
  <c r="M4" i="53"/>
  <c r="N4" i="53"/>
  <c r="D5" i="53"/>
  <c r="E5" i="53"/>
  <c r="F5" i="53"/>
  <c r="G5" i="53"/>
  <c r="H5" i="53"/>
  <c r="I5" i="53"/>
  <c r="J5" i="53"/>
  <c r="K5" i="53"/>
  <c r="L5" i="53"/>
  <c r="M5" i="53"/>
  <c r="N5" i="53"/>
  <c r="C2" i="60"/>
  <c r="C2" i="59"/>
  <c r="C2" i="58"/>
  <c r="C2" i="57"/>
  <c r="L32" i="60"/>
  <c r="I32" i="60"/>
  <c r="M31" i="60"/>
  <c r="M32" i="60" s="1"/>
  <c r="L31" i="60"/>
  <c r="K31" i="60"/>
  <c r="K32" i="60" s="1"/>
  <c r="J31" i="60"/>
  <c r="J32" i="60" s="1"/>
  <c r="I31" i="60"/>
  <c r="H31" i="60"/>
  <c r="H32" i="60" s="1"/>
  <c r="G31" i="60"/>
  <c r="G32" i="60" s="1"/>
  <c r="F31" i="60"/>
  <c r="F32" i="60" s="1"/>
  <c r="E31" i="60"/>
  <c r="E32" i="60" s="1"/>
  <c r="D31" i="60"/>
  <c r="D32" i="60" s="1"/>
  <c r="C31" i="60"/>
  <c r="C32" i="60" s="1"/>
  <c r="M6" i="60"/>
  <c r="L6" i="60"/>
  <c r="K6" i="60"/>
  <c r="J6" i="60"/>
  <c r="I6" i="60"/>
  <c r="H6" i="60"/>
  <c r="G6" i="60"/>
  <c r="F6" i="60"/>
  <c r="E6" i="60"/>
  <c r="D6" i="60"/>
  <c r="N6" i="60"/>
  <c r="K32" i="59"/>
  <c r="H32" i="59"/>
  <c r="M31" i="59"/>
  <c r="M32" i="59" s="1"/>
  <c r="L31" i="59"/>
  <c r="L32" i="59" s="1"/>
  <c r="K31" i="59"/>
  <c r="J31" i="59"/>
  <c r="J32" i="59" s="1"/>
  <c r="I31" i="59"/>
  <c r="I32" i="59" s="1"/>
  <c r="H31" i="59"/>
  <c r="G31" i="59"/>
  <c r="G32" i="59" s="1"/>
  <c r="F31" i="59"/>
  <c r="F32" i="59" s="1"/>
  <c r="E31" i="59"/>
  <c r="E32" i="59" s="1"/>
  <c r="D31" i="59"/>
  <c r="D32" i="59" s="1"/>
  <c r="C31" i="59"/>
  <c r="C32" i="59" s="1"/>
  <c r="M6" i="59"/>
  <c r="L6" i="59"/>
  <c r="K6" i="59"/>
  <c r="J6" i="59"/>
  <c r="I6" i="59"/>
  <c r="H6" i="59"/>
  <c r="G6" i="59"/>
  <c r="F6" i="59"/>
  <c r="E6" i="59"/>
  <c r="D6" i="59"/>
  <c r="G7" i="60" l="1"/>
  <c r="M7" i="60"/>
  <c r="E7" i="60"/>
  <c r="H7" i="60"/>
  <c r="K7" i="60"/>
  <c r="D7" i="60"/>
  <c r="J7" i="60"/>
  <c r="C7" i="60"/>
  <c r="F7" i="60"/>
  <c r="I7" i="60"/>
  <c r="L7" i="60"/>
  <c r="E7" i="59"/>
  <c r="H7" i="59"/>
  <c r="K7" i="59"/>
  <c r="N6" i="59"/>
  <c r="D7" i="59"/>
  <c r="G7" i="59"/>
  <c r="J7" i="59"/>
  <c r="M7" i="59"/>
  <c r="C7" i="59"/>
  <c r="F7" i="59"/>
  <c r="I7" i="59"/>
  <c r="L7" i="59"/>
  <c r="D6" i="58"/>
  <c r="E6" i="58"/>
  <c r="F6" i="58"/>
  <c r="G6" i="58"/>
  <c r="H6" i="58"/>
  <c r="I6" i="58"/>
  <c r="J6" i="58"/>
  <c r="K6" i="58"/>
  <c r="L6" i="58"/>
  <c r="M6" i="58"/>
  <c r="E6" i="57"/>
  <c r="F6" i="57"/>
  <c r="G6" i="57"/>
  <c r="H6" i="57"/>
  <c r="I6" i="57"/>
  <c r="J6" i="57"/>
  <c r="K6" i="57"/>
  <c r="L6" i="57"/>
  <c r="M6" i="57"/>
  <c r="D6" i="43"/>
  <c r="E6" i="43"/>
  <c r="F6" i="43"/>
  <c r="G6" i="43"/>
  <c r="H6" i="43"/>
  <c r="I6" i="43"/>
  <c r="J6" i="43"/>
  <c r="K6" i="43"/>
  <c r="L6" i="43"/>
  <c r="M6" i="43"/>
  <c r="N7" i="60" l="1"/>
  <c r="N7" i="59"/>
  <c r="N8" i="55"/>
  <c r="N9" i="55"/>
  <c r="G139" i="50" l="1"/>
  <c r="F137" i="50"/>
  <c r="G136" i="50"/>
  <c r="F136" i="50"/>
  <c r="G126" i="50"/>
  <c r="F124" i="50"/>
  <c r="G123" i="50"/>
  <c r="F123" i="50"/>
  <c r="G113" i="50"/>
  <c r="F111" i="50"/>
  <c r="G110" i="50"/>
  <c r="F110" i="50"/>
  <c r="G100" i="50"/>
  <c r="F98" i="50"/>
  <c r="G97" i="50"/>
  <c r="F97" i="50"/>
  <c r="G93" i="50"/>
  <c r="D99" i="50" s="1"/>
  <c r="G87" i="50"/>
  <c r="F85" i="50"/>
  <c r="G84" i="50"/>
  <c r="F84" i="50"/>
  <c r="G74" i="50"/>
  <c r="F72" i="50"/>
  <c r="G71" i="50"/>
  <c r="F71" i="50"/>
  <c r="G61" i="50"/>
  <c r="F59" i="50"/>
  <c r="G58" i="50"/>
  <c r="F58" i="50"/>
  <c r="G48" i="50"/>
  <c r="F46" i="50"/>
  <c r="G45" i="50"/>
  <c r="F45" i="50"/>
  <c r="G41" i="50"/>
  <c r="D42" i="50" s="1"/>
  <c r="G35" i="50"/>
  <c r="F33" i="50"/>
  <c r="G32" i="50"/>
  <c r="F32" i="50"/>
  <c r="G22" i="50"/>
  <c r="F20" i="50"/>
  <c r="G19" i="50"/>
  <c r="F19" i="50"/>
  <c r="G10" i="50"/>
  <c r="F8" i="50"/>
  <c r="G7" i="50"/>
  <c r="F7" i="50"/>
  <c r="N12" i="53"/>
  <c r="M12" i="53"/>
  <c r="L12" i="53"/>
  <c r="K12" i="53"/>
  <c r="J12" i="53"/>
  <c r="I12" i="53"/>
  <c r="H16" i="55" s="1"/>
  <c r="H17" i="55" s="1"/>
  <c r="H18" i="55" s="1"/>
  <c r="H12" i="53"/>
  <c r="G16" i="55" s="1"/>
  <c r="G12" i="53"/>
  <c r="F12" i="53"/>
  <c r="E12" i="53"/>
  <c r="D12" i="53"/>
  <c r="D13" i="53" s="1"/>
  <c r="D14" i="53" s="1"/>
  <c r="D15" i="53" s="1"/>
  <c r="M14" i="55"/>
  <c r="L14" i="55"/>
  <c r="K14" i="55"/>
  <c r="J14" i="55"/>
  <c r="I14" i="55"/>
  <c r="H14" i="55"/>
  <c r="G14" i="55"/>
  <c r="F14" i="55"/>
  <c r="E14" i="55"/>
  <c r="D14" i="55"/>
  <c r="C14" i="55"/>
  <c r="N13" i="55"/>
  <c r="N12" i="55"/>
  <c r="N11" i="55"/>
  <c r="N10" i="55"/>
  <c r="N14" i="55" s="1"/>
  <c r="G132" i="50"/>
  <c r="D138" i="50" s="1"/>
  <c r="G106" i="50"/>
  <c r="D111" i="50" s="1"/>
  <c r="G80" i="50"/>
  <c r="G31" i="58"/>
  <c r="G32" i="58" s="1"/>
  <c r="G28" i="50"/>
  <c r="G3" i="50"/>
  <c r="D11" i="50" s="1"/>
  <c r="P7" i="55"/>
  <c r="P8" i="55" s="1"/>
  <c r="P9" i="55" s="1"/>
  <c r="H28" i="51"/>
  <c r="G28" i="51"/>
  <c r="G22" i="51"/>
  <c r="B9" i="51"/>
  <c r="B27" i="51" s="1"/>
  <c r="C57" i="56" s="1"/>
  <c r="B8" i="51"/>
  <c r="B5" i="51"/>
  <c r="B7" i="51" s="1"/>
  <c r="F36" i="58"/>
  <c r="M31" i="58"/>
  <c r="M32" i="58" s="1"/>
  <c r="K31" i="58"/>
  <c r="K32" i="58" s="1"/>
  <c r="J31" i="58"/>
  <c r="J32" i="58" s="1"/>
  <c r="I31" i="58"/>
  <c r="I32" i="58" s="1"/>
  <c r="F31" i="58"/>
  <c r="F32" i="58" s="1"/>
  <c r="E31" i="58"/>
  <c r="E32" i="58" s="1"/>
  <c r="C31" i="58"/>
  <c r="C32" i="58" s="1"/>
  <c r="F11" i="58"/>
  <c r="M7" i="58"/>
  <c r="L7" i="58"/>
  <c r="J7" i="58"/>
  <c r="H7" i="58"/>
  <c r="F7" i="58"/>
  <c r="E7" i="58"/>
  <c r="C6" i="58"/>
  <c r="F36" i="57"/>
  <c r="K32" i="57"/>
  <c r="F32" i="57"/>
  <c r="M31" i="57"/>
  <c r="M32" i="57" s="1"/>
  <c r="L31" i="57"/>
  <c r="L32" i="57" s="1"/>
  <c r="K31" i="57"/>
  <c r="J31" i="57"/>
  <c r="J32" i="57" s="1"/>
  <c r="I31" i="57"/>
  <c r="I32" i="57" s="1"/>
  <c r="H31" i="57"/>
  <c r="H32" i="57" s="1"/>
  <c r="G31" i="57"/>
  <c r="G32" i="57" s="1"/>
  <c r="F31" i="57"/>
  <c r="E31" i="57"/>
  <c r="E32" i="57" s="1"/>
  <c r="D31" i="57"/>
  <c r="D32" i="57" s="1"/>
  <c r="C31" i="57"/>
  <c r="C32" i="57" s="1"/>
  <c r="M7" i="57"/>
  <c r="L7" i="57"/>
  <c r="E7" i="57"/>
  <c r="D7" i="57"/>
  <c r="D6" i="57"/>
  <c r="C6" i="57"/>
  <c r="F36" i="43"/>
  <c r="L10" i="43"/>
  <c r="K10" i="43"/>
  <c r="J10" i="43"/>
  <c r="I10" i="43"/>
  <c r="H10" i="43"/>
  <c r="D10" i="43"/>
  <c r="H32" i="43"/>
  <c r="M31" i="43"/>
  <c r="M32" i="43" s="1"/>
  <c r="L31" i="43"/>
  <c r="L32" i="43" s="1"/>
  <c r="K31" i="43"/>
  <c r="K32" i="43" s="1"/>
  <c r="J31" i="43"/>
  <c r="J32" i="43" s="1"/>
  <c r="I31" i="43"/>
  <c r="I32" i="43" s="1"/>
  <c r="H31" i="43"/>
  <c r="G31" i="43"/>
  <c r="G32" i="43" s="1"/>
  <c r="F31" i="43"/>
  <c r="F32" i="43" s="1"/>
  <c r="E31" i="43"/>
  <c r="E32" i="43" s="1"/>
  <c r="D31" i="43"/>
  <c r="D32" i="43" s="1"/>
  <c r="C31" i="43"/>
  <c r="C32" i="43" s="1"/>
  <c r="N8" i="43"/>
  <c r="M7" i="43"/>
  <c r="M9" i="43" s="1"/>
  <c r="L7" i="43"/>
  <c r="L9" i="43" s="1"/>
  <c r="K7" i="43"/>
  <c r="K9" i="43" s="1"/>
  <c r="J7" i="43"/>
  <c r="J9" i="43" s="1"/>
  <c r="I7" i="43"/>
  <c r="I9" i="43" s="1"/>
  <c r="H7" i="43"/>
  <c r="H9" i="43" s="1"/>
  <c r="E7" i="43"/>
  <c r="E9" i="43" s="1"/>
  <c r="D7" i="43"/>
  <c r="D9" i="43" s="1"/>
  <c r="C6" i="43"/>
  <c r="H61" i="56"/>
  <c r="C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L6" i="36"/>
  <c r="K6" i="36"/>
  <c r="K5" i="36" s="1"/>
  <c r="J6" i="36"/>
  <c r="I6" i="36"/>
  <c r="I5" i="36" s="1"/>
  <c r="H6" i="36"/>
  <c r="G6" i="36"/>
  <c r="G5" i="36" s="1"/>
  <c r="F6" i="36"/>
  <c r="E6" i="36"/>
  <c r="E5" i="36" s="1"/>
  <c r="L5" i="36"/>
  <c r="J5" i="36"/>
  <c r="H5" i="36"/>
  <c r="F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G10" i="36" l="1"/>
  <c r="J10" i="36"/>
  <c r="J17" i="36" s="1"/>
  <c r="J19" i="36" s="1"/>
  <c r="D16" i="53"/>
  <c r="C33" i="60" s="1"/>
  <c r="C33" i="59"/>
  <c r="C10" i="36"/>
  <c r="C17" i="36" s="1"/>
  <c r="F10" i="36"/>
  <c r="F17" i="36" s="1"/>
  <c r="F19" i="36" s="1"/>
  <c r="K10" i="36"/>
  <c r="M14" i="36"/>
  <c r="H34" i="43"/>
  <c r="D7" i="50"/>
  <c r="D35" i="50"/>
  <c r="D47" i="50"/>
  <c r="F44" i="58" s="1"/>
  <c r="F19" i="58" s="1"/>
  <c r="K45" i="57"/>
  <c r="K45" i="60"/>
  <c r="K20" i="60" s="1"/>
  <c r="K45" i="59"/>
  <c r="K20" i="59" s="1"/>
  <c r="J44" i="58"/>
  <c r="J19" i="58" s="1"/>
  <c r="J44" i="60"/>
  <c r="J19" i="60" s="1"/>
  <c r="J44" i="59"/>
  <c r="J19" i="59" s="1"/>
  <c r="J44" i="57"/>
  <c r="J44" i="43"/>
  <c r="J19" i="43" s="1"/>
  <c r="F44" i="60"/>
  <c r="F19" i="60" s="1"/>
  <c r="C47" i="60"/>
  <c r="C22" i="60" s="1"/>
  <c r="C47" i="59"/>
  <c r="C22" i="59" s="1"/>
  <c r="F36" i="60"/>
  <c r="F36" i="59"/>
  <c r="D97" i="50"/>
  <c r="D109" i="50"/>
  <c r="M44" i="60"/>
  <c r="M19" i="60" s="1"/>
  <c r="M44" i="59"/>
  <c r="M19" i="59" s="1"/>
  <c r="D139" i="50"/>
  <c r="E38" i="57"/>
  <c r="E13" i="57" s="1"/>
  <c r="E38" i="60"/>
  <c r="E13" i="60" s="1"/>
  <c r="E38" i="59"/>
  <c r="E13" i="59" s="1"/>
  <c r="D45" i="50"/>
  <c r="D49" i="50"/>
  <c r="D110" i="50"/>
  <c r="M16" i="55"/>
  <c r="M17" i="55" s="1"/>
  <c r="M18" i="55" s="1"/>
  <c r="K34" i="43"/>
  <c r="M10" i="43"/>
  <c r="K16" i="55"/>
  <c r="K17" i="55" s="1"/>
  <c r="K18" i="55" s="1"/>
  <c r="L16" i="55"/>
  <c r="L17" i="55" s="1"/>
  <c r="L18" i="55" s="1"/>
  <c r="G17" i="55"/>
  <c r="G18" i="55" s="1"/>
  <c r="J10" i="57"/>
  <c r="I16" i="55"/>
  <c r="I17" i="55" s="1"/>
  <c r="I18" i="55" s="1"/>
  <c r="F34" i="43"/>
  <c r="E34" i="43"/>
  <c r="B26" i="51"/>
  <c r="C58" i="56" s="1"/>
  <c r="C56" i="56" s="1"/>
  <c r="D16" i="55"/>
  <c r="D17" i="55" s="1"/>
  <c r="D18" i="55" s="1"/>
  <c r="F34" i="57"/>
  <c r="C16" i="55"/>
  <c r="C17" i="55" s="1"/>
  <c r="C33" i="43"/>
  <c r="C10" i="43" s="1"/>
  <c r="E34" i="57"/>
  <c r="B10" i="51"/>
  <c r="G10" i="43"/>
  <c r="D34" i="43"/>
  <c r="F16" i="55"/>
  <c r="F17" i="55" s="1"/>
  <c r="F18" i="55" s="1"/>
  <c r="M34" i="43"/>
  <c r="J16" i="55"/>
  <c r="J17" i="55" s="1"/>
  <c r="J18" i="55" s="1"/>
  <c r="I34" i="43"/>
  <c r="J34" i="43"/>
  <c r="L34" i="43"/>
  <c r="E16" i="55"/>
  <c r="E17" i="55" s="1"/>
  <c r="E18" i="55" s="1"/>
  <c r="M7" i="36"/>
  <c r="M11" i="36"/>
  <c r="E10" i="36"/>
  <c r="E17" i="36" s="1"/>
  <c r="I10" i="36"/>
  <c r="I17" i="36" s="1"/>
  <c r="I19" i="36" s="1"/>
  <c r="M13" i="36"/>
  <c r="M15" i="36"/>
  <c r="G17" i="36"/>
  <c r="G19" i="36" s="1"/>
  <c r="K17" i="36"/>
  <c r="K19" i="36" s="1"/>
  <c r="D10" i="36"/>
  <c r="D17" i="36" s="1"/>
  <c r="D19" i="36" s="1"/>
  <c r="H10" i="36"/>
  <c r="H17" i="36" s="1"/>
  <c r="H19" i="36" s="1"/>
  <c r="L10" i="36"/>
  <c r="L17" i="36" s="1"/>
  <c r="L19" i="36" s="1"/>
  <c r="F11" i="43"/>
  <c r="F7" i="43"/>
  <c r="F9" i="43" s="1"/>
  <c r="C7" i="43"/>
  <c r="N6" i="43"/>
  <c r="C4" i="56" s="1"/>
  <c r="G7" i="43"/>
  <c r="G9" i="43" s="1"/>
  <c r="F44" i="57"/>
  <c r="F19" i="57" s="1"/>
  <c r="M6" i="36"/>
  <c r="M12" i="36"/>
  <c r="K45" i="58"/>
  <c r="K20" i="58" s="1"/>
  <c r="K45" i="43"/>
  <c r="K20" i="43" s="1"/>
  <c r="K37" i="58"/>
  <c r="K37" i="57"/>
  <c r="K12" i="57" s="1"/>
  <c r="K37" i="43"/>
  <c r="K12" i="43" s="1"/>
  <c r="M5" i="36"/>
  <c r="E10" i="43"/>
  <c r="N6" i="57"/>
  <c r="D4" i="56" s="1"/>
  <c r="H7" i="57"/>
  <c r="N6" i="58"/>
  <c r="C7" i="58"/>
  <c r="G7" i="58"/>
  <c r="K12" i="58"/>
  <c r="K7" i="58"/>
  <c r="I7" i="57"/>
  <c r="E10" i="57"/>
  <c r="M44" i="58"/>
  <c r="M19" i="58" s="1"/>
  <c r="M44" i="57"/>
  <c r="M19" i="57" s="1"/>
  <c r="M44" i="43"/>
  <c r="M19" i="43" s="1"/>
  <c r="F7" i="57"/>
  <c r="J7" i="57"/>
  <c r="F11" i="57"/>
  <c r="J19" i="57"/>
  <c r="I7" i="58"/>
  <c r="Q9" i="55"/>
  <c r="P10" i="55"/>
  <c r="Q10" i="55" s="1"/>
  <c r="Q8" i="55"/>
  <c r="M38" i="58"/>
  <c r="M38" i="57"/>
  <c r="M13" i="57" s="1"/>
  <c r="C7" i="57"/>
  <c r="G7" i="57"/>
  <c r="K7" i="57"/>
  <c r="K20" i="57"/>
  <c r="M13" i="58"/>
  <c r="D29" i="50"/>
  <c r="D98" i="50"/>
  <c r="D96" i="50"/>
  <c r="D100" i="50"/>
  <c r="D95" i="50"/>
  <c r="D94" i="50"/>
  <c r="D101" i="50"/>
  <c r="D134" i="50"/>
  <c r="D46" i="50"/>
  <c r="D44" i="50"/>
  <c r="D36" i="50"/>
  <c r="D32" i="50"/>
  <c r="D48" i="50"/>
  <c r="D43" i="50"/>
  <c r="D33" i="50"/>
  <c r="D31" i="50"/>
  <c r="D34" i="50"/>
  <c r="D30" i="50"/>
  <c r="D88" i="50"/>
  <c r="D84" i="50"/>
  <c r="D85" i="50"/>
  <c r="D83" i="50"/>
  <c r="D86" i="50"/>
  <c r="D82" i="50"/>
  <c r="D140" i="50"/>
  <c r="D136" i="50"/>
  <c r="D137" i="50"/>
  <c r="D135" i="50"/>
  <c r="D133" i="50"/>
  <c r="D81" i="50"/>
  <c r="D87" i="50"/>
  <c r="D7" i="58"/>
  <c r="D10" i="50"/>
  <c r="D5" i="50"/>
  <c r="D9" i="50"/>
  <c r="D4" i="50"/>
  <c r="D113" i="50"/>
  <c r="D108" i="50"/>
  <c r="D112" i="50"/>
  <c r="D107" i="50"/>
  <c r="D114" i="50"/>
  <c r="D6" i="50"/>
  <c r="D8" i="50"/>
  <c r="G54" i="50"/>
  <c r="G15" i="50"/>
  <c r="D31" i="58"/>
  <c r="D32" i="58" s="1"/>
  <c r="G67" i="50"/>
  <c r="H31" i="58"/>
  <c r="H32" i="58" s="1"/>
  <c r="G119" i="50"/>
  <c r="L31" i="58"/>
  <c r="L32" i="58" s="1"/>
  <c r="D8" i="57"/>
  <c r="D9" i="57" s="1"/>
  <c r="L8" i="57" l="1"/>
  <c r="L9" i="57" s="1"/>
  <c r="E8" i="57"/>
  <c r="E9" i="57" s="1"/>
  <c r="L8" i="58"/>
  <c r="L9" i="58" s="1"/>
  <c r="E8" i="60"/>
  <c r="E9" i="60" s="1"/>
  <c r="F8" i="60"/>
  <c r="F9" i="60" s="1"/>
  <c r="C8" i="60"/>
  <c r="D8" i="60"/>
  <c r="D9" i="60" s="1"/>
  <c r="C8" i="59"/>
  <c r="H8" i="59"/>
  <c r="H9" i="59" s="1"/>
  <c r="E8" i="59"/>
  <c r="E9" i="59" s="1"/>
  <c r="M8" i="59"/>
  <c r="M9" i="59" s="1"/>
  <c r="D8" i="59"/>
  <c r="D9" i="59" s="1"/>
  <c r="M8" i="60"/>
  <c r="M9" i="60" s="1"/>
  <c r="H8" i="60"/>
  <c r="H9" i="60" s="1"/>
  <c r="J8" i="60"/>
  <c r="J9" i="60" s="1"/>
  <c r="G8" i="60"/>
  <c r="G9" i="60" s="1"/>
  <c r="I8" i="59"/>
  <c r="I9" i="59" s="1"/>
  <c r="G8" i="59"/>
  <c r="G9" i="59" s="1"/>
  <c r="I8" i="60"/>
  <c r="I9" i="60" s="1"/>
  <c r="L8" i="60"/>
  <c r="L9" i="60" s="1"/>
  <c r="K8" i="60"/>
  <c r="K9" i="60" s="1"/>
  <c r="L8" i="59"/>
  <c r="L9" i="59" s="1"/>
  <c r="J8" i="59"/>
  <c r="J9" i="59" s="1"/>
  <c r="K8" i="59"/>
  <c r="K9" i="59" s="1"/>
  <c r="F8" i="59"/>
  <c r="F9" i="59" s="1"/>
  <c r="E19" i="36"/>
  <c r="E22" i="36"/>
  <c r="M17" i="36"/>
  <c r="E23" i="36"/>
  <c r="F10" i="43"/>
  <c r="N10" i="43" s="1"/>
  <c r="C8" i="56" s="1"/>
  <c r="J34" i="57"/>
  <c r="E34" i="58"/>
  <c r="E40" i="58" s="1"/>
  <c r="F10" i="58"/>
  <c r="J34" i="58"/>
  <c r="F44" i="43"/>
  <c r="F19" i="43" s="1"/>
  <c r="F44" i="59"/>
  <c r="F19" i="59" s="1"/>
  <c r="E38" i="43"/>
  <c r="E13" i="43" s="1"/>
  <c r="E38" i="58"/>
  <c r="E13" i="58" s="1"/>
  <c r="K47" i="60"/>
  <c r="K22" i="60" s="1"/>
  <c r="K47" i="59"/>
  <c r="K22" i="59" s="1"/>
  <c r="F43" i="60"/>
  <c r="F43" i="59"/>
  <c r="M43" i="60"/>
  <c r="M43" i="59"/>
  <c r="J45" i="60"/>
  <c r="J20" i="60" s="1"/>
  <c r="J45" i="59"/>
  <c r="J20" i="59" s="1"/>
  <c r="F47" i="60"/>
  <c r="F22" i="60" s="1"/>
  <c r="F47" i="59"/>
  <c r="F22" i="59" s="1"/>
  <c r="F47" i="43"/>
  <c r="F22" i="43" s="1"/>
  <c r="C45" i="60"/>
  <c r="C20" i="60" s="1"/>
  <c r="C45" i="59"/>
  <c r="C20" i="59" s="1"/>
  <c r="C43" i="60"/>
  <c r="C43" i="59"/>
  <c r="I37" i="60"/>
  <c r="I12" i="60" s="1"/>
  <c r="I37" i="59"/>
  <c r="I12" i="59" s="1"/>
  <c r="F38" i="60"/>
  <c r="F13" i="60" s="1"/>
  <c r="F38" i="59"/>
  <c r="F13" i="59" s="1"/>
  <c r="J47" i="60"/>
  <c r="J22" i="60" s="1"/>
  <c r="J47" i="59"/>
  <c r="J22" i="59" s="1"/>
  <c r="E36" i="59"/>
  <c r="E36" i="60"/>
  <c r="F47" i="58"/>
  <c r="F22" i="58" s="1"/>
  <c r="F11" i="59"/>
  <c r="K43" i="60"/>
  <c r="K43" i="59"/>
  <c r="C44" i="60"/>
  <c r="C19" i="60" s="1"/>
  <c r="C44" i="59"/>
  <c r="C19" i="59" s="1"/>
  <c r="M36" i="60"/>
  <c r="M36" i="59"/>
  <c r="I44" i="60"/>
  <c r="I19" i="60" s="1"/>
  <c r="I44" i="59"/>
  <c r="I19" i="59" s="1"/>
  <c r="E44" i="60"/>
  <c r="E19" i="60" s="1"/>
  <c r="E44" i="59"/>
  <c r="E19" i="59" s="1"/>
  <c r="E47" i="60"/>
  <c r="E22" i="60" s="1"/>
  <c r="E47" i="59"/>
  <c r="E22" i="59" s="1"/>
  <c r="J43" i="60"/>
  <c r="J43" i="59"/>
  <c r="K36" i="60"/>
  <c r="K36" i="59"/>
  <c r="K38" i="60"/>
  <c r="K13" i="60" s="1"/>
  <c r="K38" i="59"/>
  <c r="K13" i="59" s="1"/>
  <c r="I38" i="60"/>
  <c r="I13" i="60" s="1"/>
  <c r="I38" i="59"/>
  <c r="I13" i="59" s="1"/>
  <c r="M37" i="60"/>
  <c r="M12" i="60" s="1"/>
  <c r="M37" i="59"/>
  <c r="M12" i="59" s="1"/>
  <c r="M47" i="60"/>
  <c r="M22" i="60" s="1"/>
  <c r="M47" i="59"/>
  <c r="M22" i="59" s="1"/>
  <c r="I47" i="60"/>
  <c r="I22" i="60" s="1"/>
  <c r="I47" i="59"/>
  <c r="I22" i="59" s="1"/>
  <c r="E37" i="60"/>
  <c r="E12" i="60" s="1"/>
  <c r="E37" i="59"/>
  <c r="E12" i="59" s="1"/>
  <c r="F37" i="60"/>
  <c r="F12" i="60" s="1"/>
  <c r="F37" i="59"/>
  <c r="F12" i="59" s="1"/>
  <c r="J38" i="60"/>
  <c r="J13" i="60" s="1"/>
  <c r="J38" i="59"/>
  <c r="J13" i="59" s="1"/>
  <c r="C37" i="60"/>
  <c r="C12" i="60" s="1"/>
  <c r="C37" i="59"/>
  <c r="C12" i="59" s="1"/>
  <c r="K44" i="60"/>
  <c r="K19" i="60" s="1"/>
  <c r="K44" i="59"/>
  <c r="K19" i="59" s="1"/>
  <c r="C36" i="60"/>
  <c r="C36" i="59"/>
  <c r="C38" i="60"/>
  <c r="C13" i="60" s="1"/>
  <c r="C38" i="59"/>
  <c r="C13" i="59" s="1"/>
  <c r="I36" i="60"/>
  <c r="I36" i="59"/>
  <c r="M45" i="60"/>
  <c r="M20" i="60" s="1"/>
  <c r="M45" i="59"/>
  <c r="M20" i="59" s="1"/>
  <c r="I43" i="60"/>
  <c r="I43" i="59"/>
  <c r="I45" i="60"/>
  <c r="I20" i="60" s="1"/>
  <c r="I45" i="59"/>
  <c r="I20" i="59" s="1"/>
  <c r="E43" i="60"/>
  <c r="E43" i="59"/>
  <c r="E45" i="60"/>
  <c r="E20" i="60" s="1"/>
  <c r="E45" i="59"/>
  <c r="E20" i="59" s="1"/>
  <c r="F45" i="60"/>
  <c r="F20" i="60" s="1"/>
  <c r="F45" i="59"/>
  <c r="F20" i="59" s="1"/>
  <c r="J36" i="60"/>
  <c r="J36" i="59"/>
  <c r="J37" i="60"/>
  <c r="J12" i="60" s="1"/>
  <c r="J37" i="59"/>
  <c r="J12" i="59" s="1"/>
  <c r="F47" i="57"/>
  <c r="F22" i="57" s="1"/>
  <c r="M38" i="60"/>
  <c r="M13" i="60" s="1"/>
  <c r="M38" i="59"/>
  <c r="M13" i="59" s="1"/>
  <c r="M38" i="43"/>
  <c r="M13" i="43" s="1"/>
  <c r="K37" i="60"/>
  <c r="K12" i="60" s="1"/>
  <c r="K37" i="59"/>
  <c r="K12" i="59" s="1"/>
  <c r="F11" i="60"/>
  <c r="F14" i="60" s="1"/>
  <c r="I10" i="57"/>
  <c r="C34" i="43"/>
  <c r="J26" i="51"/>
  <c r="C33" i="57"/>
  <c r="C10" i="57" s="1"/>
  <c r="G34" i="43"/>
  <c r="F10" i="57"/>
  <c r="C18" i="55"/>
  <c r="N17" i="55"/>
  <c r="N18" i="55" s="1"/>
  <c r="N16" i="55"/>
  <c r="M10" i="36"/>
  <c r="C18" i="36"/>
  <c r="D18" i="36" s="1"/>
  <c r="E18" i="36" s="1"/>
  <c r="F18" i="36" s="1"/>
  <c r="G18" i="36" s="1"/>
  <c r="H18" i="36" s="1"/>
  <c r="E24" i="36" s="1"/>
  <c r="C19" i="36"/>
  <c r="I22" i="36" s="1"/>
  <c r="D21" i="50"/>
  <c r="D16" i="50"/>
  <c r="D23" i="50"/>
  <c r="D19" i="50"/>
  <c r="D18" i="50"/>
  <c r="D22" i="50"/>
  <c r="D20" i="50"/>
  <c r="D17" i="50"/>
  <c r="K38" i="58"/>
  <c r="K13" i="58" s="1"/>
  <c r="K38" i="43"/>
  <c r="K13" i="43" s="1"/>
  <c r="K38" i="57"/>
  <c r="K13" i="57" s="1"/>
  <c r="M47" i="58"/>
  <c r="M22" i="58" s="1"/>
  <c r="M47" i="57"/>
  <c r="M22" i="57" s="1"/>
  <c r="M47" i="43"/>
  <c r="M22" i="43" s="1"/>
  <c r="E44" i="58"/>
  <c r="E19" i="58" s="1"/>
  <c r="E44" i="57"/>
  <c r="E19" i="57" s="1"/>
  <c r="E44" i="43"/>
  <c r="E19" i="43" s="1"/>
  <c r="F45" i="58"/>
  <c r="F20" i="58" s="1"/>
  <c r="F45" i="43"/>
  <c r="F20" i="43" s="1"/>
  <c r="F45" i="57"/>
  <c r="F20" i="57" s="1"/>
  <c r="E36" i="58"/>
  <c r="E11" i="58" s="1"/>
  <c r="E36" i="43"/>
  <c r="E36" i="57"/>
  <c r="J8" i="58"/>
  <c r="J9" i="58" s="1"/>
  <c r="D61" i="50"/>
  <c r="D56" i="50"/>
  <c r="D60" i="50"/>
  <c r="D55" i="50"/>
  <c r="D58" i="50"/>
  <c r="D59" i="50"/>
  <c r="D57" i="50"/>
  <c r="D62" i="50"/>
  <c r="K36" i="57"/>
  <c r="K36" i="58"/>
  <c r="K36" i="43"/>
  <c r="C47" i="57"/>
  <c r="C22" i="57" s="1"/>
  <c r="C47" i="58"/>
  <c r="C22" i="58" s="1"/>
  <c r="C47" i="43"/>
  <c r="C22" i="43" s="1"/>
  <c r="C38" i="58"/>
  <c r="C13" i="58" s="1"/>
  <c r="C38" i="43"/>
  <c r="C13" i="43" s="1"/>
  <c r="C38" i="57"/>
  <c r="C13" i="57" s="1"/>
  <c r="D8" i="58"/>
  <c r="D9" i="58" s="1"/>
  <c r="M37" i="58"/>
  <c r="M12" i="58" s="1"/>
  <c r="M37" i="57"/>
  <c r="M12" i="57" s="1"/>
  <c r="M37" i="43"/>
  <c r="M12" i="43" s="1"/>
  <c r="I43" i="58"/>
  <c r="I43" i="43"/>
  <c r="I43" i="57"/>
  <c r="E37" i="58"/>
  <c r="E12" i="58" s="1"/>
  <c r="E37" i="43"/>
  <c r="E12" i="43" s="1"/>
  <c r="E37" i="57"/>
  <c r="E12" i="57" s="1"/>
  <c r="M43" i="58"/>
  <c r="M43" i="43"/>
  <c r="M43" i="57"/>
  <c r="J38" i="58"/>
  <c r="J13" i="58" s="1"/>
  <c r="J38" i="43"/>
  <c r="J13" i="43" s="1"/>
  <c r="J38" i="57"/>
  <c r="J13" i="57" s="1"/>
  <c r="I8" i="58"/>
  <c r="I9" i="58" s="1"/>
  <c r="J8" i="57"/>
  <c r="J9" i="57" s="1"/>
  <c r="I8" i="57"/>
  <c r="I9" i="57" s="1"/>
  <c r="M8" i="58"/>
  <c r="M9" i="58" s="1"/>
  <c r="G8" i="58"/>
  <c r="G9" i="58" s="1"/>
  <c r="M8" i="57"/>
  <c r="M9" i="57" s="1"/>
  <c r="C37" i="58"/>
  <c r="C12" i="58" s="1"/>
  <c r="C37" i="57"/>
  <c r="C12" i="57" s="1"/>
  <c r="C37" i="43"/>
  <c r="C12" i="43" s="1"/>
  <c r="K43" i="58"/>
  <c r="K43" i="57"/>
  <c r="K43" i="43"/>
  <c r="C44" i="58"/>
  <c r="C19" i="58" s="1"/>
  <c r="C44" i="57"/>
  <c r="C19" i="57" s="1"/>
  <c r="C44" i="43"/>
  <c r="C19" i="43" s="1"/>
  <c r="I36" i="58"/>
  <c r="I11" i="58" s="1"/>
  <c r="I36" i="43"/>
  <c r="I36" i="57"/>
  <c r="I11" i="57" s="1"/>
  <c r="I37" i="58"/>
  <c r="I12" i="58" s="1"/>
  <c r="I37" i="43"/>
  <c r="I12" i="43" s="1"/>
  <c r="I37" i="57"/>
  <c r="I12" i="57" s="1"/>
  <c r="E43" i="58"/>
  <c r="E43" i="43"/>
  <c r="E43" i="57"/>
  <c r="F43" i="58"/>
  <c r="F43" i="57"/>
  <c r="F43" i="43"/>
  <c r="F37" i="58"/>
  <c r="F37" i="43"/>
  <c r="F37" i="57"/>
  <c r="J36" i="58"/>
  <c r="J36" i="43"/>
  <c r="J36" i="57"/>
  <c r="J45" i="58"/>
  <c r="J20" i="58" s="1"/>
  <c r="J45" i="57"/>
  <c r="J20" i="57" s="1"/>
  <c r="J45" i="43"/>
  <c r="J20" i="43" s="1"/>
  <c r="G8" i="57"/>
  <c r="G9" i="57" s="1"/>
  <c r="E27" i="51"/>
  <c r="N21" i="43"/>
  <c r="E8" i="58"/>
  <c r="E9" i="58" s="1"/>
  <c r="N7" i="43"/>
  <c r="C5" i="56" s="1"/>
  <c r="C9" i="43"/>
  <c r="D125" i="50"/>
  <c r="D120" i="50"/>
  <c r="D127" i="50"/>
  <c r="D123" i="50"/>
  <c r="D124" i="50"/>
  <c r="D121" i="50"/>
  <c r="D126" i="50"/>
  <c r="D122" i="50"/>
  <c r="K47" i="58"/>
  <c r="K22" i="58" s="1"/>
  <c r="K47" i="57"/>
  <c r="K22" i="57" s="1"/>
  <c r="K47" i="43"/>
  <c r="K22" i="43" s="1"/>
  <c r="C43" i="57"/>
  <c r="C43" i="43"/>
  <c r="C43" i="58"/>
  <c r="M36" i="58"/>
  <c r="M11" i="58" s="1"/>
  <c r="M14" i="58" s="1"/>
  <c r="M36" i="57"/>
  <c r="M11" i="57" s="1"/>
  <c r="M36" i="43"/>
  <c r="I45" i="57"/>
  <c r="I20" i="57" s="1"/>
  <c r="I45" i="58"/>
  <c r="I20" i="58" s="1"/>
  <c r="I45" i="43"/>
  <c r="I20" i="43" s="1"/>
  <c r="F38" i="58"/>
  <c r="F13" i="58" s="1"/>
  <c r="F38" i="57"/>
  <c r="F13" i="57" s="1"/>
  <c r="F38" i="43"/>
  <c r="F13" i="43" s="1"/>
  <c r="J43" i="58"/>
  <c r="J43" i="57"/>
  <c r="J43" i="43"/>
  <c r="H8" i="58"/>
  <c r="H9" i="58" s="1"/>
  <c r="C8" i="57"/>
  <c r="N7" i="57"/>
  <c r="D5" i="56" s="1"/>
  <c r="K8" i="58"/>
  <c r="K9" i="58" s="1"/>
  <c r="H8" i="57"/>
  <c r="H9" i="57" s="1"/>
  <c r="D73" i="50"/>
  <c r="D68" i="50"/>
  <c r="D75" i="50"/>
  <c r="D71" i="50"/>
  <c r="D70" i="50"/>
  <c r="D69" i="50"/>
  <c r="D72" i="50"/>
  <c r="D74" i="50"/>
  <c r="C45" i="58"/>
  <c r="C20" i="58" s="1"/>
  <c r="C45" i="57"/>
  <c r="C20" i="57" s="1"/>
  <c r="C45" i="43"/>
  <c r="C20" i="43" s="1"/>
  <c r="K44" i="58"/>
  <c r="K19" i="58" s="1"/>
  <c r="K44" i="57"/>
  <c r="K19" i="57" s="1"/>
  <c r="K44" i="43"/>
  <c r="K19" i="43" s="1"/>
  <c r="C36" i="58"/>
  <c r="C36" i="57"/>
  <c r="C36" i="43"/>
  <c r="I38" i="57"/>
  <c r="I13" i="57" s="1"/>
  <c r="I38" i="43"/>
  <c r="I13" i="43" s="1"/>
  <c r="I38" i="58"/>
  <c r="I13" i="58" s="1"/>
  <c r="M45" i="58"/>
  <c r="M20" i="58" s="1"/>
  <c r="M45" i="57"/>
  <c r="M20" i="57" s="1"/>
  <c r="M45" i="43"/>
  <c r="M20" i="43" s="1"/>
  <c r="I44" i="58"/>
  <c r="I19" i="58" s="1"/>
  <c r="I44" i="57"/>
  <c r="I19" i="57" s="1"/>
  <c r="I44" i="43"/>
  <c r="I19" i="43" s="1"/>
  <c r="I47" i="58"/>
  <c r="I22" i="58" s="1"/>
  <c r="I47" i="57"/>
  <c r="I22" i="57" s="1"/>
  <c r="I47" i="43"/>
  <c r="I22" i="43" s="1"/>
  <c r="E45" i="58"/>
  <c r="E20" i="58" s="1"/>
  <c r="E45" i="57"/>
  <c r="E20" i="57" s="1"/>
  <c r="E45" i="43"/>
  <c r="E20" i="43" s="1"/>
  <c r="E47" i="58"/>
  <c r="E22" i="58" s="1"/>
  <c r="E47" i="43"/>
  <c r="E22" i="43" s="1"/>
  <c r="E47" i="57"/>
  <c r="E22" i="57" s="1"/>
  <c r="J47" i="58"/>
  <c r="J22" i="58" s="1"/>
  <c r="J47" i="57"/>
  <c r="J22" i="57" s="1"/>
  <c r="J47" i="43"/>
  <c r="J22" i="43" s="1"/>
  <c r="J37" i="58"/>
  <c r="J12" i="58" s="1"/>
  <c r="J37" i="43"/>
  <c r="J12" i="43" s="1"/>
  <c r="J37" i="57"/>
  <c r="J12" i="57" s="1"/>
  <c r="K8" i="57"/>
  <c r="K9" i="57" s="1"/>
  <c r="E26" i="51"/>
  <c r="D28" i="51"/>
  <c r="N18" i="43"/>
  <c r="F8" i="57"/>
  <c r="F9" i="57" s="1"/>
  <c r="F8" i="58"/>
  <c r="F9" i="58" s="1"/>
  <c r="C8" i="58"/>
  <c r="N7" i="58"/>
  <c r="H4" i="56"/>
  <c r="C20" i="36" l="1"/>
  <c r="D20" i="36" s="1"/>
  <c r="E20" i="36" s="1"/>
  <c r="F20" i="36" s="1"/>
  <c r="G20" i="36" s="1"/>
  <c r="H20" i="36" s="1"/>
  <c r="I23" i="36"/>
  <c r="C34" i="57"/>
  <c r="I34" i="57"/>
  <c r="C9" i="59"/>
  <c r="N9" i="59" s="1"/>
  <c r="N8" i="59"/>
  <c r="N8" i="60"/>
  <c r="C9" i="60"/>
  <c r="N9" i="60" s="1"/>
  <c r="M19" i="36"/>
  <c r="F34" i="58"/>
  <c r="F40" i="58" s="1"/>
  <c r="J10" i="58"/>
  <c r="E10" i="58"/>
  <c r="F34" i="60"/>
  <c r="F40" i="60" s="1"/>
  <c r="F10" i="60"/>
  <c r="F15" i="60" s="1"/>
  <c r="F16" i="60" s="1"/>
  <c r="K10" i="58"/>
  <c r="C33" i="58"/>
  <c r="C10" i="58" s="1"/>
  <c r="J34" i="60"/>
  <c r="J40" i="60" s="1"/>
  <c r="J10" i="60"/>
  <c r="E10" i="59"/>
  <c r="E34" i="59"/>
  <c r="D10" i="58"/>
  <c r="J34" i="59"/>
  <c r="J40" i="59" s="1"/>
  <c r="J10" i="59"/>
  <c r="F34" i="59"/>
  <c r="F40" i="59" s="1"/>
  <c r="F10" i="59"/>
  <c r="E34" i="60"/>
  <c r="E40" i="60" s="1"/>
  <c r="E10" i="60"/>
  <c r="H10" i="57"/>
  <c r="H34" i="57"/>
  <c r="H45" i="60"/>
  <c r="H20" i="60" s="1"/>
  <c r="H45" i="59"/>
  <c r="H20" i="59" s="1"/>
  <c r="H44" i="60"/>
  <c r="H19" i="60" s="1"/>
  <c r="H44" i="59"/>
  <c r="H19" i="59" s="1"/>
  <c r="L47" i="60"/>
  <c r="L22" i="60" s="1"/>
  <c r="L47" i="59"/>
  <c r="L22" i="59" s="1"/>
  <c r="G36" i="60"/>
  <c r="G36" i="59"/>
  <c r="K11" i="60"/>
  <c r="K14" i="60" s="1"/>
  <c r="M11" i="59"/>
  <c r="M14" i="59" s="1"/>
  <c r="H43" i="60"/>
  <c r="H43" i="59"/>
  <c r="H47" i="60"/>
  <c r="H22" i="60" s="1"/>
  <c r="H47" i="59"/>
  <c r="H22" i="59" s="1"/>
  <c r="L37" i="60"/>
  <c r="L12" i="60" s="1"/>
  <c r="L37" i="59"/>
  <c r="L12" i="59" s="1"/>
  <c r="L45" i="60"/>
  <c r="L20" i="60" s="1"/>
  <c r="L45" i="59"/>
  <c r="L20" i="59" s="1"/>
  <c r="L36" i="60"/>
  <c r="L36" i="59"/>
  <c r="G45" i="60"/>
  <c r="G20" i="60" s="1"/>
  <c r="G45" i="59"/>
  <c r="G20" i="59" s="1"/>
  <c r="G44" i="60"/>
  <c r="G19" i="60" s="1"/>
  <c r="G44" i="59"/>
  <c r="G19" i="59" s="1"/>
  <c r="D38" i="60"/>
  <c r="D13" i="60" s="1"/>
  <c r="D38" i="59"/>
  <c r="D13" i="59" s="1"/>
  <c r="D47" i="60"/>
  <c r="D22" i="60" s="1"/>
  <c r="D47" i="59"/>
  <c r="D22" i="59" s="1"/>
  <c r="J11" i="59"/>
  <c r="J14" i="59" s="1"/>
  <c r="I11" i="60"/>
  <c r="I14" i="60" s="1"/>
  <c r="C11" i="59"/>
  <c r="M11" i="60"/>
  <c r="M14" i="60" s="1"/>
  <c r="L43" i="60"/>
  <c r="L43" i="59"/>
  <c r="G37" i="60"/>
  <c r="G12" i="60" s="1"/>
  <c r="G37" i="59"/>
  <c r="G12" i="59" s="1"/>
  <c r="G38" i="60"/>
  <c r="G13" i="60" s="1"/>
  <c r="G38" i="59"/>
  <c r="G13" i="59" s="1"/>
  <c r="D45" i="60"/>
  <c r="D20" i="60" s="1"/>
  <c r="N20" i="60" s="1"/>
  <c r="D45" i="59"/>
  <c r="D20" i="59" s="1"/>
  <c r="D44" i="60"/>
  <c r="D19" i="60" s="1"/>
  <c r="D44" i="59"/>
  <c r="D19" i="59" s="1"/>
  <c r="I11" i="59"/>
  <c r="E11" i="59"/>
  <c r="E14" i="59" s="1"/>
  <c r="E40" i="59"/>
  <c r="H38" i="60"/>
  <c r="H13" i="60" s="1"/>
  <c r="H38" i="59"/>
  <c r="H13" i="59" s="1"/>
  <c r="H37" i="60"/>
  <c r="H12" i="60" s="1"/>
  <c r="H37" i="59"/>
  <c r="H12" i="59" s="1"/>
  <c r="H36" i="59"/>
  <c r="H36" i="60"/>
  <c r="L38" i="60"/>
  <c r="L13" i="60" s="1"/>
  <c r="L38" i="59"/>
  <c r="L13" i="59" s="1"/>
  <c r="L44" i="60"/>
  <c r="L19" i="60" s="1"/>
  <c r="L44" i="59"/>
  <c r="L19" i="59" s="1"/>
  <c r="G47" i="60"/>
  <c r="G22" i="60" s="1"/>
  <c r="G47" i="59"/>
  <c r="G22" i="59" s="1"/>
  <c r="G43" i="60"/>
  <c r="G43" i="59"/>
  <c r="D43" i="60"/>
  <c r="D43" i="59"/>
  <c r="D37" i="60"/>
  <c r="D12" i="60" s="1"/>
  <c r="D37" i="59"/>
  <c r="D12" i="59" s="1"/>
  <c r="D36" i="60"/>
  <c r="D36" i="59"/>
  <c r="J11" i="60"/>
  <c r="J14" i="60" s="1"/>
  <c r="C11" i="60"/>
  <c r="K11" i="59"/>
  <c r="K14" i="59" s="1"/>
  <c r="F14" i="59"/>
  <c r="E11" i="60"/>
  <c r="E14" i="60" s="1"/>
  <c r="I14" i="59"/>
  <c r="L34" i="57"/>
  <c r="L10" i="57"/>
  <c r="M34" i="57"/>
  <c r="M40" i="57" s="1"/>
  <c r="M10" i="57"/>
  <c r="K10" i="57"/>
  <c r="K34" i="57"/>
  <c r="K40" i="57" s="1"/>
  <c r="G10" i="57"/>
  <c r="G34" i="57"/>
  <c r="D10" i="57"/>
  <c r="D34" i="57"/>
  <c r="I18" i="36"/>
  <c r="J18" i="36" s="1"/>
  <c r="K18" i="36" s="1"/>
  <c r="L18" i="36" s="1"/>
  <c r="J18" i="43"/>
  <c r="J17" i="43" s="1"/>
  <c r="F18" i="43"/>
  <c r="F17" i="43" s="1"/>
  <c r="M18" i="43"/>
  <c r="M17" i="43" s="1"/>
  <c r="I18" i="43"/>
  <c r="I17" i="43" s="1"/>
  <c r="E18" i="43"/>
  <c r="E17" i="43" s="1"/>
  <c r="G18" i="43"/>
  <c r="L18" i="43"/>
  <c r="D18" i="43"/>
  <c r="K18" i="43"/>
  <c r="K17" i="43" s="1"/>
  <c r="C18" i="43"/>
  <c r="C17" i="43" s="1"/>
  <c r="H18" i="43"/>
  <c r="C11" i="58"/>
  <c r="H45" i="58"/>
  <c r="H20" i="58" s="1"/>
  <c r="H45" i="57"/>
  <c r="H20" i="57" s="1"/>
  <c r="H45" i="43"/>
  <c r="H20" i="43" s="1"/>
  <c r="H47" i="58"/>
  <c r="H22" i="58" s="1"/>
  <c r="H47" i="57"/>
  <c r="H22" i="57" s="1"/>
  <c r="H47" i="43"/>
  <c r="H22" i="43" s="1"/>
  <c r="L45" i="58"/>
  <c r="L20" i="58" s="1"/>
  <c r="L45" i="57"/>
  <c r="L20" i="57" s="1"/>
  <c r="L45" i="43"/>
  <c r="L20" i="43" s="1"/>
  <c r="L44" i="58"/>
  <c r="L19" i="58" s="1"/>
  <c r="L44" i="57"/>
  <c r="L19" i="57" s="1"/>
  <c r="L44" i="43"/>
  <c r="L19" i="43" s="1"/>
  <c r="M21" i="43"/>
  <c r="M46" i="43" s="1"/>
  <c r="I21" i="43"/>
  <c r="I46" i="43" s="1"/>
  <c r="E21" i="43"/>
  <c r="E46" i="43" s="1"/>
  <c r="L21" i="43"/>
  <c r="L46" i="43" s="1"/>
  <c r="H21" i="43"/>
  <c r="H46" i="43" s="1"/>
  <c r="D21" i="43"/>
  <c r="D46" i="43" s="1"/>
  <c r="F21" i="43"/>
  <c r="K21" i="43"/>
  <c r="K46" i="43" s="1"/>
  <c r="C21" i="43"/>
  <c r="C46" i="43" s="1"/>
  <c r="G21" i="43"/>
  <c r="G46" i="43" s="1"/>
  <c r="J21" i="43"/>
  <c r="J46" i="43" s="1"/>
  <c r="C19" i="56"/>
  <c r="F12" i="57"/>
  <c r="F14" i="57" s="1"/>
  <c r="F15" i="57" s="1"/>
  <c r="F40" i="57"/>
  <c r="I14" i="57"/>
  <c r="I15" i="57" s="1"/>
  <c r="G47" i="58"/>
  <c r="G22" i="58" s="1"/>
  <c r="G47" i="57"/>
  <c r="G22" i="57" s="1"/>
  <c r="G47" i="43"/>
  <c r="G22" i="43" s="1"/>
  <c r="G36" i="57"/>
  <c r="G36" i="43"/>
  <c r="G36" i="58"/>
  <c r="E11" i="57"/>
  <c r="E14" i="57" s="1"/>
  <c r="E15" i="57" s="1"/>
  <c r="E40" i="57"/>
  <c r="D45" i="57"/>
  <c r="D20" i="57" s="1"/>
  <c r="D45" i="43"/>
  <c r="D20" i="43" s="1"/>
  <c r="D45" i="58"/>
  <c r="D20" i="58" s="1"/>
  <c r="D47" i="58"/>
  <c r="D22" i="58" s="1"/>
  <c r="D47" i="43"/>
  <c r="D22" i="43" s="1"/>
  <c r="D47" i="57"/>
  <c r="D22" i="57" s="1"/>
  <c r="C31" i="56"/>
  <c r="I24" i="36"/>
  <c r="I20" i="36"/>
  <c r="J20" i="36" s="1"/>
  <c r="K20" i="36" s="1"/>
  <c r="L20" i="36" s="1"/>
  <c r="L43" i="58"/>
  <c r="L43" i="57"/>
  <c r="L43" i="43"/>
  <c r="L36" i="58"/>
  <c r="L36" i="57"/>
  <c r="L36" i="43"/>
  <c r="J40" i="58"/>
  <c r="J11" i="58"/>
  <c r="J14" i="58" s="1"/>
  <c r="K11" i="57"/>
  <c r="K14" i="57" s="1"/>
  <c r="G38" i="58"/>
  <c r="G13" i="58" s="1"/>
  <c r="G38" i="57"/>
  <c r="G13" i="57" s="1"/>
  <c r="G38" i="43"/>
  <c r="G13" i="43" s="1"/>
  <c r="D43" i="58"/>
  <c r="D43" i="43"/>
  <c r="D43" i="57"/>
  <c r="N8" i="58"/>
  <c r="H43" i="58"/>
  <c r="H43" i="43"/>
  <c r="H43" i="57"/>
  <c r="H36" i="58"/>
  <c r="H36" i="57"/>
  <c r="H36" i="43"/>
  <c r="N8" i="57"/>
  <c r="D6" i="56" s="1"/>
  <c r="M11" i="43"/>
  <c r="M14" i="43" s="1"/>
  <c r="M15" i="43" s="1"/>
  <c r="M40" i="43"/>
  <c r="C9" i="58"/>
  <c r="C11" i="43"/>
  <c r="C40" i="43"/>
  <c r="H37" i="57"/>
  <c r="H12" i="57" s="1"/>
  <c r="H37" i="58"/>
  <c r="H12" i="58" s="1"/>
  <c r="H37" i="43"/>
  <c r="H12" i="43" s="1"/>
  <c r="H44" i="58"/>
  <c r="H19" i="58" s="1"/>
  <c r="H44" i="43"/>
  <c r="H19" i="43" s="1"/>
  <c r="H44" i="57"/>
  <c r="H19" i="57" s="1"/>
  <c r="C9" i="57"/>
  <c r="M14" i="57"/>
  <c r="L37" i="58"/>
  <c r="L12" i="58" s="1"/>
  <c r="L37" i="57"/>
  <c r="L12" i="57" s="1"/>
  <c r="L37" i="43"/>
  <c r="L12" i="43" s="1"/>
  <c r="N9" i="43"/>
  <c r="N21" i="57"/>
  <c r="J40" i="57"/>
  <c r="J11" i="57"/>
  <c r="J14" i="57" s="1"/>
  <c r="J15" i="57" s="1"/>
  <c r="F40" i="43"/>
  <c r="F12" i="43"/>
  <c r="F14" i="43" s="1"/>
  <c r="F15" i="43" s="1"/>
  <c r="I11" i="43"/>
  <c r="I14" i="43" s="1"/>
  <c r="I15" i="43" s="1"/>
  <c r="I40" i="43"/>
  <c r="K11" i="43"/>
  <c r="K14" i="43" s="1"/>
  <c r="K15" i="43" s="1"/>
  <c r="K40" i="43"/>
  <c r="G37" i="58"/>
  <c r="G12" i="58" s="1"/>
  <c r="G37" i="57"/>
  <c r="G12" i="57" s="1"/>
  <c r="G37" i="43"/>
  <c r="G12" i="43" s="1"/>
  <c r="G44" i="57"/>
  <c r="G19" i="57" s="1"/>
  <c r="G44" i="58"/>
  <c r="G19" i="58" s="1"/>
  <c r="G44" i="43"/>
  <c r="G19" i="43" s="1"/>
  <c r="E11" i="43"/>
  <c r="E14" i="43" s="1"/>
  <c r="E15" i="43" s="1"/>
  <c r="E40" i="43"/>
  <c r="D38" i="58"/>
  <c r="D13" i="58" s="1"/>
  <c r="D38" i="57"/>
  <c r="D13" i="57" s="1"/>
  <c r="D38" i="43"/>
  <c r="D13" i="43" s="1"/>
  <c r="D36" i="58"/>
  <c r="D36" i="43"/>
  <c r="D36" i="57"/>
  <c r="E28" i="51"/>
  <c r="N18" i="57"/>
  <c r="C40" i="57"/>
  <c r="C11" i="57"/>
  <c r="H38" i="58"/>
  <c r="H13" i="58" s="1"/>
  <c r="H38" i="43"/>
  <c r="H13" i="43" s="1"/>
  <c r="H38" i="57"/>
  <c r="H13" i="57" s="1"/>
  <c r="L38" i="58"/>
  <c r="L13" i="58" s="1"/>
  <c r="L38" i="57"/>
  <c r="L13" i="57" s="1"/>
  <c r="L38" i="43"/>
  <c r="L13" i="43" s="1"/>
  <c r="L47" i="58"/>
  <c r="L22" i="58" s="1"/>
  <c r="L47" i="43"/>
  <c r="L22" i="43" s="1"/>
  <c r="L47" i="57"/>
  <c r="L22" i="57" s="1"/>
  <c r="H5" i="56"/>
  <c r="C7" i="56"/>
  <c r="J11" i="43"/>
  <c r="J14" i="43" s="1"/>
  <c r="J15" i="43" s="1"/>
  <c r="J40" i="43"/>
  <c r="F12" i="58"/>
  <c r="F14" i="58" s="1"/>
  <c r="F15" i="58" s="1"/>
  <c r="I14" i="58"/>
  <c r="I40" i="57"/>
  <c r="K11" i="58"/>
  <c r="K14" i="58" s="1"/>
  <c r="G45" i="58"/>
  <c r="G20" i="58" s="1"/>
  <c r="N20" i="58" s="1"/>
  <c r="G45" i="43"/>
  <c r="G20" i="43" s="1"/>
  <c r="G45" i="57"/>
  <c r="G20" i="57" s="1"/>
  <c r="G43" i="57"/>
  <c r="G43" i="58"/>
  <c r="G43" i="43"/>
  <c r="E14" i="58"/>
  <c r="E15" i="58" s="1"/>
  <c r="D37" i="58"/>
  <c r="D12" i="58" s="1"/>
  <c r="D37" i="57"/>
  <c r="D12" i="57" s="1"/>
  <c r="D37" i="43"/>
  <c r="D12" i="43" s="1"/>
  <c r="D44" i="58"/>
  <c r="D19" i="58" s="1"/>
  <c r="D44" i="57"/>
  <c r="D19" i="57" s="1"/>
  <c r="D44" i="43"/>
  <c r="D19" i="43" s="1"/>
  <c r="E15" i="60" l="1"/>
  <c r="E16" i="60" s="1"/>
  <c r="J15" i="58"/>
  <c r="J15" i="59"/>
  <c r="C34" i="58"/>
  <c r="C40" i="58" s="1"/>
  <c r="M15" i="57"/>
  <c r="D34" i="58"/>
  <c r="D40" i="58" s="1"/>
  <c r="K48" i="43"/>
  <c r="N18" i="60"/>
  <c r="N18" i="59"/>
  <c r="N21" i="59"/>
  <c r="N21" i="60"/>
  <c r="F15" i="59"/>
  <c r="F16" i="59" s="1"/>
  <c r="J15" i="60"/>
  <c r="J16" i="60" s="1"/>
  <c r="L10" i="60"/>
  <c r="L34" i="60"/>
  <c r="L40" i="60" s="1"/>
  <c r="I34" i="60"/>
  <c r="I40" i="60" s="1"/>
  <c r="I10" i="60"/>
  <c r="G10" i="60"/>
  <c r="G34" i="60"/>
  <c r="G40" i="60" s="1"/>
  <c r="K34" i="58"/>
  <c r="K40" i="58" s="1"/>
  <c r="L10" i="58"/>
  <c r="L34" i="58"/>
  <c r="L40" i="58" s="1"/>
  <c r="M10" i="58"/>
  <c r="M15" i="58" s="1"/>
  <c r="M34" i="58"/>
  <c r="M40" i="58" s="1"/>
  <c r="I34" i="58"/>
  <c r="I40" i="58" s="1"/>
  <c r="I10" i="58"/>
  <c r="I15" i="58" s="1"/>
  <c r="I16" i="58" s="1"/>
  <c r="C10" i="59"/>
  <c r="C34" i="59"/>
  <c r="C40" i="59" s="1"/>
  <c r="H10" i="58"/>
  <c r="H34" i="58"/>
  <c r="H40" i="58" s="1"/>
  <c r="K34" i="60"/>
  <c r="K40" i="60" s="1"/>
  <c r="K10" i="60"/>
  <c r="G10" i="59"/>
  <c r="G34" i="59"/>
  <c r="G40" i="59" s="1"/>
  <c r="I15" i="60"/>
  <c r="M34" i="59"/>
  <c r="M40" i="59" s="1"/>
  <c r="M10" i="59"/>
  <c r="M15" i="59" s="1"/>
  <c r="D10" i="60"/>
  <c r="D34" i="60"/>
  <c r="D40" i="60" s="1"/>
  <c r="H10" i="59"/>
  <c r="H34" i="59"/>
  <c r="H40" i="59" s="1"/>
  <c r="K15" i="58"/>
  <c r="E15" i="59"/>
  <c r="E16" i="59" s="1"/>
  <c r="K15" i="60"/>
  <c r="L34" i="59"/>
  <c r="L40" i="59" s="1"/>
  <c r="L10" i="59"/>
  <c r="M34" i="60"/>
  <c r="M40" i="60" s="1"/>
  <c r="M10" i="60"/>
  <c r="M15" i="60" s="1"/>
  <c r="I10" i="59"/>
  <c r="I15" i="59" s="1"/>
  <c r="I34" i="59"/>
  <c r="I40" i="59" s="1"/>
  <c r="D10" i="59"/>
  <c r="D34" i="59"/>
  <c r="D40" i="59" s="1"/>
  <c r="C34" i="60"/>
  <c r="C40" i="60" s="1"/>
  <c r="C10" i="60"/>
  <c r="N10" i="60" s="1"/>
  <c r="G8" i="56" s="1"/>
  <c r="H34" i="60"/>
  <c r="H40" i="60" s="1"/>
  <c r="H10" i="60"/>
  <c r="K34" i="59"/>
  <c r="K40" i="59" s="1"/>
  <c r="K10" i="59"/>
  <c r="K15" i="59" s="1"/>
  <c r="G34" i="58"/>
  <c r="G10" i="58"/>
  <c r="N10" i="58" s="1"/>
  <c r="E8" i="56" s="1"/>
  <c r="N12" i="60"/>
  <c r="N19" i="60"/>
  <c r="N13" i="60"/>
  <c r="N19" i="57"/>
  <c r="D17" i="56" s="1"/>
  <c r="D43" i="56" s="1"/>
  <c r="N20" i="57"/>
  <c r="D18" i="56" s="1"/>
  <c r="N20" i="59"/>
  <c r="N19" i="59"/>
  <c r="N12" i="59"/>
  <c r="C14" i="60"/>
  <c r="H11" i="59"/>
  <c r="H14" i="59" s="1"/>
  <c r="D11" i="60"/>
  <c r="D14" i="60" s="1"/>
  <c r="D15" i="60" s="1"/>
  <c r="I16" i="60"/>
  <c r="J16" i="59"/>
  <c r="N22" i="59"/>
  <c r="L11" i="60"/>
  <c r="L14" i="60" s="1"/>
  <c r="L15" i="60" s="1"/>
  <c r="G11" i="59"/>
  <c r="G14" i="59" s="1"/>
  <c r="D11" i="59"/>
  <c r="D14" i="59" s="1"/>
  <c r="N13" i="59"/>
  <c r="L11" i="59"/>
  <c r="L14" i="59" s="1"/>
  <c r="K16" i="60"/>
  <c r="H11" i="60"/>
  <c r="H14" i="60" s="1"/>
  <c r="H15" i="60" s="1"/>
  <c r="C14" i="59"/>
  <c r="N22" i="60"/>
  <c r="G11" i="60"/>
  <c r="G14" i="60" s="1"/>
  <c r="H6" i="56"/>
  <c r="N10" i="57"/>
  <c r="D8" i="56" s="1"/>
  <c r="K15" i="57"/>
  <c r="K16" i="57" s="1"/>
  <c r="D17" i="43"/>
  <c r="D23" i="43" s="1"/>
  <c r="N13" i="58"/>
  <c r="N12" i="58"/>
  <c r="N12" i="43"/>
  <c r="C10" i="56" s="1"/>
  <c r="H17" i="43"/>
  <c r="H23" i="43" s="1"/>
  <c r="N22" i="43"/>
  <c r="N20" i="43"/>
  <c r="C18" i="56" s="1"/>
  <c r="H18" i="56" s="1"/>
  <c r="I23" i="43"/>
  <c r="I24" i="43" s="1"/>
  <c r="J23" i="43"/>
  <c r="N19" i="43"/>
  <c r="C17" i="56" s="1"/>
  <c r="C43" i="56" s="1"/>
  <c r="K23" i="43"/>
  <c r="K24" i="43" s="1"/>
  <c r="G17" i="43"/>
  <c r="G23" i="43" s="1"/>
  <c r="J48" i="43"/>
  <c r="E48" i="43"/>
  <c r="I48" i="43"/>
  <c r="E23" i="43"/>
  <c r="E24" i="43" s="1"/>
  <c r="L17" i="43"/>
  <c r="L23" i="43" s="1"/>
  <c r="N13" i="43"/>
  <c r="C11" i="56" s="1"/>
  <c r="C37" i="56" s="1"/>
  <c r="N12" i="57"/>
  <c r="D10" i="56" s="1"/>
  <c r="N19" i="58"/>
  <c r="N13" i="57"/>
  <c r="D11" i="56" s="1"/>
  <c r="C36" i="56"/>
  <c r="I16" i="57"/>
  <c r="F16" i="58"/>
  <c r="C20" i="56"/>
  <c r="F16" i="57"/>
  <c r="E16" i="58"/>
  <c r="D44" i="56"/>
  <c r="K16" i="58"/>
  <c r="J16" i="57"/>
  <c r="J16" i="58"/>
  <c r="F28" i="51"/>
  <c r="N18" i="58"/>
  <c r="I26" i="51"/>
  <c r="I16" i="43"/>
  <c r="N21" i="58"/>
  <c r="I27" i="51"/>
  <c r="G11" i="58"/>
  <c r="G14" i="58" s="1"/>
  <c r="G40" i="58"/>
  <c r="C30" i="56"/>
  <c r="C32" i="56" s="1"/>
  <c r="C33" i="56" s="1"/>
  <c r="D11" i="58"/>
  <c r="D14" i="58" s="1"/>
  <c r="D15" i="58" s="1"/>
  <c r="M23" i="43"/>
  <c r="M24" i="43" s="1"/>
  <c r="N9" i="57"/>
  <c r="D7" i="56" s="1"/>
  <c r="C48" i="43"/>
  <c r="M48" i="43"/>
  <c r="H11" i="43"/>
  <c r="H14" i="43" s="1"/>
  <c r="H15" i="43" s="1"/>
  <c r="H40" i="43"/>
  <c r="H48" i="43" s="1"/>
  <c r="L11" i="58"/>
  <c r="L14" i="58" s="1"/>
  <c r="L15" i="58" s="1"/>
  <c r="G40" i="43"/>
  <c r="G48" i="43" s="1"/>
  <c r="G11" i="43"/>
  <c r="G14" i="43" s="1"/>
  <c r="G15" i="43" s="1"/>
  <c r="C45" i="56"/>
  <c r="C51" i="56"/>
  <c r="L11" i="57"/>
  <c r="L14" i="57" s="1"/>
  <c r="L15" i="57" s="1"/>
  <c r="L40" i="57"/>
  <c r="C23" i="43"/>
  <c r="F16" i="43"/>
  <c r="C14" i="43"/>
  <c r="N9" i="58"/>
  <c r="M16" i="43"/>
  <c r="H40" i="57"/>
  <c r="H11" i="57"/>
  <c r="H14" i="57" s="1"/>
  <c r="H15" i="57" s="1"/>
  <c r="N22" i="58"/>
  <c r="G40" i="57"/>
  <c r="G11" i="57"/>
  <c r="G14" i="57" s="1"/>
  <c r="G15" i="57" s="1"/>
  <c r="N22" i="57"/>
  <c r="F46" i="43"/>
  <c r="F48" i="43" s="1"/>
  <c r="F23" i="43"/>
  <c r="F24" i="43" s="1"/>
  <c r="C14" i="58"/>
  <c r="J24" i="43"/>
  <c r="J16" i="43"/>
  <c r="D11" i="43"/>
  <c r="D14" i="43" s="1"/>
  <c r="D15" i="43" s="1"/>
  <c r="D40" i="43"/>
  <c r="D48" i="43" s="1"/>
  <c r="M16" i="57"/>
  <c r="C50" i="56"/>
  <c r="C14" i="57"/>
  <c r="K18" i="57"/>
  <c r="K17" i="57" s="1"/>
  <c r="G18" i="57"/>
  <c r="G17" i="57" s="1"/>
  <c r="C18" i="57"/>
  <c r="C17" i="57" s="1"/>
  <c r="J18" i="57"/>
  <c r="J17" i="57" s="1"/>
  <c r="F18" i="57"/>
  <c r="F17" i="57" s="1"/>
  <c r="M18" i="57"/>
  <c r="M17" i="57" s="1"/>
  <c r="E18" i="57"/>
  <c r="E17" i="57" s="1"/>
  <c r="L18" i="57"/>
  <c r="L17" i="57" s="1"/>
  <c r="D18" i="57"/>
  <c r="H18" i="57"/>
  <c r="H17" i="57" s="1"/>
  <c r="I18" i="57"/>
  <c r="I17" i="57" s="1"/>
  <c r="D11" i="57"/>
  <c r="D14" i="57" s="1"/>
  <c r="D15" i="57" s="1"/>
  <c r="D40" i="57"/>
  <c r="E16" i="43"/>
  <c r="K16" i="43"/>
  <c r="M16" i="58"/>
  <c r="K21" i="57"/>
  <c r="G21" i="57"/>
  <c r="G46" i="57" s="1"/>
  <c r="C21" i="57"/>
  <c r="J21" i="57"/>
  <c r="F21" i="57"/>
  <c r="I21" i="57"/>
  <c r="H21" i="57"/>
  <c r="H46" i="57" s="1"/>
  <c r="D19" i="56"/>
  <c r="M21" i="57"/>
  <c r="L21" i="57"/>
  <c r="L46" i="57" s="1"/>
  <c r="E21" i="57"/>
  <c r="D21" i="57"/>
  <c r="D46" i="57" s="1"/>
  <c r="H11" i="58"/>
  <c r="H14" i="58" s="1"/>
  <c r="H15" i="58" s="1"/>
  <c r="D17" i="57"/>
  <c r="L11" i="43"/>
  <c r="L14" i="43" s="1"/>
  <c r="L15" i="43" s="1"/>
  <c r="L40" i="43"/>
  <c r="L48" i="43" s="1"/>
  <c r="E16" i="57"/>
  <c r="G15" i="60" l="1"/>
  <c r="G16" i="60" s="1"/>
  <c r="L15" i="59"/>
  <c r="L16" i="59" s="1"/>
  <c r="D21" i="59"/>
  <c r="H21" i="59"/>
  <c r="L21" i="59"/>
  <c r="E21" i="59"/>
  <c r="C21" i="59"/>
  <c r="F21" i="59"/>
  <c r="J21" i="59"/>
  <c r="J46" i="59" s="1"/>
  <c r="J48" i="59" s="1"/>
  <c r="G21" i="59"/>
  <c r="K21" i="59"/>
  <c r="I21" i="59"/>
  <c r="M21" i="59"/>
  <c r="H18" i="60"/>
  <c r="H17" i="60" s="1"/>
  <c r="M18" i="60"/>
  <c r="M17" i="60" s="1"/>
  <c r="J18" i="60"/>
  <c r="J17" i="60" s="1"/>
  <c r="F18" i="60"/>
  <c r="F17" i="60" s="1"/>
  <c r="E18" i="60"/>
  <c r="E17" i="60" s="1"/>
  <c r="G18" i="60"/>
  <c r="G17" i="60" s="1"/>
  <c r="D18" i="60"/>
  <c r="D17" i="60" s="1"/>
  <c r="L18" i="60"/>
  <c r="L17" i="60" s="1"/>
  <c r="I18" i="60"/>
  <c r="I17" i="60" s="1"/>
  <c r="K18" i="60"/>
  <c r="K17" i="60" s="1"/>
  <c r="C18" i="60"/>
  <c r="C17" i="60" s="1"/>
  <c r="H21" i="60"/>
  <c r="D21" i="60"/>
  <c r="F21" i="60"/>
  <c r="E21" i="60"/>
  <c r="I21" i="60"/>
  <c r="K21" i="60"/>
  <c r="M21" i="60"/>
  <c r="J21" i="60"/>
  <c r="G21" i="60"/>
  <c r="L21" i="60"/>
  <c r="C21" i="60"/>
  <c r="M18" i="59"/>
  <c r="M17" i="59" s="1"/>
  <c r="D18" i="59"/>
  <c r="D17" i="59" s="1"/>
  <c r="L18" i="59"/>
  <c r="L17" i="59" s="1"/>
  <c r="E18" i="59"/>
  <c r="E17" i="59" s="1"/>
  <c r="F18" i="59"/>
  <c r="F17" i="59" s="1"/>
  <c r="G18" i="59"/>
  <c r="G17" i="59" s="1"/>
  <c r="H18" i="59"/>
  <c r="H17" i="59" s="1"/>
  <c r="C18" i="59"/>
  <c r="C17" i="59" s="1"/>
  <c r="I18" i="59"/>
  <c r="I17" i="59" s="1"/>
  <c r="K18" i="59"/>
  <c r="K17" i="59" s="1"/>
  <c r="J18" i="59"/>
  <c r="J17" i="59" s="1"/>
  <c r="H15" i="59"/>
  <c r="H16" i="59" s="1"/>
  <c r="M16" i="60"/>
  <c r="M16" i="59"/>
  <c r="K16" i="59"/>
  <c r="I16" i="59"/>
  <c r="N10" i="59"/>
  <c r="F8" i="56" s="1"/>
  <c r="H8" i="56" s="1"/>
  <c r="H31" i="56" s="1"/>
  <c r="G15" i="58"/>
  <c r="G16" i="58" s="1"/>
  <c r="D15" i="59"/>
  <c r="G15" i="59"/>
  <c r="G16" i="59" s="1"/>
  <c r="N11" i="59"/>
  <c r="C15" i="59"/>
  <c r="N14" i="59"/>
  <c r="D16" i="60"/>
  <c r="C44" i="56"/>
  <c r="H16" i="60"/>
  <c r="N14" i="60"/>
  <c r="C15" i="60"/>
  <c r="N14" i="57"/>
  <c r="H11" i="56"/>
  <c r="H37" i="56" s="1"/>
  <c r="D16" i="59"/>
  <c r="L16" i="60"/>
  <c r="N11" i="60"/>
  <c r="H10" i="56"/>
  <c r="H36" i="56" s="1"/>
  <c r="H17" i="56"/>
  <c r="H43" i="56" s="1"/>
  <c r="C48" i="56"/>
  <c r="N11" i="43"/>
  <c r="C9" i="56" s="1"/>
  <c r="C35" i="56" s="1"/>
  <c r="N17" i="43"/>
  <c r="C15" i="56" s="1"/>
  <c r="C21" i="56" s="1"/>
  <c r="G48" i="57"/>
  <c r="D48" i="56"/>
  <c r="F26" i="43"/>
  <c r="F27" i="43" s="1"/>
  <c r="E46" i="57"/>
  <c r="E48" i="57" s="1"/>
  <c r="E23" i="57"/>
  <c r="E24" i="57" s="1"/>
  <c r="C46" i="57"/>
  <c r="C48" i="57" s="1"/>
  <c r="C23" i="57"/>
  <c r="N17" i="57"/>
  <c r="D15" i="56" s="1"/>
  <c r="D42" i="56" s="1"/>
  <c r="H23" i="57"/>
  <c r="H24" i="57" s="1"/>
  <c r="E26" i="43"/>
  <c r="E27" i="43" s="1"/>
  <c r="J26" i="43"/>
  <c r="J27" i="43" s="1"/>
  <c r="M26" i="43"/>
  <c r="M27" i="43" s="1"/>
  <c r="L16" i="57"/>
  <c r="I46" i="57"/>
  <c r="I48" i="57" s="1"/>
  <c r="I23" i="57"/>
  <c r="I24" i="57" s="1"/>
  <c r="G24" i="43"/>
  <c r="G16" i="43"/>
  <c r="H7" i="56"/>
  <c r="H30" i="56" s="1"/>
  <c r="D23" i="57"/>
  <c r="D24" i="57" s="1"/>
  <c r="I26" i="43"/>
  <c r="I27" i="43" s="1"/>
  <c r="C52" i="56"/>
  <c r="C46" i="56"/>
  <c r="H16" i="58"/>
  <c r="M46" i="57"/>
  <c r="M48" i="57" s="1"/>
  <c r="M23" i="57"/>
  <c r="M24" i="57" s="1"/>
  <c r="F46" i="57"/>
  <c r="F48" i="57" s="1"/>
  <c r="F23" i="57"/>
  <c r="F24" i="57" s="1"/>
  <c r="K46" i="57"/>
  <c r="K48" i="57" s="1"/>
  <c r="K23" i="57"/>
  <c r="K24" i="57" s="1"/>
  <c r="D48" i="57"/>
  <c r="D24" i="43"/>
  <c r="D16" i="43"/>
  <c r="N14" i="58"/>
  <c r="D20" i="56"/>
  <c r="H48" i="57"/>
  <c r="C15" i="58"/>
  <c r="G23" i="57"/>
  <c r="G24" i="57" s="1"/>
  <c r="L16" i="58"/>
  <c r="H24" i="43"/>
  <c r="H16" i="43"/>
  <c r="C15" i="57"/>
  <c r="D16" i="58"/>
  <c r="D50" i="56"/>
  <c r="L23" i="57"/>
  <c r="L24" i="57" s="1"/>
  <c r="N11" i="58"/>
  <c r="H16" i="57"/>
  <c r="L24" i="43"/>
  <c r="L16" i="43"/>
  <c r="D45" i="56"/>
  <c r="D51" i="56"/>
  <c r="J46" i="57"/>
  <c r="J48" i="57" s="1"/>
  <c r="J23" i="57"/>
  <c r="J24" i="57" s="1"/>
  <c r="K26" i="43"/>
  <c r="K27" i="43" s="1"/>
  <c r="D16" i="57"/>
  <c r="N11" i="57"/>
  <c r="D9" i="56" s="1"/>
  <c r="H44" i="56"/>
  <c r="G16" i="57"/>
  <c r="N14" i="43"/>
  <c r="C15" i="43"/>
  <c r="L48" i="57"/>
  <c r="K21" i="58"/>
  <c r="G21" i="58"/>
  <c r="C21" i="58"/>
  <c r="L21" i="58"/>
  <c r="F21" i="58"/>
  <c r="J21" i="58"/>
  <c r="D21" i="58"/>
  <c r="M21" i="58"/>
  <c r="I21" i="58"/>
  <c r="H21" i="58"/>
  <c r="E21" i="58"/>
  <c r="K18" i="58"/>
  <c r="K17" i="58" s="1"/>
  <c r="G18" i="58"/>
  <c r="G17" i="58" s="1"/>
  <c r="C18" i="58"/>
  <c r="C17" i="58" s="1"/>
  <c r="J18" i="58"/>
  <c r="J17" i="58" s="1"/>
  <c r="E18" i="58"/>
  <c r="E17" i="58" s="1"/>
  <c r="L18" i="58"/>
  <c r="L17" i="58" s="1"/>
  <c r="D18" i="58"/>
  <c r="D17" i="58" s="1"/>
  <c r="I18" i="58"/>
  <c r="I17" i="58" s="1"/>
  <c r="H18" i="58"/>
  <c r="H17" i="58" s="1"/>
  <c r="M18" i="58"/>
  <c r="M17" i="58" s="1"/>
  <c r="F18" i="58"/>
  <c r="F17" i="58" s="1"/>
  <c r="J23" i="59" l="1"/>
  <c r="J24" i="59" s="1"/>
  <c r="J26" i="59" s="1"/>
  <c r="J27" i="59" s="1"/>
  <c r="C42" i="56"/>
  <c r="N17" i="59"/>
  <c r="N23" i="59" s="1"/>
  <c r="M46" i="60"/>
  <c r="M48" i="60" s="1"/>
  <c r="M23" i="60"/>
  <c r="M24" i="60" s="1"/>
  <c r="M26" i="60" s="1"/>
  <c r="M27" i="60" s="1"/>
  <c r="H46" i="60"/>
  <c r="H48" i="60" s="1"/>
  <c r="H23" i="60"/>
  <c r="H24" i="60" s="1"/>
  <c r="H26" i="60" s="1"/>
  <c r="H27" i="60" s="1"/>
  <c r="G46" i="59"/>
  <c r="G48" i="59" s="1"/>
  <c r="G23" i="59"/>
  <c r="G24" i="59" s="1"/>
  <c r="C46" i="59"/>
  <c r="C48" i="59" s="1"/>
  <c r="C23" i="59"/>
  <c r="C24" i="59" s="1"/>
  <c r="C26" i="59" s="1"/>
  <c r="G46" i="60"/>
  <c r="G48" i="60" s="1"/>
  <c r="G23" i="60"/>
  <c r="G24" i="60" s="1"/>
  <c r="G26" i="60" s="1"/>
  <c r="G27" i="60" s="1"/>
  <c r="K46" i="60"/>
  <c r="K48" i="60" s="1"/>
  <c r="K23" i="60"/>
  <c r="K24" i="60" s="1"/>
  <c r="K26" i="60" s="1"/>
  <c r="K27" i="60" s="1"/>
  <c r="F46" i="60"/>
  <c r="F48" i="60" s="1"/>
  <c r="F23" i="60"/>
  <c r="F24" i="60" s="1"/>
  <c r="F26" i="60" s="1"/>
  <c r="F27" i="60" s="1"/>
  <c r="I46" i="59"/>
  <c r="I48" i="59" s="1"/>
  <c r="I23" i="59"/>
  <c r="I24" i="59" s="1"/>
  <c r="I26" i="59" s="1"/>
  <c r="I27" i="59" s="1"/>
  <c r="E46" i="59"/>
  <c r="E48" i="59" s="1"/>
  <c r="E23" i="59"/>
  <c r="E24" i="59" s="1"/>
  <c r="E26" i="59" s="1"/>
  <c r="E27" i="59" s="1"/>
  <c r="D46" i="59"/>
  <c r="D48" i="59" s="1"/>
  <c r="D23" i="59"/>
  <c r="D24" i="59" s="1"/>
  <c r="D26" i="59" s="1"/>
  <c r="D27" i="59" s="1"/>
  <c r="L46" i="60"/>
  <c r="L48" i="60" s="1"/>
  <c r="L23" i="60"/>
  <c r="L24" i="60" s="1"/>
  <c r="L26" i="60" s="1"/>
  <c r="L27" i="60" s="1"/>
  <c r="E46" i="60"/>
  <c r="E48" i="60" s="1"/>
  <c r="E23" i="60"/>
  <c r="E24" i="60" s="1"/>
  <c r="E26" i="60" s="1"/>
  <c r="E27" i="60" s="1"/>
  <c r="M46" i="59"/>
  <c r="M48" i="59" s="1"/>
  <c r="M23" i="59"/>
  <c r="M24" i="59" s="1"/>
  <c r="M26" i="59" s="1"/>
  <c r="M27" i="59" s="1"/>
  <c r="H46" i="59"/>
  <c r="H48" i="59" s="1"/>
  <c r="H23" i="59"/>
  <c r="H24" i="59" s="1"/>
  <c r="H26" i="59" s="1"/>
  <c r="H27" i="59" s="1"/>
  <c r="C46" i="60"/>
  <c r="C48" i="60" s="1"/>
  <c r="C23" i="60"/>
  <c r="C24" i="60" s="1"/>
  <c r="C26" i="60" s="1"/>
  <c r="J46" i="60"/>
  <c r="J48" i="60" s="1"/>
  <c r="J23" i="60"/>
  <c r="J24" i="60" s="1"/>
  <c r="J26" i="60" s="1"/>
  <c r="J27" i="60" s="1"/>
  <c r="I46" i="60"/>
  <c r="I48" i="60" s="1"/>
  <c r="I23" i="60"/>
  <c r="I24" i="60" s="1"/>
  <c r="I26" i="60" s="1"/>
  <c r="I27" i="60" s="1"/>
  <c r="D46" i="60"/>
  <c r="D48" i="60" s="1"/>
  <c r="D23" i="60"/>
  <c r="D24" i="60" s="1"/>
  <c r="D26" i="60" s="1"/>
  <c r="D27" i="60" s="1"/>
  <c r="N17" i="60"/>
  <c r="N23" i="60" s="1"/>
  <c r="K46" i="59"/>
  <c r="K48" i="59" s="1"/>
  <c r="K23" i="59"/>
  <c r="K24" i="59" s="1"/>
  <c r="K26" i="59" s="1"/>
  <c r="K27" i="59" s="1"/>
  <c r="F46" i="59"/>
  <c r="F48" i="59" s="1"/>
  <c r="F23" i="59"/>
  <c r="F24" i="59" s="1"/>
  <c r="F26" i="59" s="1"/>
  <c r="F27" i="59" s="1"/>
  <c r="L46" i="59"/>
  <c r="L48" i="59" s="1"/>
  <c r="L23" i="59"/>
  <c r="L24" i="59" s="1"/>
  <c r="L26" i="59" s="1"/>
  <c r="L27" i="59" s="1"/>
  <c r="H32" i="56"/>
  <c r="H33" i="56" s="1"/>
  <c r="C16" i="60"/>
  <c r="N15" i="60"/>
  <c r="G13" i="56" s="1"/>
  <c r="C16" i="59"/>
  <c r="N15" i="59"/>
  <c r="F13" i="56" s="1"/>
  <c r="C12" i="56"/>
  <c r="C49" i="56"/>
  <c r="N23" i="43"/>
  <c r="L26" i="57"/>
  <c r="L27" i="57" s="1"/>
  <c r="G46" i="58"/>
  <c r="G48" i="58" s="1"/>
  <c r="G23" i="58"/>
  <c r="G24" i="58" s="1"/>
  <c r="D49" i="56"/>
  <c r="D12" i="56"/>
  <c r="F26" i="57"/>
  <c r="F27" i="57" s="1"/>
  <c r="I46" i="58"/>
  <c r="I48" i="58" s="1"/>
  <c r="I23" i="58"/>
  <c r="I24" i="58" s="1"/>
  <c r="F46" i="58"/>
  <c r="F48" i="58" s="1"/>
  <c r="F23" i="58"/>
  <c r="F24" i="58" s="1"/>
  <c r="K46" i="58"/>
  <c r="K48" i="58" s="1"/>
  <c r="K23" i="58"/>
  <c r="K24" i="58" s="1"/>
  <c r="G26" i="57"/>
  <c r="G27" i="57" s="1"/>
  <c r="J26" i="57"/>
  <c r="J27" i="57" s="1"/>
  <c r="N23" i="57"/>
  <c r="J46" i="58"/>
  <c r="J48" i="58" s="1"/>
  <c r="J23" i="58"/>
  <c r="J24" i="58" s="1"/>
  <c r="N15" i="43"/>
  <c r="C24" i="43"/>
  <c r="C16" i="43"/>
  <c r="H26" i="57"/>
  <c r="H27" i="57" s="1"/>
  <c r="C24" i="57"/>
  <c r="C16" i="57"/>
  <c r="N15" i="57"/>
  <c r="D21" i="56"/>
  <c r="D52" i="56"/>
  <c r="D46" i="56"/>
  <c r="D26" i="43"/>
  <c r="D27" i="43" s="1"/>
  <c r="E46" i="58"/>
  <c r="E48" i="58" s="1"/>
  <c r="E23" i="58"/>
  <c r="E24" i="58" s="1"/>
  <c r="M46" i="58"/>
  <c r="M48" i="58" s="1"/>
  <c r="M23" i="58"/>
  <c r="M24" i="58" s="1"/>
  <c r="L46" i="58"/>
  <c r="L48" i="58" s="1"/>
  <c r="L23" i="58"/>
  <c r="L24" i="58" s="1"/>
  <c r="D26" i="57"/>
  <c r="D27" i="57" s="1"/>
  <c r="L26" i="43"/>
  <c r="L27" i="43" s="1"/>
  <c r="H26" i="43"/>
  <c r="H27" i="43" s="1"/>
  <c r="C16" i="58"/>
  <c r="N15" i="58"/>
  <c r="E13" i="56" s="1"/>
  <c r="K26" i="57"/>
  <c r="K27" i="57" s="1"/>
  <c r="M26" i="57"/>
  <c r="M27" i="57" s="1"/>
  <c r="I26" i="57"/>
  <c r="I27" i="57" s="1"/>
  <c r="N17" i="58"/>
  <c r="H46" i="58"/>
  <c r="H48" i="58" s="1"/>
  <c r="H23" i="58"/>
  <c r="H24" i="58" s="1"/>
  <c r="D46" i="58"/>
  <c r="D48" i="58" s="1"/>
  <c r="D23" i="58"/>
  <c r="D24" i="58" s="1"/>
  <c r="C46" i="58"/>
  <c r="C48" i="58" s="1"/>
  <c r="C23" i="58"/>
  <c r="C24" i="58" s="1"/>
  <c r="H50" i="56"/>
  <c r="H48" i="56"/>
  <c r="H20" i="56"/>
  <c r="G26" i="43"/>
  <c r="G27" i="43" s="1"/>
  <c r="H9" i="56"/>
  <c r="E26" i="57"/>
  <c r="E27" i="57" s="1"/>
  <c r="H19" i="56"/>
  <c r="G26" i="59" l="1"/>
  <c r="G27" i="59" s="1"/>
  <c r="N24" i="59"/>
  <c r="N16" i="59"/>
  <c r="F14" i="56" s="1"/>
  <c r="N16" i="60"/>
  <c r="G14" i="56" s="1"/>
  <c r="N24" i="60"/>
  <c r="C27" i="59"/>
  <c r="C27" i="60"/>
  <c r="N26" i="60"/>
  <c r="H52" i="56"/>
  <c r="H46" i="56"/>
  <c r="C26" i="58"/>
  <c r="E26" i="58"/>
  <c r="E27" i="58" s="1"/>
  <c r="H35" i="56"/>
  <c r="H12" i="56"/>
  <c r="N23" i="58"/>
  <c r="N24" i="58" s="1"/>
  <c r="E22" i="56" s="1"/>
  <c r="N16" i="58"/>
  <c r="E14" i="56" s="1"/>
  <c r="F26" i="58"/>
  <c r="F27" i="58" s="1"/>
  <c r="M26" i="58"/>
  <c r="M27" i="58" s="1"/>
  <c r="N16" i="43"/>
  <c r="N24" i="43"/>
  <c r="C13" i="56"/>
  <c r="G26" i="58"/>
  <c r="G27" i="58" s="1"/>
  <c r="L26" i="58"/>
  <c r="L27" i="58" s="1"/>
  <c r="D26" i="58"/>
  <c r="D27" i="58" s="1"/>
  <c r="C26" i="57"/>
  <c r="C26" i="43"/>
  <c r="H51" i="56"/>
  <c r="H45" i="56"/>
  <c r="H26" i="58"/>
  <c r="H27" i="58" s="1"/>
  <c r="N24" i="57"/>
  <c r="N16" i="57"/>
  <c r="D13" i="56"/>
  <c r="J26" i="58"/>
  <c r="J27" i="58" s="1"/>
  <c r="K26" i="58"/>
  <c r="K27" i="58" s="1"/>
  <c r="I26" i="58"/>
  <c r="I27" i="58" s="1"/>
  <c r="N27" i="60" l="1"/>
  <c r="G25" i="56" s="1"/>
  <c r="G24" i="56"/>
  <c r="G23" i="56"/>
  <c r="G22" i="56"/>
  <c r="F23" i="56"/>
  <c r="F22" i="56"/>
  <c r="N26" i="59"/>
  <c r="C27" i="43"/>
  <c r="N26" i="43"/>
  <c r="C27" i="57"/>
  <c r="N26" i="57"/>
  <c r="E23" i="56"/>
  <c r="D14" i="56"/>
  <c r="N26" i="58"/>
  <c r="E24" i="56" s="1"/>
  <c r="C27" i="58"/>
  <c r="H15" i="56"/>
  <c r="D23" i="56"/>
  <c r="D22" i="56"/>
  <c r="D54" i="56" s="1"/>
  <c r="C23" i="56"/>
  <c r="C22" i="56"/>
  <c r="H13" i="56"/>
  <c r="C39" i="56"/>
  <c r="C40" i="56" s="1"/>
  <c r="C14" i="56"/>
  <c r="N27" i="59" l="1"/>
  <c r="F25" i="56" s="1"/>
  <c r="F24" i="56"/>
  <c r="N27" i="57"/>
  <c r="D24" i="56"/>
  <c r="C54" i="56"/>
  <c r="H22" i="56"/>
  <c r="H54" i="56" s="1"/>
  <c r="H42" i="56"/>
  <c r="H21" i="56"/>
  <c r="H49" i="56"/>
  <c r="N27" i="43"/>
  <c r="C24" i="56"/>
  <c r="H39" i="56"/>
  <c r="H14" i="56"/>
  <c r="N27" i="58"/>
  <c r="E25" i="56" s="1"/>
  <c r="H40" i="56" l="1"/>
  <c r="D60" i="56"/>
  <c r="D59" i="56" s="1"/>
  <c r="D53" i="56"/>
  <c r="D25" i="56"/>
  <c r="C60" i="56"/>
  <c r="C59" i="56" s="1"/>
  <c r="H24" i="56"/>
  <c r="C25" i="56"/>
  <c r="C53" i="56"/>
  <c r="H53" i="56" l="1"/>
  <c r="H25" i="56"/>
  <c r="H60" i="56"/>
  <c r="H59" i="56" s="1"/>
</calcChain>
</file>

<file path=xl/comments1.xml><?xml version="1.0" encoding="utf-8"?>
<comments xmlns="http://schemas.openxmlformats.org/spreadsheetml/2006/main">
  <authors>
    <author>作者</author>
  </authors>
  <commentList>
    <comment ref="O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<sst xmlns="http://schemas.openxmlformats.org/spreadsheetml/2006/main" count="1515" uniqueCount="286">
  <si>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</si>
  <si>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</si>
  <si>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</si>
  <si>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</si>
  <si>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</si>
  <si>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</si>
  <si>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</si>
  <si>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</si>
  <si>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</si>
  <si>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</si>
  <si>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</si>
  <si>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</si>
  <si>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</si>
  <si>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</si>
  <si>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</si>
  <si>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</si>
  <si>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</si>
  <si>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</si>
  <si>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</si>
  <si>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</si>
  <si>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</si>
  <si>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</si>
  <si>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</si>
  <si>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</si>
  <si>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</si>
  <si>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</si>
  <si>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</si>
  <si>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</si>
  <si>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</si>
  <si>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</si>
  <si>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</si>
  <si>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</si>
  <si>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</si>
  <si>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</si>
  <si>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</si>
  <si>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</si>
  <si>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</si>
  <si>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</si>
  <si>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</si>
  <si>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</si>
  <si>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</si>
  <si>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</si>
  <si>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</si>
  <si>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</si>
  <si>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</si>
  <si>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</si>
  <si>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</si>
  <si>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</si>
  <si>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</si>
  <si>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</si>
  <si>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</si>
  <si>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</si>
  <si>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</si>
  <si>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</si>
  <si>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</si>
  <si>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</si>
  <si>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</si>
  <si>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</si>
  <si>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</si>
  <si>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</si>
  <si>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</si>
  <si>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</si>
  <si>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</si>
  <si>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</si>
  <si>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</si>
  <si>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</si>
  <si>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</si>
  <si>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</si>
  <si>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</si>
  <si>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</si>
  <si>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</si>
  <si>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</si>
  <si>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</si>
  <si>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</si>
  <si>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</si>
  <si>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</si>
  <si>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</si>
  <si>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</si>
  <si>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</si>
  <si>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</si>
  <si>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</si>
  <si>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</si>
  <si>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</si>
  <si>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</si>
  <si>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</si>
  <si>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</si>
  <si>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</si>
  <si>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</si>
  <si>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</si>
  <si>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</si>
  <si>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</si>
  <si>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</si>
  <si>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</si>
  <si>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</si>
  <si>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</si>
  <si>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</si>
  <si>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</si>
  <si>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</si>
  <si>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</si>
  <si>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</si>
  <si>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</si>
  <si>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</si>
  <si>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</si>
  <si>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</si>
  <si>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</si>
  <si>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</si>
  <si>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</si>
  <si>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</si>
  <si>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</si>
  <si>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</si>
  <si>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</si>
  <si>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</si>
  <si>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</si>
  <si>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</si>
  <si>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</si>
  <si>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</si>
  <si>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</si>
  <si>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</si>
  <si>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</si>
  <si>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</si>
  <si>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</si>
  <si>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</si>
  <si>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</si>
  <si>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</si>
  <si>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</si>
  <si>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</si>
  <si>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</si>
  <si>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</si>
  <si>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</si>
  <si>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</si>
  <si>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</si>
  <si>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</si>
  <si>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</si>
  <si>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</si>
  <si>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</si>
  <si>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</si>
  <si>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</si>
  <si>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</si>
  <si>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</si>
  <si>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</si>
  <si>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</si>
  <si>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</si>
  <si>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</si>
  <si>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</si>
  <si>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</si>
  <si>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</si>
  <si>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</si>
  <si>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</si>
  <si>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</si>
  <si>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</si>
  <si>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</si>
  <si>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t xml:space="preserve">2027年  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</si>
  <si>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</si>
  <si>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</si>
  <si>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</si>
  <si>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</si>
  <si>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</si>
  <si>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</si>
  <si>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</si>
  <si>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</si>
  <si>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</si>
  <si>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</si>
  <si>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</si>
  <si>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</si>
  <si>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</si>
  <si>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</si>
  <si>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</si>
  <si>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</si>
  <si>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</si>
  <si>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</si>
  <si>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</si>
  <si>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</si>
  <si>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</si>
  <si>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</si>
  <si>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</si>
  <si>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</si>
  <si>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</si>
  <si>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</si>
  <si>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</si>
  <si>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</si>
  <si>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</si>
  <si>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</si>
  <si>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</si>
  <si>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</si>
  <si>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</si>
  <si>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</si>
  <si>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</si>
  <si>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</si>
  <si>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</si>
  <si>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</si>
  <si>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</si>
  <si>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</si>
  <si>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</si>
  <si>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</si>
  <si>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</si>
  <si>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</si>
  <si>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</si>
  <si>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</si>
  <si>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</si>
  <si>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</si>
  <si>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</si>
  <si>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</si>
  <si>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</si>
  <si>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</si>
  <si>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</si>
  <si>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</si>
  <si>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</si>
  <si>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</si>
  <si>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</si>
  <si>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</si>
  <si>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</si>
  <si>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</si>
  <si>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</si>
  <si>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</si>
  <si>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</si>
  <si>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</si>
  <si>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</si>
  <si>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</si>
  <si>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</si>
  <si>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</si>
  <si>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</si>
  <si>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</si>
  <si>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</si>
  <si>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</si>
  <si>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</si>
  <si>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</si>
  <si>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</si>
  <si>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</si>
  <si>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</si>
  <si>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</si>
  <si>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</si>
  <si>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</si>
  <si>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</si>
  <si>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</si>
  <si>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</si>
  <si>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原材料成本</t>
    <phoneticPr fontId="40" type="noConversion"/>
  </si>
  <si>
    <t>附加值</t>
    <phoneticPr fontId="40" type="noConversion"/>
  </si>
  <si>
    <t>附加值率</t>
    <phoneticPr fontId="40" type="noConversion"/>
  </si>
  <si>
    <t>成本预估由项目经理提供。供应商年度降价与销价降价同步。</t>
    <phoneticPr fontId="40" type="noConversion"/>
  </si>
  <si>
    <t>变动费用参考河北工厂2022年实际及2023预算暂估。</t>
    <phoneticPr fontId="40" type="noConversion"/>
  </si>
  <si>
    <t>财务费用按集团综合。</t>
    <phoneticPr fontId="40" type="noConversion"/>
  </si>
  <si>
    <t>面套、骨架、底支架自制</t>
    <phoneticPr fontId="40" type="noConversion"/>
  </si>
  <si>
    <r>
      <t xml:space="preserve">直接材料  </t>
    </r>
    <r>
      <rPr>
        <b/>
        <sz val="10"/>
        <color rgb="FFFF0000"/>
        <rFont val="微软雅黑"/>
        <family val="2"/>
        <charset val="134"/>
      </rPr>
      <t>面套、骨架、底支架自制</t>
    </r>
    <phoneticPr fontId="40" type="noConversion"/>
  </si>
  <si>
    <t>单位：未税、元</t>
    <phoneticPr fontId="40" type="noConversion"/>
  </si>
  <si>
    <t>投资收益分析</t>
    <phoneticPr fontId="40" type="noConversion"/>
  </si>
  <si>
    <t>一汽解放青岛悍V座椅项目</t>
    <phoneticPr fontId="40" type="noConversion"/>
  </si>
  <si>
    <r>
      <t>2023</t>
    </r>
    <r>
      <rPr>
        <b/>
        <sz val="10"/>
        <rFont val="宋体"/>
        <family val="3"/>
        <charset val="134"/>
      </rPr>
      <t>年</t>
    </r>
    <phoneticPr fontId="40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</si>
  <si>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</si>
  <si>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</si>
  <si>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</si>
  <si>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</si>
  <si>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t xml:space="preserve">2026年  </t>
    <phoneticPr fontId="40" type="noConversion"/>
  </si>
  <si>
    <t xml:space="preserve">2025年  </t>
    <phoneticPr fontId="40" type="noConversion"/>
  </si>
  <si>
    <t xml:space="preserve">2024年  </t>
    <phoneticPr fontId="40" type="noConversion"/>
  </si>
  <si>
    <t xml:space="preserve">2023年  </t>
    <phoneticPr fontId="40" type="noConversion"/>
  </si>
  <si>
    <t>一汽解放青岛汽车有限公司</t>
    <phoneticPr fontId="40" type="noConversion"/>
  </si>
  <si>
    <t>青岛即墨</t>
  </si>
  <si>
    <t>电子承兑</t>
  </si>
  <si>
    <t>银行电子承兑</t>
  </si>
  <si>
    <t>河北工厂</t>
  </si>
  <si>
    <t>无</t>
  </si>
  <si>
    <t>围板箱</t>
  </si>
  <si>
    <t>同现有产品</t>
  </si>
  <si>
    <t>同JH13</t>
  </si>
  <si>
    <t>分摊</t>
  </si>
  <si>
    <t>公路物流牵引车</t>
  </si>
  <si>
    <t>驾驶员座总成</t>
  </si>
  <si>
    <t>6800010GE404</t>
  </si>
  <si>
    <t>气囊减震、气动升降、单扶手、定阻尼、气动腰脱、通风、加热、织物面料、两点式安全带、靠背调节</t>
  </si>
  <si>
    <t>2023年</t>
    <phoneticPr fontId="40" type="noConversion"/>
  </si>
  <si>
    <t>2024年</t>
  </si>
  <si>
    <t>ZY2317</t>
    <phoneticPr fontId="40" type="noConversion"/>
  </si>
  <si>
    <t>供应商年降：       年2.5 %</t>
    <phoneticPr fontId="40" type="noConversion"/>
  </si>
  <si>
    <t>单台材料成本为未税价格。</t>
    <phoneticPr fontId="40" type="noConversion"/>
  </si>
  <si>
    <t>生产线改造</t>
  </si>
  <si>
    <t>底支架冲压模具</t>
  </si>
  <si>
    <t>靠背发泡</t>
  </si>
  <si>
    <t>靠背骨架焊接夹具</t>
  </si>
  <si>
    <t>客户及供应商交流成本、样品状态事宜，预计2-3次，单次1-2人；</t>
  </si>
  <si>
    <t>产品实验运费，顾客样件交付运费</t>
  </si>
  <si>
    <t>20套用于验证交付，5套用于实验</t>
  </si>
  <si>
    <t>DVP试验及强检认证费用</t>
  </si>
  <si>
    <t xml:space="preserve">座椅项目研发费用预算表 </t>
    <phoneticPr fontId="40" type="noConversion"/>
  </si>
  <si>
    <t>2024年</t>
    <phoneticPr fontId="40" type="noConversion"/>
  </si>
  <si>
    <t>所得税(税率15%）</t>
    <phoneticPr fontId="40" type="noConversion"/>
  </si>
  <si>
    <t>所得税15%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</si>
</sst>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_ "/>
    <numFmt numFmtId="179" formatCode="0.00_ "/>
    <numFmt numFmtId="180" formatCode="&quot;$&quot;#,##0.00_);[Red]\(&quot;$&quot;#,##0.00\)"/>
    <numFmt numFmtId="181" formatCode="0.0%"/>
  </numFmts>
  <fonts count="4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9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0"/>
      <name val="MS Sans Serif"/>
      <family val="1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9"/>
      <name val="Arial"/>
      <family val="2"/>
    </font>
    <font>
      <sz val="12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0" fontId="31" fillId="0" borderId="0"/>
    <xf numFmtId="9" fontId="39" fillId="0" borderId="0" applyFont="0" applyFill="0" applyBorder="0" applyAlignment="0" applyProtection="0">
      <alignment vertical="center"/>
    </xf>
    <xf numFmtId="0" fontId="32" fillId="0" borderId="0"/>
    <xf numFmtId="0" fontId="39" fillId="0" borderId="0">
      <alignment vertical="center"/>
    </xf>
    <xf numFmtId="0" fontId="33" fillId="0" borderId="0"/>
    <xf numFmtId="1" fontId="34" fillId="0" borderId="2" applyBorder="0"/>
    <xf numFmtId="43" fontId="35" fillId="0" borderId="0" applyFont="0" applyFill="0" applyBorder="0" applyAlignment="0" applyProtection="0">
      <alignment vertical="center"/>
    </xf>
    <xf numFmtId="0" fontId="33" fillId="0" borderId="0"/>
    <xf numFmtId="0" fontId="43" fillId="0" borderId="2" applyNumberForma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10" fontId="0" fillId="0" borderId="2" xfId="3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3" fontId="9" fillId="4" borderId="2" xfId="1" applyFont="1" applyFill="1" applyBorder="1" applyAlignment="1">
      <alignment horizontal="center" vertical="center" wrapText="1"/>
    </xf>
    <xf numFmtId="43" fontId="9" fillId="0" borderId="2" xfId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0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0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 readingOrder="1"/>
    </xf>
    <xf numFmtId="176" fontId="11" fillId="0" borderId="2" xfId="0" applyNumberFormat="1" applyFont="1" applyFill="1" applyBorder="1" applyAlignment="1">
      <alignment horizontal="center" vertical="center" wrapText="1" readingOrder="1"/>
    </xf>
    <xf numFmtId="176" fontId="12" fillId="0" borderId="2" xfId="0" applyNumberFormat="1" applyFont="1" applyFill="1" applyBorder="1" applyAlignment="1">
      <alignment horizontal="center" vertical="center" wrapText="1" readingOrder="1"/>
    </xf>
    <xf numFmtId="177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177" fontId="11" fillId="0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8" fontId="14" fillId="6" borderId="2" xfId="4" applyNumberFormat="1" applyFont="1" applyFill="1" applyBorder="1" applyAlignment="1">
      <alignment horizontal="center" vertical="center" wrapText="1"/>
    </xf>
    <xf numFmtId="43" fontId="14" fillId="6" borderId="2" xfId="1" applyFont="1" applyFill="1" applyBorder="1" applyAlignment="1">
      <alignment horizontal="center" vertical="center" wrapText="1"/>
    </xf>
    <xf numFmtId="0" fontId="14" fillId="6" borderId="2" xfId="2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8" fontId="15" fillId="0" borderId="2" xfId="4" applyNumberFormat="1" applyFont="1" applyFill="1" applyBorder="1" applyAlignment="1">
      <alignment horizontal="left" vertical="center"/>
    </xf>
    <xf numFmtId="43" fontId="15" fillId="4" borderId="2" xfId="1" applyFont="1" applyFill="1" applyBorder="1" applyAlignment="1">
      <alignment horizontal="center" vertical="center"/>
    </xf>
    <xf numFmtId="0" fontId="16" fillId="5" borderId="2" xfId="2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17" fillId="5" borderId="2" xfId="2" applyNumberFormat="1" applyFont="1" applyFill="1" applyBorder="1" applyAlignment="1" applyProtection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0" fontId="0" fillId="7" borderId="2" xfId="0" applyFill="1" applyBorder="1">
      <alignment vertical="center"/>
    </xf>
    <xf numFmtId="178" fontId="15" fillId="0" borderId="3" xfId="4" applyNumberFormat="1" applyFont="1" applyFill="1" applyBorder="1" applyAlignment="1">
      <alignment horizontal="center" vertical="center"/>
    </xf>
    <xf numFmtId="178" fontId="15" fillId="0" borderId="3" xfId="4" applyNumberFormat="1" applyFont="1" applyFill="1" applyBorder="1" applyAlignment="1">
      <alignment horizontal="left" vertical="center" wrapText="1"/>
    </xf>
    <xf numFmtId="0" fontId="16" fillId="5" borderId="2" xfId="2" applyNumberFormat="1" applyFont="1" applyFill="1" applyBorder="1" applyAlignment="1" applyProtection="1">
      <alignment horizontal="center" vertical="center" wrapText="1"/>
    </xf>
    <xf numFmtId="43" fontId="15" fillId="3" borderId="2" xfId="1" applyFont="1" applyFill="1" applyBorder="1" applyAlignment="1" applyProtection="1">
      <alignment horizontal="center"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readingOrder="1"/>
    </xf>
    <xf numFmtId="43" fontId="8" fillId="0" borderId="2" xfId="0" applyNumberFormat="1" applyFont="1" applyBorder="1">
      <alignment vertical="center"/>
    </xf>
    <xf numFmtId="43" fontId="8" fillId="0" borderId="2" xfId="1" applyNumberFormat="1" applyFont="1" applyBorder="1">
      <alignment vertical="center"/>
    </xf>
    <xf numFmtId="43" fontId="8" fillId="0" borderId="2" xfId="1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>
      <alignment vertical="center"/>
    </xf>
    <xf numFmtId="0" fontId="21" fillId="0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10" fontId="20" fillId="0" borderId="2" xfId="3" applyNumberFormat="1" applyFont="1" applyFill="1" applyBorder="1" applyAlignment="1">
      <alignment horizontal="center" vertical="center"/>
    </xf>
    <xf numFmtId="0" fontId="18" fillId="0" borderId="2" xfId="0" applyFont="1" applyFill="1" applyBorder="1">
      <alignment vertical="center"/>
    </xf>
    <xf numFmtId="43" fontId="18" fillId="0" borderId="2" xfId="1" applyFont="1" applyFill="1" applyBorder="1">
      <alignment vertical="center"/>
    </xf>
    <xf numFmtId="43" fontId="20" fillId="0" borderId="2" xfId="1" applyFont="1" applyFill="1" applyBorder="1">
      <alignment vertical="center"/>
    </xf>
    <xf numFmtId="0" fontId="19" fillId="0" borderId="2" xfId="0" applyFont="1" applyFill="1" applyBorder="1">
      <alignment vertical="center"/>
    </xf>
    <xf numFmtId="9" fontId="20" fillId="0" borderId="2" xfId="3" applyFont="1" applyFill="1" applyBorder="1">
      <alignment vertical="center"/>
    </xf>
    <xf numFmtId="43" fontId="18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19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43" fontId="20" fillId="0" borderId="0" xfId="0" applyNumberFormat="1" applyFont="1" applyFill="1">
      <alignment vertical="center"/>
    </xf>
    <xf numFmtId="10" fontId="20" fillId="0" borderId="0" xfId="0" applyNumberFormat="1" applyFont="1" applyFill="1">
      <alignment vertical="center"/>
    </xf>
    <xf numFmtId="0" fontId="23" fillId="0" borderId="0" xfId="0" applyFont="1" applyFill="1">
      <alignment vertical="center"/>
    </xf>
    <xf numFmtId="179" fontId="20" fillId="0" borderId="0" xfId="0" applyNumberFormat="1" applyFont="1" applyFill="1">
      <alignment vertical="center"/>
    </xf>
    <xf numFmtId="10" fontId="20" fillId="0" borderId="2" xfId="3" applyNumberFormat="1" applyFont="1" applyFill="1" applyBorder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Border="1">
      <alignment vertical="center"/>
    </xf>
    <xf numFmtId="43" fontId="20" fillId="0" borderId="0" xfId="1" applyFont="1">
      <alignment vertical="center"/>
    </xf>
    <xf numFmtId="43" fontId="25" fillId="0" borderId="2" xfId="1" applyFont="1" applyFill="1" applyBorder="1" applyAlignment="1">
      <alignment horizontal="center" vertical="center" wrapText="1"/>
    </xf>
    <xf numFmtId="43" fontId="22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19" fillId="0" borderId="2" xfId="1" applyNumberFormat="1" applyFont="1" applyFill="1" applyBorder="1" applyAlignment="1">
      <alignment horizontal="center" vertical="center"/>
    </xf>
    <xf numFmtId="0" fontId="21" fillId="8" borderId="2" xfId="0" applyFont="1" applyFill="1" applyBorder="1">
      <alignment vertical="center"/>
    </xf>
    <xf numFmtId="177" fontId="19" fillId="8" borderId="2" xfId="1" applyNumberFormat="1" applyFont="1" applyFill="1" applyBorder="1" applyAlignment="1">
      <alignment horizontal="center" vertical="center"/>
    </xf>
    <xf numFmtId="0" fontId="26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19" fillId="0" borderId="2" xfId="3" applyNumberFormat="1" applyFont="1" applyBorder="1" applyAlignment="1">
      <alignment vertical="center"/>
    </xf>
    <xf numFmtId="177" fontId="19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0" fontId="26" fillId="8" borderId="2" xfId="0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3" applyNumberFormat="1" applyFont="1" applyBorder="1">
      <alignment vertical="center"/>
    </xf>
    <xf numFmtId="10" fontId="20" fillId="0" borderId="0" xfId="3" applyNumberFormat="1" applyFont="1" applyBorder="1">
      <alignment vertical="center"/>
    </xf>
    <xf numFmtId="43" fontId="20" fillId="0" borderId="0" xfId="0" applyNumberFormat="1" applyFont="1" applyFill="1" applyBorder="1">
      <alignment vertical="center"/>
    </xf>
    <xf numFmtId="43" fontId="20" fillId="0" borderId="0" xfId="1" applyFont="1" applyBorder="1">
      <alignment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0" fontId="19" fillId="0" borderId="2" xfId="0" applyFont="1" applyBorder="1">
      <alignment vertical="center"/>
    </xf>
    <xf numFmtId="0" fontId="26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5" fillId="5" borderId="0" xfId="2" applyNumberFormat="1" applyFont="1" applyFill="1" applyProtection="1"/>
    <xf numFmtId="0" fontId="15" fillId="5" borderId="0" xfId="2" applyFont="1" applyFill="1" applyProtection="1"/>
    <xf numFmtId="0" fontId="27" fillId="5" borderId="0" xfId="2" applyFont="1" applyFill="1" applyAlignment="1" applyProtection="1">
      <alignment horizontal="centerContinuous"/>
    </xf>
    <xf numFmtId="0" fontId="15" fillId="5" borderId="0" xfId="2" applyFont="1" applyFill="1" applyAlignment="1">
      <alignment horizontal="centerContinuous"/>
    </xf>
    <xf numFmtId="0" fontId="15" fillId="5" borderId="0" xfId="2" applyFont="1" applyFill="1" applyAlignment="1" applyProtection="1">
      <alignment horizontal="centerContinuous"/>
    </xf>
    <xf numFmtId="9" fontId="15" fillId="5" borderId="0" xfId="2" applyNumberFormat="1" applyFont="1" applyFill="1" applyProtection="1"/>
    <xf numFmtId="0" fontId="15" fillId="5" borderId="6" xfId="2" applyFont="1" applyFill="1" applyBorder="1" applyAlignment="1" applyProtection="1">
      <alignment horizontal="center"/>
    </xf>
    <xf numFmtId="0" fontId="17" fillId="5" borderId="2" xfId="2" applyFont="1" applyFill="1" applyBorder="1" applyAlignment="1" applyProtection="1">
      <alignment horizontal="center"/>
    </xf>
    <xf numFmtId="0" fontId="17" fillId="5" borderId="4" xfId="2" applyFont="1" applyFill="1" applyBorder="1" applyAlignment="1" applyProtection="1">
      <alignment horizontal="center"/>
    </xf>
    <xf numFmtId="1" fontId="17" fillId="5" borderId="4" xfId="7" applyFont="1" applyFill="1" applyBorder="1"/>
    <xf numFmtId="1" fontId="15" fillId="5" borderId="4" xfId="7" applyFont="1" applyFill="1" applyBorder="1"/>
    <xf numFmtId="0" fontId="15" fillId="5" borderId="7" xfId="2" applyFont="1" applyFill="1" applyBorder="1" applyProtection="1"/>
    <xf numFmtId="0" fontId="15" fillId="5" borderId="2" xfId="2" applyFont="1" applyFill="1" applyBorder="1" applyAlignment="1" applyProtection="1">
      <alignment horizontal="center"/>
    </xf>
    <xf numFmtId="0" fontId="15" fillId="5" borderId="2" xfId="2" applyFont="1" applyFill="1" applyBorder="1" applyAlignment="1" applyProtection="1">
      <alignment horizontal="left"/>
    </xf>
    <xf numFmtId="0" fontId="15" fillId="8" borderId="2" xfId="2" applyFont="1" applyFill="1" applyBorder="1" applyProtection="1"/>
    <xf numFmtId="177" fontId="15" fillId="8" borderId="2" xfId="1" applyNumberFormat="1" applyFont="1" applyFill="1" applyBorder="1" applyAlignment="1" applyProtection="1"/>
    <xf numFmtId="0" fontId="15" fillId="5" borderId="2" xfId="2" applyFont="1" applyFill="1" applyBorder="1" applyProtection="1"/>
    <xf numFmtId="177" fontId="15" fillId="5" borderId="2" xfId="1" applyNumberFormat="1" applyFont="1" applyFill="1" applyBorder="1" applyAlignment="1" applyProtection="1"/>
    <xf numFmtId="0" fontId="15" fillId="5" borderId="2" xfId="2" applyNumberFormat="1" applyFont="1" applyFill="1" applyBorder="1" applyAlignment="1" applyProtection="1">
      <alignment horizontal="left"/>
    </xf>
    <xf numFmtId="1" fontId="15" fillId="5" borderId="2" xfId="2" applyNumberFormat="1" applyFont="1" applyFill="1" applyBorder="1" applyProtection="1"/>
    <xf numFmtId="1" fontId="15" fillId="5" borderId="2" xfId="2" applyNumberFormat="1" applyFont="1" applyFill="1" applyBorder="1" applyAlignment="1" applyProtection="1">
      <alignment horizontal="left"/>
    </xf>
    <xf numFmtId="0" fontId="15" fillId="5" borderId="9" xfId="2" applyFont="1" applyFill="1" applyBorder="1" applyProtection="1"/>
    <xf numFmtId="0" fontId="15" fillId="5" borderId="11" xfId="2" applyFont="1" applyFill="1" applyBorder="1" applyProtection="1"/>
    <xf numFmtId="0" fontId="15" fillId="5" borderId="12" xfId="2" applyFont="1" applyFill="1" applyBorder="1" applyProtection="1"/>
    <xf numFmtId="0" fontId="15" fillId="5" borderId="0" xfId="2" applyFont="1" applyFill="1" applyBorder="1" applyProtection="1"/>
    <xf numFmtId="180" fontId="15" fillId="5" borderId="0" xfId="2" applyNumberFormat="1" applyFont="1" applyFill="1" applyBorder="1" applyProtection="1"/>
    <xf numFmtId="10" fontId="15" fillId="5" borderId="0" xfId="2" applyNumberFormat="1" applyFont="1" applyFill="1" applyBorder="1" applyProtection="1"/>
    <xf numFmtId="1" fontId="15" fillId="5" borderId="0" xfId="2" applyNumberFormat="1" applyFont="1" applyFill="1" applyBorder="1" applyProtection="1"/>
    <xf numFmtId="0" fontId="15" fillId="5" borderId="13" xfId="2" applyFont="1" applyFill="1" applyBorder="1" applyProtection="1"/>
    <xf numFmtId="0" fontId="15" fillId="5" borderId="1" xfId="2" applyFont="1" applyFill="1" applyBorder="1" applyProtection="1"/>
    <xf numFmtId="2" fontId="15" fillId="5" borderId="1" xfId="2" applyNumberFormat="1" applyFont="1" applyFill="1" applyBorder="1" applyProtection="1"/>
    <xf numFmtId="0" fontId="15" fillId="5" borderId="5" xfId="2" applyFont="1" applyFill="1" applyBorder="1"/>
    <xf numFmtId="1" fontId="15" fillId="5" borderId="7" xfId="7" applyFont="1" applyFill="1" applyBorder="1" applyAlignment="1">
      <alignment horizontal="center"/>
    </xf>
    <xf numFmtId="0" fontId="15" fillId="5" borderId="8" xfId="2" applyFont="1" applyFill="1" applyBorder="1" applyProtection="1"/>
    <xf numFmtId="0" fontId="15" fillId="5" borderId="14" xfId="2" applyFont="1" applyFill="1" applyBorder="1" applyProtection="1"/>
    <xf numFmtId="0" fontId="15" fillId="5" borderId="15" xfId="2" applyFont="1" applyFill="1" applyBorder="1" applyProtection="1"/>
    <xf numFmtId="0" fontId="28" fillId="0" borderId="0" xfId="0" applyFont="1">
      <alignment vertical="center"/>
    </xf>
    <xf numFmtId="0" fontId="29" fillId="0" borderId="2" xfId="0" applyFont="1" applyBorder="1" applyAlignment="1">
      <alignment horizontal="center" vertical="center" wrapText="1" readingOrder="1"/>
    </xf>
    <xf numFmtId="0" fontId="28" fillId="0" borderId="0" xfId="0" applyFont="1" applyFill="1">
      <alignment vertical="center"/>
    </xf>
    <xf numFmtId="0" fontId="11" fillId="0" borderId="2" xfId="0" applyFont="1" applyBorder="1" applyAlignment="1">
      <alignment horizontal="center" vertical="center" wrapText="1" readingOrder="1"/>
    </xf>
    <xf numFmtId="0" fontId="30" fillId="0" borderId="2" xfId="0" applyFont="1" applyBorder="1" applyAlignment="1">
      <alignment horizontal="left" vertical="center" wrapText="1" readingOrder="1"/>
    </xf>
    <xf numFmtId="0" fontId="30" fillId="0" borderId="2" xfId="0" applyFont="1" applyFill="1" applyBorder="1" applyAlignment="1">
      <alignment horizontal="left" vertical="center" wrapText="1" readingOrder="1"/>
    </xf>
    <xf numFmtId="0" fontId="30" fillId="0" borderId="2" xfId="0" applyFont="1" applyBorder="1" applyAlignment="1">
      <alignment horizontal="center" vertical="center" wrapText="1" readingOrder="1"/>
    </xf>
    <xf numFmtId="0" fontId="30" fillId="0" borderId="0" xfId="0" applyFont="1" applyFill="1" applyBorder="1" applyAlignment="1">
      <alignment horizontal="left" vertical="center" wrapText="1" readingOrder="1"/>
    </xf>
    <xf numFmtId="43" fontId="3" fillId="0" borderId="0" xfId="0" applyNumberFormat="1" applyFont="1" applyFill="1">
      <alignment vertical="center"/>
    </xf>
    <xf numFmtId="181" fontId="3" fillId="0" borderId="0" xfId="3" applyNumberFormat="1" applyFont="1" applyFill="1">
      <alignment vertical="center"/>
    </xf>
    <xf numFmtId="0" fontId="41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43" fontId="18" fillId="0" borderId="0" xfId="0" applyNumberFormat="1" applyFont="1" applyFill="1">
      <alignment vertical="center"/>
    </xf>
    <xf numFmtId="43" fontId="5" fillId="9" borderId="2" xfId="1" applyFont="1" applyFill="1" applyBorder="1" applyAlignment="1">
      <alignment vertical="center" wrapText="1"/>
    </xf>
    <xf numFmtId="43" fontId="5" fillId="9" borderId="2" xfId="1" applyFont="1" applyFill="1" applyBorder="1" applyAlignment="1">
      <alignment horizontal="center" vertical="center" wrapText="1"/>
    </xf>
    <xf numFmtId="43" fontId="5" fillId="9" borderId="0" xfId="1" applyFont="1" applyFill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7" fillId="5" borderId="2" xfId="2" applyFont="1" applyFill="1" applyBorder="1" applyAlignment="1" applyProtection="1">
      <alignment horizont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2" fillId="0" borderId="6" xfId="1" applyFont="1" applyFill="1" applyBorder="1" applyAlignment="1">
      <alignment horizontal="center" vertical="center" wrapText="1"/>
    </xf>
    <xf numFmtId="43" fontId="22" fillId="0" borderId="10" xfId="1" applyFont="1" applyFill="1" applyBorder="1" applyAlignment="1">
      <alignment horizontal="center" vertical="center" wrapText="1"/>
    </xf>
    <xf numFmtId="43" fontId="22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3" fillId="5" borderId="1" xfId="2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 readingOrder="1"/>
    </xf>
    <xf numFmtId="0" fontId="11" fillId="0" borderId="10" xfId="0" applyFont="1" applyFill="1" applyBorder="1" applyAlignment="1">
      <alignment horizontal="center" vertical="center" wrapText="1" readingOrder="1"/>
    </xf>
    <xf numFmtId="0" fontId="11" fillId="0" borderId="7" xfId="0" applyFont="1" applyFill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44" fillId="0" borderId="1" xfId="0" applyFont="1" applyBorder="1" applyAlignment="1">
      <alignment vertical="center"/>
    </xf>
    <xf numFmtId="0" fontId="44" fillId="0" borderId="0" xfId="0" applyFont="1">
      <alignment vertical="center"/>
    </xf>
    <xf numFmtId="0" fontId="45" fillId="0" borderId="8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left" vertical="top" wrapText="1"/>
    </xf>
    <xf numFmtId="179" fontId="45" fillId="0" borderId="2" xfId="0" applyNumberFormat="1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 wrapText="1"/>
    </xf>
    <xf numFmtId="0" fontId="0" fillId="7" borderId="2" xfId="0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43" fontId="8" fillId="0" borderId="2" xfId="1" applyFont="1" applyBorder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0" xfId="0" applyNumberFormat="1">
      <alignment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609600" y="409575"/>
          <a:ext cx="217170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60960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60960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0" sqref="C10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73" customFormat="1" ht="35.25" customHeight="1">
      <c r="A2" s="174" t="s">
        <v>0</v>
      </c>
      <c r="B2" s="174" t="s">
        <v>1</v>
      </c>
      <c r="C2" s="174" t="s">
        <v>2</v>
      </c>
      <c r="D2" s="175"/>
    </row>
    <row r="3" spans="1:4" s="173" customFormat="1" ht="33.75" customHeight="1">
      <c r="A3" s="176">
        <v>1</v>
      </c>
      <c r="B3" s="176" t="s">
        <v>3</v>
      </c>
      <c r="C3" s="177" t="s">
        <v>4</v>
      </c>
      <c r="D3" s="175"/>
    </row>
    <row r="4" spans="1:4" s="173" customFormat="1" ht="33.75" customHeight="1">
      <c r="A4" s="176">
        <v>2</v>
      </c>
      <c r="B4" s="176" t="s">
        <v>5</v>
      </c>
      <c r="C4" s="177" t="s">
        <v>6</v>
      </c>
    </row>
    <row r="5" spans="1:4" s="173" customFormat="1" ht="33.75" customHeight="1">
      <c r="A5" s="176">
        <v>3</v>
      </c>
      <c r="B5" s="192" t="s">
        <v>7</v>
      </c>
      <c r="C5" s="178" t="s">
        <v>238</v>
      </c>
    </row>
    <row r="6" spans="1:4" s="173" customFormat="1" ht="33.75" customHeight="1">
      <c r="A6" s="176">
        <v>4</v>
      </c>
      <c r="B6" s="193"/>
      <c r="C6" s="177" t="s">
        <v>273</v>
      </c>
    </row>
    <row r="7" spans="1:4" s="173" customFormat="1" ht="33.75" customHeight="1">
      <c r="A7" s="176">
        <v>5</v>
      </c>
      <c r="B7" s="179" t="s">
        <v>8</v>
      </c>
      <c r="C7" s="177" t="s">
        <v>239</v>
      </c>
    </row>
    <row r="8" spans="1:4" s="173" customFormat="1" ht="33.75" customHeight="1">
      <c r="A8" s="176">
        <v>6</v>
      </c>
      <c r="B8" s="192" t="s">
        <v>9</v>
      </c>
      <c r="C8" s="177" t="s">
        <v>10</v>
      </c>
    </row>
    <row r="9" spans="1:4" s="173" customFormat="1" ht="33.75" customHeight="1">
      <c r="A9" s="176">
        <v>7</v>
      </c>
      <c r="B9" s="193"/>
      <c r="C9" s="177" t="s">
        <v>11</v>
      </c>
    </row>
    <row r="10" spans="1:4" s="173" customFormat="1" ht="33.75" customHeight="1">
      <c r="A10" s="176">
        <v>8</v>
      </c>
      <c r="B10" s="193"/>
      <c r="C10" s="178" t="s">
        <v>240</v>
      </c>
    </row>
    <row r="11" spans="1:4" s="173" customFormat="1" ht="33.75" customHeight="1">
      <c r="A11" s="176">
        <v>9</v>
      </c>
      <c r="B11" s="193"/>
      <c r="C11" s="177" t="s">
        <v>12</v>
      </c>
    </row>
    <row r="12" spans="1:4" s="173" customFormat="1" ht="33.75" customHeight="1">
      <c r="A12" s="176">
        <v>10</v>
      </c>
      <c r="B12" s="179" t="s">
        <v>13</v>
      </c>
      <c r="C12" s="177" t="s">
        <v>14</v>
      </c>
    </row>
    <row r="13" spans="1:4" ht="33.75" customHeight="1"/>
    <row r="14" spans="1:4" ht="33.75" customHeight="1"/>
    <row r="15" spans="1:4" ht="33.75" customHeight="1">
      <c r="C15" s="180"/>
    </row>
  </sheetData>
  <mergeCells count="2">
    <mergeCell ref="B5:B6"/>
    <mergeCell ref="B8:B11"/>
  </mergeCells>
  <phoneticPr fontId="40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="85" zoomScaleNormal="85" workbookViewId="0">
      <selection activeCell="I11" sqref="I11"/>
    </sheetView>
  </sheetViews>
  <sheetFormatPr defaultColWidth="9" defaultRowHeight="16.5"/>
  <cols>
    <col min="1" max="1" width="14" style="39" customWidth="1"/>
    <col min="2" max="2" width="14.125" style="39" customWidth="1"/>
    <col min="3" max="3" width="28.875" style="39" customWidth="1"/>
    <col min="4" max="13" width="6.625" style="39" customWidth="1"/>
    <col min="14" max="14" width="11.625" style="39" customWidth="1"/>
    <col min="15" max="15" width="9.25" style="39" customWidth="1"/>
    <col min="16" max="16" width="9.125" style="40" customWidth="1"/>
    <col min="17" max="17" width="12.875" style="40"/>
    <col min="18" max="16384" width="9" style="39"/>
  </cols>
  <sheetData>
    <row r="1" spans="1:17" ht="29.25" customHeight="1">
      <c r="A1" s="41" t="s">
        <v>188</v>
      </c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7" ht="24" customHeight="1">
      <c r="A2" s="43" t="s">
        <v>189</v>
      </c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7">
      <c r="C3" s="39" t="s">
        <v>190</v>
      </c>
      <c r="D3" s="39" t="s">
        <v>191</v>
      </c>
      <c r="E3" s="44">
        <v>2.5000000000000001E-2</v>
      </c>
    </row>
    <row r="5" spans="1:17" ht="21" customHeight="1">
      <c r="A5" s="220" t="s">
        <v>192</v>
      </c>
      <c r="B5" s="45" t="s">
        <v>143</v>
      </c>
      <c r="C5" s="254" t="s">
        <v>266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221" t="s">
        <v>50</v>
      </c>
    </row>
    <row r="6" spans="1:17" ht="19.5" customHeight="1">
      <c r="A6" s="220"/>
      <c r="B6" s="45" t="s">
        <v>144</v>
      </c>
      <c r="C6" s="255" t="s">
        <v>267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222"/>
      <c r="P6" s="40">
        <v>100</v>
      </c>
    </row>
    <row r="7" spans="1:17" ht="45.75" customHeight="1">
      <c r="A7" s="220"/>
      <c r="B7" s="14" t="s">
        <v>193</v>
      </c>
      <c r="C7" s="256" t="s">
        <v>268</v>
      </c>
      <c r="D7" s="46"/>
      <c r="E7" s="14"/>
      <c r="F7" s="14"/>
      <c r="G7" s="46"/>
      <c r="H7" s="46"/>
      <c r="I7" s="14"/>
      <c r="J7" s="14"/>
      <c r="K7" s="14"/>
      <c r="L7" s="14"/>
      <c r="M7" s="14"/>
      <c r="N7" s="223"/>
      <c r="O7" s="39">
        <v>2024</v>
      </c>
      <c r="P7" s="40">
        <f>P6*(1-$E$3)</f>
        <v>97.5</v>
      </c>
      <c r="Q7" s="40">
        <f>P7/$P$6</f>
        <v>0.97499999999999998</v>
      </c>
    </row>
    <row r="8" spans="1:17" ht="33">
      <c r="A8" s="220"/>
      <c r="B8" s="14" t="s">
        <v>194</v>
      </c>
      <c r="C8" s="257">
        <v>1720</v>
      </c>
      <c r="D8" s="47"/>
      <c r="E8" s="47"/>
      <c r="F8" s="47"/>
      <c r="G8" s="48"/>
      <c r="H8" s="48"/>
      <c r="I8" s="48"/>
      <c r="J8" s="48"/>
      <c r="K8" s="48"/>
      <c r="L8" s="48"/>
      <c r="M8" s="48"/>
      <c r="N8" s="54">
        <f>SUM(C8:M8)</f>
        <v>1720</v>
      </c>
      <c r="O8" s="39">
        <v>2025</v>
      </c>
      <c r="P8" s="40">
        <f t="shared" ref="P8:P10" si="0">P7*(1-$E$3)</f>
        <v>95.0625</v>
      </c>
      <c r="Q8" s="40">
        <f>P8/$P$6</f>
        <v>0.95062500000000005</v>
      </c>
    </row>
    <row r="9" spans="1:17" ht="17.25">
      <c r="A9" s="220" t="s">
        <v>195</v>
      </c>
      <c r="B9" s="49" t="s">
        <v>269</v>
      </c>
      <c r="C9" s="258">
        <v>500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4">
        <f>SUM(C9:M9)</f>
        <v>500</v>
      </c>
      <c r="O9" s="39">
        <v>2026</v>
      </c>
      <c r="P9" s="40">
        <f t="shared" si="0"/>
        <v>92.685937499999994</v>
      </c>
      <c r="Q9" s="40">
        <f>P9/$P$6</f>
        <v>0.92685937499999993</v>
      </c>
    </row>
    <row r="10" spans="1:17" ht="17.25">
      <c r="A10" s="220"/>
      <c r="B10" s="191" t="s">
        <v>270</v>
      </c>
      <c r="C10" s="258">
        <v>3000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4">
        <f>SUM(C10:M10)</f>
        <v>3000</v>
      </c>
      <c r="O10" s="39">
        <v>2027</v>
      </c>
      <c r="P10" s="40">
        <f t="shared" si="0"/>
        <v>90.368789062499999</v>
      </c>
      <c r="Q10" s="40">
        <f t="shared" ref="Q10" si="1">P10/$P$6</f>
        <v>0.90368789062499999</v>
      </c>
    </row>
    <row r="11" spans="1:17" ht="17.25">
      <c r="A11" s="220"/>
      <c r="B11" s="191" t="s">
        <v>47</v>
      </c>
      <c r="C11" s="258">
        <v>3000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4">
        <f>SUM(C11:M11)</f>
        <v>3000</v>
      </c>
    </row>
    <row r="12" spans="1:17" ht="17.25">
      <c r="A12" s="220"/>
      <c r="B12" s="191" t="s">
        <v>48</v>
      </c>
      <c r="C12" s="258">
        <v>5000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4">
        <f>SUM(C12:H12)</f>
        <v>5000</v>
      </c>
    </row>
    <row r="13" spans="1:17" ht="18.75">
      <c r="A13" s="220"/>
      <c r="B13" s="191" t="s">
        <v>49</v>
      </c>
      <c r="C13" s="258">
        <v>6000</v>
      </c>
      <c r="D13" s="50"/>
      <c r="E13" s="50"/>
      <c r="F13" s="50"/>
      <c r="G13" s="50"/>
      <c r="H13" s="51"/>
      <c r="I13" s="51"/>
      <c r="J13" s="51"/>
      <c r="K13" s="51"/>
      <c r="L13" s="51"/>
      <c r="M13" s="51"/>
      <c r="N13" s="54">
        <f>SUM(C13:H13)</f>
        <v>6000</v>
      </c>
    </row>
    <row r="14" spans="1:17" ht="17.25">
      <c r="A14" s="219" t="s">
        <v>50</v>
      </c>
      <c r="B14" s="219"/>
      <c r="C14" s="52">
        <f t="shared" ref="C14:N14" si="2">SUM(C9:C13)</f>
        <v>17500</v>
      </c>
      <c r="D14" s="52">
        <f t="shared" si="2"/>
        <v>0</v>
      </c>
      <c r="E14" s="52">
        <f t="shared" si="2"/>
        <v>0</v>
      </c>
      <c r="F14" s="52">
        <f t="shared" si="2"/>
        <v>0</v>
      </c>
      <c r="G14" s="52">
        <f t="shared" si="2"/>
        <v>0</v>
      </c>
      <c r="H14" s="52">
        <f t="shared" si="2"/>
        <v>0</v>
      </c>
      <c r="I14" s="52">
        <f t="shared" si="2"/>
        <v>0</v>
      </c>
      <c r="J14" s="52">
        <f t="shared" si="2"/>
        <v>0</v>
      </c>
      <c r="K14" s="52">
        <f t="shared" si="2"/>
        <v>0</v>
      </c>
      <c r="L14" s="52">
        <f t="shared" si="2"/>
        <v>0</v>
      </c>
      <c r="M14" s="52">
        <f t="shared" si="2"/>
        <v>0</v>
      </c>
      <c r="N14" s="52">
        <f t="shared" si="2"/>
        <v>17500</v>
      </c>
    </row>
    <row r="15" spans="1:17" ht="36">
      <c r="A15" s="53"/>
      <c r="B15" s="53"/>
      <c r="C15" s="184" t="s">
        <v>241</v>
      </c>
    </row>
    <row r="16" spans="1:17">
      <c r="B16" s="39" t="s">
        <v>235</v>
      </c>
      <c r="C16" s="181">
        <f>材料成本!D12</f>
        <v>1202.1400000000001</v>
      </c>
      <c r="D16" s="181">
        <f>材料成本!E12</f>
        <v>0</v>
      </c>
      <c r="E16" s="181">
        <f>材料成本!F12</f>
        <v>0</v>
      </c>
      <c r="F16" s="181">
        <f>材料成本!G12</f>
        <v>0</v>
      </c>
      <c r="G16" s="181">
        <f>材料成本!H12</f>
        <v>0</v>
      </c>
      <c r="H16" s="181">
        <f>材料成本!I12</f>
        <v>0</v>
      </c>
      <c r="I16" s="181">
        <f>材料成本!J12</f>
        <v>0</v>
      </c>
      <c r="J16" s="181">
        <f>材料成本!K12</f>
        <v>0</v>
      </c>
      <c r="K16" s="181">
        <f>材料成本!L12</f>
        <v>0</v>
      </c>
      <c r="L16" s="181">
        <f>材料成本!M12</f>
        <v>0</v>
      </c>
      <c r="M16" s="181">
        <f>材料成本!N12</f>
        <v>0</v>
      </c>
      <c r="N16" s="53">
        <f>SUM(C16:M16)</f>
        <v>1202.1400000000001</v>
      </c>
    </row>
    <row r="17" spans="2:14">
      <c r="B17" s="39" t="s">
        <v>236</v>
      </c>
      <c r="C17" s="181">
        <f>C8-C16</f>
        <v>517.8599999999999</v>
      </c>
      <c r="D17" s="181">
        <f t="shared" ref="D17:M17" si="3">D8-D16</f>
        <v>0</v>
      </c>
      <c r="E17" s="181">
        <f t="shared" si="3"/>
        <v>0</v>
      </c>
      <c r="F17" s="181">
        <f t="shared" si="3"/>
        <v>0</v>
      </c>
      <c r="G17" s="181">
        <f t="shared" si="3"/>
        <v>0</v>
      </c>
      <c r="H17" s="181">
        <f t="shared" si="3"/>
        <v>0</v>
      </c>
      <c r="I17" s="181">
        <f t="shared" si="3"/>
        <v>0</v>
      </c>
      <c r="J17" s="181">
        <f t="shared" si="3"/>
        <v>0</v>
      </c>
      <c r="K17" s="181">
        <f t="shared" si="3"/>
        <v>0</v>
      </c>
      <c r="L17" s="181">
        <f t="shared" si="3"/>
        <v>0</v>
      </c>
      <c r="M17" s="181">
        <f t="shared" si="3"/>
        <v>0</v>
      </c>
      <c r="N17" s="53">
        <f>SUM(C17:M17)</f>
        <v>517.8599999999999</v>
      </c>
    </row>
    <row r="18" spans="2:14">
      <c r="B18" s="39" t="s">
        <v>237</v>
      </c>
      <c r="C18" s="182">
        <f>C17/C8</f>
        <v>0.30108139534883716</v>
      </c>
      <c r="D18" s="182" t="e">
        <f t="shared" ref="D18:N18" si="4">D17/D8</f>
        <v>#DIV/0!</v>
      </c>
      <c r="E18" s="182" t="e">
        <f t="shared" si="4"/>
        <v>#DIV/0!</v>
      </c>
      <c r="F18" s="182" t="e">
        <f t="shared" si="4"/>
        <v>#DIV/0!</v>
      </c>
      <c r="G18" s="182" t="e">
        <f t="shared" si="4"/>
        <v>#DIV/0!</v>
      </c>
      <c r="H18" s="182" t="e">
        <f t="shared" si="4"/>
        <v>#DIV/0!</v>
      </c>
      <c r="I18" s="182" t="e">
        <f t="shared" si="4"/>
        <v>#DIV/0!</v>
      </c>
      <c r="J18" s="182" t="e">
        <f t="shared" si="4"/>
        <v>#DIV/0!</v>
      </c>
      <c r="K18" s="182" t="e">
        <f t="shared" si="4"/>
        <v>#DIV/0!</v>
      </c>
      <c r="L18" s="182" t="e">
        <f t="shared" si="4"/>
        <v>#DIV/0!</v>
      </c>
      <c r="M18" s="182" t="e">
        <f t="shared" si="4"/>
        <v>#DIV/0!</v>
      </c>
      <c r="N18" s="182">
        <f t="shared" si="4"/>
        <v>0.30108139534883716</v>
      </c>
    </row>
  </sheetData>
  <mergeCells count="4">
    <mergeCell ref="A14:B14"/>
    <mergeCell ref="A5:A8"/>
    <mergeCell ref="A9:A13"/>
    <mergeCell ref="N5:N7"/>
  </mergeCells>
  <phoneticPr fontId="40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6"/>
  <sheetViews>
    <sheetView workbookViewId="0">
      <pane xSplit="3" ySplit="5" topLeftCell="D6" activePane="bottomRight" state="frozen"/>
      <selection pane="topRight"/>
      <selection pane="bottomLeft"/>
      <selection pane="bottomRight" activeCell="H15" sqref="H15"/>
    </sheetView>
  </sheetViews>
  <sheetFormatPr defaultColWidth="9" defaultRowHeight="16.5"/>
  <cols>
    <col min="1" max="2" width="4.375" style="24" customWidth="1"/>
    <col min="3" max="3" width="8.125" style="24" customWidth="1"/>
    <col min="4" max="4" width="12" style="25" customWidth="1"/>
    <col min="5" max="14" width="7.75" style="25" customWidth="1"/>
    <col min="15" max="15" width="12" style="25" customWidth="1"/>
    <col min="16" max="16" width="12.25" style="24" customWidth="1"/>
    <col min="17" max="17" width="13.25" style="24" customWidth="1"/>
    <col min="18" max="18" width="16" style="24" customWidth="1"/>
    <col min="19" max="16384" width="9" style="24"/>
  </cols>
  <sheetData>
    <row r="1" spans="1:18" s="23" customFormat="1" ht="28.5" customHeight="1">
      <c r="A1" s="230" t="s">
        <v>7</v>
      </c>
      <c r="B1" s="230"/>
      <c r="C1" s="26"/>
      <c r="D1" s="183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R1" s="38"/>
    </row>
    <row r="2" spans="1:18">
      <c r="A2" s="231" t="s">
        <v>196</v>
      </c>
      <c r="B2" s="231"/>
      <c r="C2" s="232"/>
      <c r="D2" s="233"/>
      <c r="E2" s="234" t="s">
        <v>272</v>
      </c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1:18" ht="30">
      <c r="A3" s="229" t="s">
        <v>17</v>
      </c>
      <c r="B3" s="229" t="s">
        <v>197</v>
      </c>
      <c r="C3" s="29" t="s">
        <v>198</v>
      </c>
      <c r="D3" s="237" t="str">
        <f>损益表!A1</f>
        <v>一汽解放青岛悍V座椅项目</v>
      </c>
      <c r="E3" s="237"/>
      <c r="F3" s="28" t="s">
        <v>199</v>
      </c>
      <c r="G3" s="238" t="s">
        <v>271</v>
      </c>
      <c r="H3" s="239"/>
      <c r="I3" s="30"/>
      <c r="J3" s="30"/>
      <c r="K3" s="30"/>
      <c r="L3" s="30"/>
      <c r="M3" s="30"/>
      <c r="N3" s="30"/>
      <c r="O3" s="240" t="s">
        <v>154</v>
      </c>
    </row>
    <row r="4" spans="1:18" ht="30">
      <c r="A4" s="229"/>
      <c r="B4" s="229"/>
      <c r="C4" s="29" t="s">
        <v>143</v>
      </c>
      <c r="D4" s="31" t="str">
        <f>销量!C5</f>
        <v>驾驶员座总成</v>
      </c>
      <c r="E4" s="31">
        <f>销量!D5</f>
        <v>0</v>
      </c>
      <c r="F4" s="31">
        <f>销量!E5</f>
        <v>0</v>
      </c>
      <c r="G4" s="31">
        <f>销量!F5</f>
        <v>0</v>
      </c>
      <c r="H4" s="32">
        <f>销量!G5</f>
        <v>0</v>
      </c>
      <c r="I4" s="32">
        <f>销量!H5</f>
        <v>0</v>
      </c>
      <c r="J4" s="32">
        <f>销量!I5</f>
        <v>0</v>
      </c>
      <c r="K4" s="32">
        <f>销量!J5</f>
        <v>0</v>
      </c>
      <c r="L4" s="32">
        <f>销量!K5</f>
        <v>0</v>
      </c>
      <c r="M4" s="32">
        <f>销量!L5</f>
        <v>0</v>
      </c>
      <c r="N4" s="32">
        <f>销量!M5</f>
        <v>0</v>
      </c>
      <c r="O4" s="241"/>
    </row>
    <row r="5" spans="1:18" ht="30">
      <c r="A5" s="229"/>
      <c r="B5" s="229"/>
      <c r="C5" s="29" t="s">
        <v>144</v>
      </c>
      <c r="D5" s="31" t="str">
        <f>销量!C6</f>
        <v>6800010GE404</v>
      </c>
      <c r="E5" s="31">
        <f>销量!D6</f>
        <v>0</v>
      </c>
      <c r="F5" s="31">
        <f>销量!E6</f>
        <v>0</v>
      </c>
      <c r="G5" s="31">
        <f>销量!F6</f>
        <v>0</v>
      </c>
      <c r="H5" s="31">
        <f>销量!G6</f>
        <v>0</v>
      </c>
      <c r="I5" s="31">
        <f>销量!H6</f>
        <v>0</v>
      </c>
      <c r="J5" s="31">
        <f>销量!I6</f>
        <v>0</v>
      </c>
      <c r="K5" s="31">
        <f>销量!J6</f>
        <v>0</v>
      </c>
      <c r="L5" s="31">
        <f>销量!K6</f>
        <v>0</v>
      </c>
      <c r="M5" s="31">
        <f>销量!L6</f>
        <v>0</v>
      </c>
      <c r="N5" s="31">
        <f>销量!M6</f>
        <v>0</v>
      </c>
      <c r="O5" s="242"/>
    </row>
    <row r="6" spans="1:18">
      <c r="A6" s="33">
        <v>1</v>
      </c>
      <c r="B6" s="224"/>
      <c r="C6" s="225"/>
      <c r="D6" s="34"/>
      <c r="E6" s="32"/>
      <c r="F6" s="32"/>
      <c r="G6" s="32"/>
      <c r="H6" s="32"/>
      <c r="I6" s="32"/>
      <c r="J6" s="32"/>
      <c r="K6" s="32"/>
      <c r="L6" s="32"/>
      <c r="M6" s="32"/>
      <c r="N6" s="32"/>
      <c r="O6" s="36"/>
    </row>
    <row r="7" spans="1:18">
      <c r="A7" s="33">
        <v>2</v>
      </c>
      <c r="B7" s="224"/>
      <c r="C7" s="225"/>
      <c r="D7" s="34"/>
      <c r="E7" s="32"/>
      <c r="F7" s="32"/>
      <c r="G7" s="32"/>
      <c r="H7" s="32"/>
      <c r="I7" s="32"/>
      <c r="J7" s="32"/>
      <c r="K7" s="32"/>
      <c r="L7" s="32"/>
      <c r="M7" s="32"/>
      <c r="N7" s="32"/>
      <c r="O7" s="36"/>
    </row>
    <row r="8" spans="1:18">
      <c r="A8" s="33">
        <v>3</v>
      </c>
      <c r="B8" s="224"/>
      <c r="C8" s="225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6"/>
    </row>
    <row r="9" spans="1:18">
      <c r="A9" s="33">
        <v>4</v>
      </c>
      <c r="B9" s="224"/>
      <c r="C9" s="225"/>
      <c r="D9" s="34"/>
      <c r="E9" s="32"/>
      <c r="F9" s="32"/>
      <c r="G9" s="32"/>
      <c r="H9" s="32"/>
      <c r="I9" s="32"/>
      <c r="J9" s="32"/>
      <c r="K9" s="32"/>
      <c r="L9" s="32"/>
      <c r="M9" s="32"/>
      <c r="N9" s="32"/>
      <c r="O9" s="36"/>
    </row>
    <row r="10" spans="1:18">
      <c r="A10" s="33">
        <v>5</v>
      </c>
      <c r="B10" s="224"/>
      <c r="C10" s="225"/>
      <c r="D10" s="34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6"/>
    </row>
    <row r="11" spans="1:18">
      <c r="A11" s="33">
        <v>6</v>
      </c>
      <c r="B11" s="224" t="s">
        <v>200</v>
      </c>
      <c r="C11" s="225"/>
      <c r="D11" s="188">
        <v>1202.1400000000001</v>
      </c>
      <c r="E11" s="188"/>
      <c r="F11" s="188"/>
      <c r="G11" s="189"/>
      <c r="H11" s="187"/>
      <c r="I11" s="187"/>
      <c r="J11" s="187"/>
      <c r="K11" s="187"/>
      <c r="L11" s="187"/>
      <c r="M11" s="187"/>
      <c r="N11" s="187"/>
      <c r="O11" s="37"/>
    </row>
    <row r="12" spans="1:18" ht="21" customHeight="1">
      <c r="A12" s="226" t="s">
        <v>201</v>
      </c>
      <c r="B12" s="227"/>
      <c r="C12" s="228"/>
      <c r="D12" s="35">
        <f>SUM(D6:D11)</f>
        <v>1202.1400000000001</v>
      </c>
      <c r="E12" s="35">
        <f>SUM(E6:E11)</f>
        <v>0</v>
      </c>
      <c r="F12" s="35">
        <f>SUM(F6:F11)</f>
        <v>0</v>
      </c>
      <c r="G12" s="35">
        <f>SUM(G6:G11)</f>
        <v>0</v>
      </c>
      <c r="H12" s="35">
        <f>SUM(H6:H11)</f>
        <v>0</v>
      </c>
      <c r="I12" s="35">
        <f>SUM(I6:I11)</f>
        <v>0</v>
      </c>
      <c r="J12" s="35">
        <f>SUM(J6:J11)</f>
        <v>0</v>
      </c>
      <c r="K12" s="35">
        <f>SUM(K6:K11)</f>
        <v>0</v>
      </c>
      <c r="L12" s="35">
        <f>SUM(L6:L11)</f>
        <v>0</v>
      </c>
      <c r="M12" s="35">
        <f>SUM(M6:M11)</f>
        <v>0</v>
      </c>
      <c r="N12" s="35">
        <f>SUM(N6:N11)</f>
        <v>0</v>
      </c>
      <c r="O12" s="37"/>
    </row>
    <row r="13" spans="1:18">
      <c r="C13" s="24" t="s">
        <v>283</v>
      </c>
      <c r="D13" s="185">
        <f>D12*0.975</f>
        <v>1172.0865000000001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</row>
    <row r="14" spans="1:18">
      <c r="C14" s="24" t="s">
        <v>47</v>
      </c>
      <c r="D14" s="185">
        <f t="shared" ref="D14:D16" si="0">D13*0.975</f>
        <v>1142.7843375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</row>
    <row r="15" spans="1:18">
      <c r="C15" s="24" t="s">
        <v>48</v>
      </c>
      <c r="D15" s="185">
        <f t="shared" si="0"/>
        <v>1114.2147290625001</v>
      </c>
    </row>
    <row r="16" spans="1:18">
      <c r="C16" s="24" t="s">
        <v>49</v>
      </c>
      <c r="D16" s="185">
        <f t="shared" si="0"/>
        <v>1086.3593608359374</v>
      </c>
    </row>
  </sheetData>
  <mergeCells count="15">
    <mergeCell ref="A1:B1"/>
    <mergeCell ref="A2:D2"/>
    <mergeCell ref="E2:O2"/>
    <mergeCell ref="D3:E3"/>
    <mergeCell ref="G3:H3"/>
    <mergeCell ref="O3:O5"/>
    <mergeCell ref="B6:C6"/>
    <mergeCell ref="B7:C7"/>
    <mergeCell ref="B8:C8"/>
    <mergeCell ref="B9:C9"/>
    <mergeCell ref="B10:C10"/>
    <mergeCell ref="B11:C11"/>
    <mergeCell ref="A12:C12"/>
    <mergeCell ref="A3:A5"/>
    <mergeCell ref="B3:B5"/>
  </mergeCells>
  <phoneticPr fontId="40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" sqref="C1"/>
    </sheetView>
  </sheetViews>
  <sheetFormatPr defaultColWidth="9" defaultRowHeight="13.5"/>
  <cols>
    <col min="1" max="1" width="6.5" style="15" customWidth="1"/>
    <col min="2" max="2" width="29.625" style="15" customWidth="1"/>
    <col min="3" max="3" width="18.625" style="15" customWidth="1"/>
    <col min="4" max="4" width="22" style="15" customWidth="1"/>
    <col min="5" max="16384" width="9" style="15"/>
  </cols>
  <sheetData>
    <row r="1" spans="1:4" ht="27" customHeight="1">
      <c r="A1" s="16" t="s">
        <v>17</v>
      </c>
      <c r="B1" s="16" t="s">
        <v>202</v>
      </c>
      <c r="C1" s="16" t="s">
        <v>203</v>
      </c>
      <c r="D1" s="16" t="s">
        <v>204</v>
      </c>
    </row>
    <row r="2" spans="1:4">
      <c r="A2" s="16">
        <v>1</v>
      </c>
      <c r="B2" s="17" t="s">
        <v>205</v>
      </c>
      <c r="C2" s="18"/>
      <c r="D2" s="16"/>
    </row>
    <row r="3" spans="1:4">
      <c r="A3" s="16">
        <v>2</v>
      </c>
      <c r="B3" s="17" t="s">
        <v>206</v>
      </c>
      <c r="C3" s="19" t="s">
        <v>256</v>
      </c>
      <c r="D3" s="16"/>
    </row>
    <row r="4" spans="1:4">
      <c r="A4" s="16">
        <v>3</v>
      </c>
      <c r="B4" s="17" t="s">
        <v>207</v>
      </c>
      <c r="C4" s="18" t="s">
        <v>257</v>
      </c>
      <c r="D4" s="16" t="s">
        <v>258</v>
      </c>
    </row>
    <row r="5" spans="1:4">
      <c r="A5" s="16">
        <v>4</v>
      </c>
      <c r="B5" s="17" t="s">
        <v>208</v>
      </c>
      <c r="C5" s="18" t="s">
        <v>259</v>
      </c>
      <c r="D5" s="16"/>
    </row>
    <row r="6" spans="1:4">
      <c r="A6" s="16">
        <v>5</v>
      </c>
      <c r="B6" s="17" t="s">
        <v>209</v>
      </c>
      <c r="C6" s="18" t="s">
        <v>260</v>
      </c>
      <c r="D6" s="16"/>
    </row>
    <row r="7" spans="1:4">
      <c r="A7" s="16">
        <v>6</v>
      </c>
      <c r="B7" s="16" t="s">
        <v>210</v>
      </c>
      <c r="C7" s="19" t="s">
        <v>261</v>
      </c>
      <c r="D7" s="16"/>
    </row>
    <row r="8" spans="1:4">
      <c r="A8" s="16">
        <v>7</v>
      </c>
      <c r="B8" s="17" t="s">
        <v>211</v>
      </c>
      <c r="C8" s="20" t="s">
        <v>262</v>
      </c>
      <c r="D8" s="16"/>
    </row>
    <row r="9" spans="1:4">
      <c r="A9" s="16">
        <v>8</v>
      </c>
      <c r="B9" s="16" t="s">
        <v>212</v>
      </c>
      <c r="C9" s="21"/>
      <c r="D9" s="16"/>
    </row>
    <row r="10" spans="1:4">
      <c r="A10" s="16">
        <v>9</v>
      </c>
      <c r="B10" s="16" t="s">
        <v>213</v>
      </c>
      <c r="C10" s="20"/>
      <c r="D10" s="16"/>
    </row>
    <row r="11" spans="1:4">
      <c r="A11" s="16">
        <v>10</v>
      </c>
      <c r="B11" s="16" t="s">
        <v>214</v>
      </c>
      <c r="C11" s="20" t="s">
        <v>263</v>
      </c>
      <c r="D11" s="16"/>
    </row>
    <row r="12" spans="1:4">
      <c r="A12" s="16">
        <v>11</v>
      </c>
      <c r="B12" s="16" t="s">
        <v>215</v>
      </c>
      <c r="C12" s="20"/>
      <c r="D12" s="16"/>
    </row>
    <row r="13" spans="1:4">
      <c r="A13" s="16">
        <v>12</v>
      </c>
      <c r="B13" s="17" t="s">
        <v>216</v>
      </c>
      <c r="C13" s="20" t="s">
        <v>264</v>
      </c>
      <c r="D13" s="16"/>
    </row>
    <row r="14" spans="1:4">
      <c r="A14" s="16">
        <v>13</v>
      </c>
      <c r="B14" s="17" t="s">
        <v>217</v>
      </c>
      <c r="C14" s="20" t="s">
        <v>265</v>
      </c>
      <c r="D14" s="16"/>
    </row>
    <row r="15" spans="1:4">
      <c r="A15" s="16">
        <v>14</v>
      </c>
      <c r="B15" s="17" t="s">
        <v>218</v>
      </c>
      <c r="C15" s="20" t="s">
        <v>262</v>
      </c>
      <c r="D15" s="16"/>
    </row>
    <row r="16" spans="1:4">
      <c r="A16" s="16">
        <v>15</v>
      </c>
      <c r="B16" s="16" t="s">
        <v>35</v>
      </c>
      <c r="C16" s="16"/>
      <c r="D16" s="16"/>
    </row>
    <row r="17" spans="2:2" ht="16.5">
      <c r="B17" s="22" t="s">
        <v>219</v>
      </c>
    </row>
  </sheetData>
  <phoneticPr fontId="4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40"/>
  <sheetViews>
    <sheetView zoomScale="85" zoomScaleNormal="85" workbookViewId="0">
      <selection activeCell="H7" sqref="H7"/>
    </sheetView>
  </sheetViews>
  <sheetFormatPr defaultColWidth="9" defaultRowHeight="13.5"/>
  <cols>
    <col min="1" max="2" width="9" style="2"/>
    <col min="3" max="4" width="15.75" style="2" customWidth="1"/>
    <col min="5" max="6" width="11.125" style="2" customWidth="1"/>
    <col min="7" max="7" width="18.5" style="3" customWidth="1"/>
    <col min="8" max="16384" width="9" style="2"/>
  </cols>
  <sheetData>
    <row r="1" spans="1:7" s="1" customFormat="1" ht="18.75" customHeight="1">
      <c r="E1" s="249" t="s">
        <v>220</v>
      </c>
      <c r="F1" s="249"/>
    </row>
    <row r="2" spans="1:7" ht="21" customHeight="1">
      <c r="A2" s="245" t="s">
        <v>221</v>
      </c>
      <c r="B2" s="245"/>
      <c r="C2" s="247" t="s">
        <v>222</v>
      </c>
      <c r="D2" s="250"/>
      <c r="E2" s="250"/>
      <c r="F2" s="248"/>
      <c r="G2" s="3" t="s">
        <v>223</v>
      </c>
    </row>
    <row r="3" spans="1:7" ht="34.5" customHeight="1">
      <c r="A3" s="245"/>
      <c r="B3" s="245"/>
      <c r="C3" s="4" t="s">
        <v>225</v>
      </c>
      <c r="D3" s="4" t="s">
        <v>224</v>
      </c>
      <c r="E3" s="5" t="s">
        <v>227</v>
      </c>
      <c r="F3" s="5" t="s">
        <v>226</v>
      </c>
      <c r="G3" s="13">
        <f>销量!C8</f>
        <v>1720</v>
      </c>
    </row>
    <row r="4" spans="1:7" ht="24" customHeight="1">
      <c r="A4" s="246" t="s">
        <v>229</v>
      </c>
      <c r="B4" s="246"/>
      <c r="C4" s="7"/>
      <c r="D4" s="8">
        <f>G3*G4</f>
        <v>74.132000000000005</v>
      </c>
      <c r="E4" s="8"/>
      <c r="F4" s="9">
        <v>4.48E-2</v>
      </c>
      <c r="G4" s="3">
        <v>4.3099999999999999E-2</v>
      </c>
    </row>
    <row r="5" spans="1:7" ht="24" customHeight="1">
      <c r="A5" s="246" t="s">
        <v>230</v>
      </c>
      <c r="B5" s="6" t="s">
        <v>231</v>
      </c>
      <c r="C5" s="7"/>
      <c r="D5" s="8">
        <f>$G$3*G5</f>
        <v>70.52</v>
      </c>
      <c r="E5" s="8"/>
      <c r="F5" s="9">
        <v>4.0399999999999998E-2</v>
      </c>
      <c r="G5" s="3">
        <v>4.1000000000000002E-2</v>
      </c>
    </row>
    <row r="6" spans="1:7" ht="24" customHeight="1">
      <c r="A6" s="246"/>
      <c r="B6" s="6" t="s">
        <v>232</v>
      </c>
      <c r="C6" s="7"/>
      <c r="D6" s="8">
        <f>$G$3*G6</f>
        <v>37.323999999999998</v>
      </c>
      <c r="E6" s="8"/>
      <c r="F6" s="9">
        <v>1.66E-2</v>
      </c>
      <c r="G6" s="3">
        <v>2.1700000000000001E-2</v>
      </c>
    </row>
    <row r="7" spans="1:7" ht="24" customHeight="1">
      <c r="A7" s="247" t="s">
        <v>233</v>
      </c>
      <c r="B7" s="248"/>
      <c r="C7" s="10"/>
      <c r="D7" s="8">
        <f t="shared" ref="D7:D11" si="0">$G$3*G7</f>
        <v>181.976</v>
      </c>
      <c r="E7" s="8"/>
      <c r="F7" s="11">
        <f>SUM(F4:F6)</f>
        <v>0.1018</v>
      </c>
      <c r="G7" s="3">
        <f>SUM(G4:G6)</f>
        <v>0.10580000000000001</v>
      </c>
    </row>
    <row r="8" spans="1:7" ht="24" customHeight="1">
      <c r="A8" s="246" t="s">
        <v>80</v>
      </c>
      <c r="B8" s="246"/>
      <c r="C8" s="7"/>
      <c r="D8" s="8">
        <f t="shared" si="0"/>
        <v>58.480000000000004</v>
      </c>
      <c r="E8" s="8"/>
      <c r="F8" s="9">
        <f>1.97%+0.75%</f>
        <v>2.7199999999999998E-2</v>
      </c>
      <c r="G8" s="3">
        <v>3.4000000000000002E-2</v>
      </c>
    </row>
    <row r="9" spans="1:7" ht="24" customHeight="1">
      <c r="A9" s="243" t="s">
        <v>234</v>
      </c>
      <c r="B9" s="6" t="s">
        <v>231</v>
      </c>
      <c r="C9" s="7"/>
      <c r="D9" s="8">
        <f t="shared" si="0"/>
        <v>12.040000000000001</v>
      </c>
      <c r="E9" s="8"/>
      <c r="F9" s="9">
        <v>5.3E-3</v>
      </c>
      <c r="G9" s="3">
        <v>7.0000000000000001E-3</v>
      </c>
    </row>
    <row r="10" spans="1:7" ht="24" customHeight="1">
      <c r="A10" s="244"/>
      <c r="B10" s="6" t="s">
        <v>232</v>
      </c>
      <c r="C10" s="7"/>
      <c r="D10" s="8">
        <f t="shared" si="0"/>
        <v>75.679999999999993</v>
      </c>
      <c r="E10" s="8"/>
      <c r="F10" s="9">
        <v>3.4099999999999998E-2</v>
      </c>
      <c r="G10" s="3">
        <f>2.8%+1.6%</f>
        <v>4.3999999999999997E-2</v>
      </c>
    </row>
    <row r="11" spans="1:7" ht="24" customHeight="1">
      <c r="A11" s="246" t="s">
        <v>83</v>
      </c>
      <c r="B11" s="246"/>
      <c r="C11" s="7"/>
      <c r="D11" s="8">
        <f t="shared" si="0"/>
        <v>51.6</v>
      </c>
      <c r="E11" s="8"/>
      <c r="F11" s="9">
        <v>0.05</v>
      </c>
      <c r="G11" s="3">
        <v>0.03</v>
      </c>
    </row>
    <row r="13" spans="1:7" s="1" customFormat="1" ht="18.75" customHeight="1">
      <c r="E13" s="249" t="s">
        <v>220</v>
      </c>
      <c r="F13" s="249"/>
    </row>
    <row r="14" spans="1:7" ht="23.25" customHeight="1">
      <c r="A14" s="245" t="s">
        <v>221</v>
      </c>
      <c r="B14" s="245"/>
      <c r="C14" s="247" t="s">
        <v>222</v>
      </c>
      <c r="D14" s="250"/>
      <c r="E14" s="250"/>
      <c r="F14" s="248"/>
      <c r="G14" s="3" t="s">
        <v>223</v>
      </c>
    </row>
    <row r="15" spans="1:7" ht="34.5" customHeight="1">
      <c r="A15" s="245"/>
      <c r="B15" s="245"/>
      <c r="C15" s="4" t="s">
        <v>225</v>
      </c>
      <c r="D15" s="4" t="s">
        <v>224</v>
      </c>
      <c r="E15" s="5" t="s">
        <v>227</v>
      </c>
      <c r="F15" s="5" t="s">
        <v>228</v>
      </c>
      <c r="G15" s="13">
        <f>销量!D8</f>
        <v>0</v>
      </c>
    </row>
    <row r="16" spans="1:7" ht="24" customHeight="1">
      <c r="A16" s="246" t="s">
        <v>229</v>
      </c>
      <c r="B16" s="246"/>
      <c r="C16" s="7"/>
      <c r="D16" s="8">
        <f>G15*G16</f>
        <v>0</v>
      </c>
      <c r="E16" s="8"/>
      <c r="F16" s="9">
        <v>4.48E-2</v>
      </c>
      <c r="G16" s="3">
        <v>4.3099999999999999E-2</v>
      </c>
    </row>
    <row r="17" spans="1:7" ht="24" customHeight="1">
      <c r="A17" s="246" t="s">
        <v>230</v>
      </c>
      <c r="B17" s="6" t="s">
        <v>231</v>
      </c>
      <c r="C17" s="7"/>
      <c r="D17" s="8">
        <f>$G$15*G17</f>
        <v>0</v>
      </c>
      <c r="E17" s="8"/>
      <c r="F17" s="9">
        <v>4.0399999999999998E-2</v>
      </c>
      <c r="G17" s="3">
        <v>4.1000000000000002E-2</v>
      </c>
    </row>
    <row r="18" spans="1:7" ht="24" customHeight="1">
      <c r="A18" s="246"/>
      <c r="B18" s="6" t="s">
        <v>232</v>
      </c>
      <c r="C18" s="7"/>
      <c r="D18" s="8">
        <f t="shared" ref="D18:D23" si="1">$G$15*G18</f>
        <v>0</v>
      </c>
      <c r="E18" s="8"/>
      <c r="F18" s="9">
        <v>1.66E-2</v>
      </c>
      <c r="G18" s="3">
        <v>2.1700000000000001E-2</v>
      </c>
    </row>
    <row r="19" spans="1:7" ht="24" customHeight="1">
      <c r="A19" s="247" t="s">
        <v>233</v>
      </c>
      <c r="B19" s="248"/>
      <c r="C19" s="10"/>
      <c r="D19" s="8">
        <f t="shared" si="1"/>
        <v>0</v>
      </c>
      <c r="E19" s="8"/>
      <c r="F19" s="11">
        <f>SUM(F16:F18)</f>
        <v>0.1018</v>
      </c>
      <c r="G19" s="3">
        <f>SUM(G16:G18)</f>
        <v>0.10580000000000001</v>
      </c>
    </row>
    <row r="20" spans="1:7" ht="24" customHeight="1">
      <c r="A20" s="246" t="s">
        <v>80</v>
      </c>
      <c r="B20" s="246"/>
      <c r="C20" s="7"/>
      <c r="D20" s="8">
        <f t="shared" si="1"/>
        <v>0</v>
      </c>
      <c r="E20" s="8"/>
      <c r="F20" s="9">
        <f>1.97%+0.75%</f>
        <v>2.7199999999999998E-2</v>
      </c>
      <c r="G20" s="3">
        <v>3.4000000000000002E-2</v>
      </c>
    </row>
    <row r="21" spans="1:7" ht="24" customHeight="1">
      <c r="A21" s="243" t="s">
        <v>234</v>
      </c>
      <c r="B21" s="6" t="s">
        <v>231</v>
      </c>
      <c r="C21" s="7"/>
      <c r="D21" s="8">
        <f t="shared" si="1"/>
        <v>0</v>
      </c>
      <c r="E21" s="8"/>
      <c r="F21" s="9">
        <v>5.3E-3</v>
      </c>
      <c r="G21" s="3">
        <v>7.0000000000000001E-3</v>
      </c>
    </row>
    <row r="22" spans="1:7" ht="24" customHeight="1">
      <c r="A22" s="244"/>
      <c r="B22" s="6" t="s">
        <v>232</v>
      </c>
      <c r="C22" s="7"/>
      <c r="D22" s="8">
        <f t="shared" si="1"/>
        <v>0</v>
      </c>
      <c r="E22" s="8"/>
      <c r="F22" s="9">
        <v>3.4099999999999998E-2</v>
      </c>
      <c r="G22" s="3">
        <f>2.8%+1.6%</f>
        <v>4.3999999999999997E-2</v>
      </c>
    </row>
    <row r="23" spans="1:7" ht="24" customHeight="1">
      <c r="A23" s="246" t="s">
        <v>83</v>
      </c>
      <c r="B23" s="246"/>
      <c r="C23" s="7"/>
      <c r="D23" s="8">
        <f t="shared" si="1"/>
        <v>0</v>
      </c>
      <c r="E23" s="8"/>
      <c r="F23" s="9">
        <v>1.0999999999999999E-2</v>
      </c>
      <c r="G23" s="3">
        <v>0.03</v>
      </c>
    </row>
    <row r="26" spans="1:7" s="1" customFormat="1" ht="18.75" customHeight="1">
      <c r="E26" s="249" t="s">
        <v>220</v>
      </c>
      <c r="F26" s="249"/>
    </row>
    <row r="27" spans="1:7" ht="39" customHeight="1">
      <c r="A27" s="245" t="s">
        <v>221</v>
      </c>
      <c r="B27" s="245"/>
      <c r="C27" s="247" t="s">
        <v>222</v>
      </c>
      <c r="D27" s="250"/>
      <c r="E27" s="250"/>
      <c r="F27" s="248"/>
      <c r="G27" s="3" t="s">
        <v>223</v>
      </c>
    </row>
    <row r="28" spans="1:7" ht="34.5" customHeight="1">
      <c r="A28" s="245"/>
      <c r="B28" s="245"/>
      <c r="C28" s="4" t="s">
        <v>225</v>
      </c>
      <c r="D28" s="4" t="s">
        <v>224</v>
      </c>
      <c r="E28" s="5" t="s">
        <v>227</v>
      </c>
      <c r="F28" s="5" t="s">
        <v>228</v>
      </c>
      <c r="G28" s="13">
        <f>销量!E8</f>
        <v>0</v>
      </c>
    </row>
    <row r="29" spans="1:7" ht="24" customHeight="1">
      <c r="A29" s="246" t="s">
        <v>229</v>
      </c>
      <c r="B29" s="246"/>
      <c r="C29" s="7"/>
      <c r="D29" s="8">
        <f>G28*G29</f>
        <v>0</v>
      </c>
      <c r="E29" s="8"/>
      <c r="F29" s="9">
        <v>4.48E-2</v>
      </c>
      <c r="G29" s="3">
        <v>4.3099999999999999E-2</v>
      </c>
    </row>
    <row r="30" spans="1:7" ht="24" customHeight="1">
      <c r="A30" s="246" t="s">
        <v>230</v>
      </c>
      <c r="B30" s="6" t="s">
        <v>231</v>
      </c>
      <c r="C30" s="7"/>
      <c r="D30" s="8">
        <f t="shared" ref="D30:D36" si="2">$G$28*G30</f>
        <v>0</v>
      </c>
      <c r="E30" s="8"/>
      <c r="F30" s="9">
        <v>4.0399999999999998E-2</v>
      </c>
      <c r="G30" s="3">
        <v>4.1000000000000002E-2</v>
      </c>
    </row>
    <row r="31" spans="1:7" ht="24" customHeight="1">
      <c r="A31" s="246"/>
      <c r="B31" s="6" t="s">
        <v>232</v>
      </c>
      <c r="C31" s="7"/>
      <c r="D31" s="8">
        <f t="shared" si="2"/>
        <v>0</v>
      </c>
      <c r="E31" s="8"/>
      <c r="F31" s="9">
        <v>1.66E-2</v>
      </c>
      <c r="G31" s="3">
        <v>2.1700000000000001E-2</v>
      </c>
    </row>
    <row r="32" spans="1:7" ht="24" customHeight="1">
      <c r="A32" s="247" t="s">
        <v>233</v>
      </c>
      <c r="B32" s="248"/>
      <c r="C32" s="10"/>
      <c r="D32" s="8">
        <f t="shared" si="2"/>
        <v>0</v>
      </c>
      <c r="E32" s="8"/>
      <c r="F32" s="11">
        <f>SUM(F29:F31)</f>
        <v>0.1018</v>
      </c>
      <c r="G32" s="3">
        <f>SUM(G29:G31)</f>
        <v>0.10580000000000001</v>
      </c>
    </row>
    <row r="33" spans="1:7" ht="24" customHeight="1">
      <c r="A33" s="246" t="s">
        <v>80</v>
      </c>
      <c r="B33" s="246"/>
      <c r="C33" s="7"/>
      <c r="D33" s="8">
        <f t="shared" si="2"/>
        <v>0</v>
      </c>
      <c r="E33" s="8"/>
      <c r="F33" s="9">
        <f>1.97%+0.75%</f>
        <v>2.7199999999999998E-2</v>
      </c>
      <c r="G33" s="3">
        <v>3.4000000000000002E-2</v>
      </c>
    </row>
    <row r="34" spans="1:7" ht="24" customHeight="1">
      <c r="A34" s="243" t="s">
        <v>234</v>
      </c>
      <c r="B34" s="6" t="s">
        <v>231</v>
      </c>
      <c r="C34" s="7"/>
      <c r="D34" s="8">
        <f t="shared" si="2"/>
        <v>0</v>
      </c>
      <c r="E34" s="8"/>
      <c r="F34" s="9">
        <v>5.3E-3</v>
      </c>
      <c r="G34" s="3">
        <v>7.0000000000000001E-3</v>
      </c>
    </row>
    <row r="35" spans="1:7" ht="24" customHeight="1">
      <c r="A35" s="244"/>
      <c r="B35" s="6" t="s">
        <v>232</v>
      </c>
      <c r="C35" s="7"/>
      <c r="D35" s="8">
        <f t="shared" si="2"/>
        <v>0</v>
      </c>
      <c r="E35" s="8"/>
      <c r="F35" s="9">
        <v>3.4099999999999998E-2</v>
      </c>
      <c r="G35" s="3">
        <f>2.8%+1.6%</f>
        <v>4.3999999999999997E-2</v>
      </c>
    </row>
    <row r="36" spans="1:7" ht="24" customHeight="1">
      <c r="A36" s="246" t="s">
        <v>83</v>
      </c>
      <c r="B36" s="246"/>
      <c r="C36" s="7"/>
      <c r="D36" s="8">
        <f t="shared" si="2"/>
        <v>0</v>
      </c>
      <c r="E36" s="8"/>
      <c r="F36" s="9">
        <v>1.0999999999999999E-2</v>
      </c>
      <c r="G36" s="3">
        <v>0.03</v>
      </c>
    </row>
    <row r="39" spans="1:7" s="1" customFormat="1" ht="18.75" customHeight="1">
      <c r="E39" s="249" t="s">
        <v>220</v>
      </c>
      <c r="F39" s="249"/>
    </row>
    <row r="40" spans="1:7" ht="39" customHeight="1">
      <c r="A40" s="245" t="s">
        <v>221</v>
      </c>
      <c r="B40" s="245"/>
      <c r="C40" s="247" t="s">
        <v>222</v>
      </c>
      <c r="D40" s="250"/>
      <c r="E40" s="250"/>
      <c r="F40" s="248"/>
      <c r="G40" s="3" t="s">
        <v>223</v>
      </c>
    </row>
    <row r="41" spans="1:7" ht="34.5" customHeight="1">
      <c r="A41" s="245"/>
      <c r="B41" s="245"/>
      <c r="C41" s="4" t="s">
        <v>225</v>
      </c>
      <c r="D41" s="4" t="s">
        <v>224</v>
      </c>
      <c r="E41" s="5" t="s">
        <v>227</v>
      </c>
      <c r="F41" s="5" t="s">
        <v>228</v>
      </c>
      <c r="G41" s="13">
        <f>销量!F8</f>
        <v>0</v>
      </c>
    </row>
    <row r="42" spans="1:7" ht="24" customHeight="1">
      <c r="A42" s="246" t="s">
        <v>229</v>
      </c>
      <c r="B42" s="246"/>
      <c r="C42" s="7"/>
      <c r="D42" s="8">
        <f>G41*G42</f>
        <v>0</v>
      </c>
      <c r="E42" s="8"/>
      <c r="F42" s="9">
        <v>4.48E-2</v>
      </c>
      <c r="G42" s="3">
        <v>4.3099999999999999E-2</v>
      </c>
    </row>
    <row r="43" spans="1:7" ht="24" customHeight="1">
      <c r="A43" s="246" t="s">
        <v>230</v>
      </c>
      <c r="B43" s="6" t="s">
        <v>231</v>
      </c>
      <c r="C43" s="7"/>
      <c r="D43" s="8">
        <f>$G$28*G43</f>
        <v>0</v>
      </c>
      <c r="E43" s="8"/>
      <c r="F43" s="9">
        <v>4.0399999999999998E-2</v>
      </c>
      <c r="G43" s="3">
        <v>4.1000000000000002E-2</v>
      </c>
    </row>
    <row r="44" spans="1:7" ht="24" customHeight="1">
      <c r="A44" s="246"/>
      <c r="B44" s="6" t="s">
        <v>232</v>
      </c>
      <c r="C44" s="7"/>
      <c r="D44" s="8">
        <f t="shared" ref="D44:D49" si="3">$G$28*G44</f>
        <v>0</v>
      </c>
      <c r="E44" s="8"/>
      <c r="F44" s="9">
        <v>1.66E-2</v>
      </c>
      <c r="G44" s="3">
        <v>2.1700000000000001E-2</v>
      </c>
    </row>
    <row r="45" spans="1:7" ht="24" customHeight="1">
      <c r="A45" s="247" t="s">
        <v>233</v>
      </c>
      <c r="B45" s="248"/>
      <c r="C45" s="10"/>
      <c r="D45" s="8">
        <f t="shared" si="3"/>
        <v>0</v>
      </c>
      <c r="E45" s="8"/>
      <c r="F45" s="11">
        <f>SUM(F42:F44)</f>
        <v>0.1018</v>
      </c>
      <c r="G45" s="3">
        <f>SUM(G42:G44)</f>
        <v>0.10580000000000001</v>
      </c>
    </row>
    <row r="46" spans="1:7" ht="24" customHeight="1">
      <c r="A46" s="246" t="s">
        <v>80</v>
      </c>
      <c r="B46" s="246"/>
      <c r="C46" s="7"/>
      <c r="D46" s="8">
        <f t="shared" si="3"/>
        <v>0</v>
      </c>
      <c r="E46" s="8"/>
      <c r="F46" s="9">
        <f>1.97%+0.75%</f>
        <v>2.7199999999999998E-2</v>
      </c>
      <c r="G46" s="3">
        <v>3.4000000000000002E-2</v>
      </c>
    </row>
    <row r="47" spans="1:7" ht="24" customHeight="1">
      <c r="A47" s="243" t="s">
        <v>234</v>
      </c>
      <c r="B47" s="6" t="s">
        <v>231</v>
      </c>
      <c r="C47" s="7"/>
      <c r="D47" s="8">
        <f t="shared" si="3"/>
        <v>0</v>
      </c>
      <c r="E47" s="8"/>
      <c r="F47" s="9">
        <v>5.3E-3</v>
      </c>
      <c r="G47" s="3">
        <v>7.0000000000000001E-3</v>
      </c>
    </row>
    <row r="48" spans="1:7" ht="24" customHeight="1">
      <c r="A48" s="244"/>
      <c r="B48" s="6" t="s">
        <v>232</v>
      </c>
      <c r="C48" s="7"/>
      <c r="D48" s="8">
        <f t="shared" si="3"/>
        <v>0</v>
      </c>
      <c r="E48" s="8"/>
      <c r="F48" s="9">
        <v>3.4099999999999998E-2</v>
      </c>
      <c r="G48" s="3">
        <f>2.8%+1.6%</f>
        <v>4.3999999999999997E-2</v>
      </c>
    </row>
    <row r="49" spans="1:7" ht="24" customHeight="1">
      <c r="A49" s="246" t="s">
        <v>83</v>
      </c>
      <c r="B49" s="246"/>
      <c r="C49" s="7"/>
      <c r="D49" s="8">
        <f t="shared" si="3"/>
        <v>0</v>
      </c>
      <c r="E49" s="8"/>
      <c r="F49" s="9">
        <v>1.0999999999999999E-2</v>
      </c>
      <c r="G49" s="3">
        <v>0.03</v>
      </c>
    </row>
    <row r="52" spans="1:7" s="1" customFormat="1" ht="18.75" customHeight="1">
      <c r="E52" s="249" t="s">
        <v>220</v>
      </c>
      <c r="F52" s="249"/>
    </row>
    <row r="53" spans="1:7" ht="39" customHeight="1">
      <c r="A53" s="245" t="s">
        <v>221</v>
      </c>
      <c r="B53" s="245"/>
      <c r="C53" s="247" t="s">
        <v>222</v>
      </c>
      <c r="D53" s="250"/>
      <c r="E53" s="250"/>
      <c r="F53" s="248"/>
      <c r="G53" s="3" t="s">
        <v>223</v>
      </c>
    </row>
    <row r="54" spans="1:7" ht="34.5" customHeight="1">
      <c r="A54" s="245"/>
      <c r="B54" s="245"/>
      <c r="C54" s="4" t="s">
        <v>225</v>
      </c>
      <c r="D54" s="4" t="s">
        <v>224</v>
      </c>
      <c r="E54" s="5" t="s">
        <v>227</v>
      </c>
      <c r="F54" s="5" t="s">
        <v>228</v>
      </c>
      <c r="G54" s="13">
        <f>销量!G8</f>
        <v>0</v>
      </c>
    </row>
    <row r="55" spans="1:7" ht="24" customHeight="1">
      <c r="A55" s="246" t="s">
        <v>229</v>
      </c>
      <c r="B55" s="246"/>
      <c r="C55" s="7"/>
      <c r="D55" s="8">
        <f>G54*G55</f>
        <v>0</v>
      </c>
      <c r="E55" s="8"/>
      <c r="F55" s="9">
        <v>4.48E-2</v>
      </c>
      <c r="G55" s="3">
        <v>4.3099999999999999E-2</v>
      </c>
    </row>
    <row r="56" spans="1:7" ht="24" customHeight="1">
      <c r="A56" s="246" t="s">
        <v>230</v>
      </c>
      <c r="B56" s="6" t="s">
        <v>231</v>
      </c>
      <c r="C56" s="7"/>
      <c r="D56" s="8">
        <f>$G$54*G56</f>
        <v>0</v>
      </c>
      <c r="E56" s="8"/>
      <c r="F56" s="9">
        <v>4.0399999999999998E-2</v>
      </c>
      <c r="G56" s="3">
        <v>4.1000000000000002E-2</v>
      </c>
    </row>
    <row r="57" spans="1:7" ht="24" customHeight="1">
      <c r="A57" s="246"/>
      <c r="B57" s="6" t="s">
        <v>232</v>
      </c>
      <c r="C57" s="7"/>
      <c r="D57" s="8">
        <f t="shared" ref="D57:D62" si="4">$G$54*G57</f>
        <v>0</v>
      </c>
      <c r="E57" s="8"/>
      <c r="F57" s="9">
        <v>1.66E-2</v>
      </c>
      <c r="G57" s="3">
        <v>2.1700000000000001E-2</v>
      </c>
    </row>
    <row r="58" spans="1:7" ht="24" customHeight="1">
      <c r="A58" s="247" t="s">
        <v>233</v>
      </c>
      <c r="B58" s="248"/>
      <c r="C58" s="10"/>
      <c r="D58" s="8">
        <f t="shared" si="4"/>
        <v>0</v>
      </c>
      <c r="E58" s="8"/>
      <c r="F58" s="11">
        <f>SUM(F55:F57)</f>
        <v>0.1018</v>
      </c>
      <c r="G58" s="3">
        <f>SUM(G55:G57)</f>
        <v>0.10580000000000001</v>
      </c>
    </row>
    <row r="59" spans="1:7" ht="24" customHeight="1">
      <c r="A59" s="246" t="s">
        <v>80</v>
      </c>
      <c r="B59" s="246"/>
      <c r="C59" s="7"/>
      <c r="D59" s="8">
        <f t="shared" si="4"/>
        <v>0</v>
      </c>
      <c r="E59" s="8"/>
      <c r="F59" s="9">
        <f>1.97%+0.75%</f>
        <v>2.7199999999999998E-2</v>
      </c>
      <c r="G59" s="3">
        <v>3.4000000000000002E-2</v>
      </c>
    </row>
    <row r="60" spans="1:7" ht="24" customHeight="1">
      <c r="A60" s="243" t="s">
        <v>234</v>
      </c>
      <c r="B60" s="6" t="s">
        <v>231</v>
      </c>
      <c r="C60" s="7"/>
      <c r="D60" s="8">
        <f t="shared" si="4"/>
        <v>0</v>
      </c>
      <c r="E60" s="8"/>
      <c r="F60" s="9">
        <v>5.3E-3</v>
      </c>
      <c r="G60" s="3">
        <v>7.0000000000000001E-3</v>
      </c>
    </row>
    <row r="61" spans="1:7" ht="24" customHeight="1">
      <c r="A61" s="244"/>
      <c r="B61" s="6" t="s">
        <v>232</v>
      </c>
      <c r="C61" s="7"/>
      <c r="D61" s="8">
        <f t="shared" si="4"/>
        <v>0</v>
      </c>
      <c r="E61" s="8"/>
      <c r="F61" s="9">
        <v>3.4099999999999998E-2</v>
      </c>
      <c r="G61" s="3">
        <f>2.8%+1.6%</f>
        <v>4.3999999999999997E-2</v>
      </c>
    </row>
    <row r="62" spans="1:7" ht="24" customHeight="1">
      <c r="A62" s="246" t="s">
        <v>83</v>
      </c>
      <c r="B62" s="246"/>
      <c r="C62" s="7"/>
      <c r="D62" s="8">
        <f t="shared" si="4"/>
        <v>0</v>
      </c>
      <c r="E62" s="8"/>
      <c r="F62" s="9">
        <v>1.0999999999999999E-2</v>
      </c>
      <c r="G62" s="3">
        <v>0.03</v>
      </c>
    </row>
    <row r="65" spans="1:7" s="1" customFormat="1" ht="18.75" customHeight="1">
      <c r="E65" s="249" t="s">
        <v>220</v>
      </c>
      <c r="F65" s="249"/>
    </row>
    <row r="66" spans="1:7" ht="39" customHeight="1">
      <c r="A66" s="245" t="s">
        <v>221</v>
      </c>
      <c r="B66" s="245"/>
      <c r="C66" s="247" t="s">
        <v>222</v>
      </c>
      <c r="D66" s="250"/>
      <c r="E66" s="250"/>
      <c r="F66" s="248"/>
      <c r="G66" s="3" t="s">
        <v>223</v>
      </c>
    </row>
    <row r="67" spans="1:7" ht="34.5" customHeight="1">
      <c r="A67" s="245"/>
      <c r="B67" s="245"/>
      <c r="C67" s="4" t="s">
        <v>225</v>
      </c>
      <c r="D67" s="4" t="s">
        <v>224</v>
      </c>
      <c r="E67" s="5" t="s">
        <v>227</v>
      </c>
      <c r="F67" s="5" t="s">
        <v>228</v>
      </c>
      <c r="G67" s="13">
        <f>销量!H8</f>
        <v>0</v>
      </c>
    </row>
    <row r="68" spans="1:7" ht="24" customHeight="1">
      <c r="A68" s="246" t="s">
        <v>229</v>
      </c>
      <c r="B68" s="246"/>
      <c r="C68" s="7"/>
      <c r="D68" s="8">
        <f>G67*G68</f>
        <v>0</v>
      </c>
      <c r="E68" s="8"/>
      <c r="F68" s="9">
        <v>4.48E-2</v>
      </c>
      <c r="G68" s="3">
        <v>4.3099999999999999E-2</v>
      </c>
    </row>
    <row r="69" spans="1:7" ht="24" customHeight="1">
      <c r="A69" s="246" t="s">
        <v>230</v>
      </c>
      <c r="B69" s="6" t="s">
        <v>231</v>
      </c>
      <c r="C69" s="7"/>
      <c r="D69" s="8">
        <f t="shared" ref="D69:D75" si="5">$G$67*G69</f>
        <v>0</v>
      </c>
      <c r="E69" s="8"/>
      <c r="F69" s="9">
        <v>4.0399999999999998E-2</v>
      </c>
      <c r="G69" s="3">
        <v>4.1000000000000002E-2</v>
      </c>
    </row>
    <row r="70" spans="1:7" ht="24" customHeight="1">
      <c r="A70" s="246"/>
      <c r="B70" s="6" t="s">
        <v>232</v>
      </c>
      <c r="C70" s="7"/>
      <c r="D70" s="8">
        <f t="shared" si="5"/>
        <v>0</v>
      </c>
      <c r="E70" s="8"/>
      <c r="F70" s="9">
        <v>1.66E-2</v>
      </c>
      <c r="G70" s="3">
        <v>2.1700000000000001E-2</v>
      </c>
    </row>
    <row r="71" spans="1:7" ht="24" customHeight="1">
      <c r="A71" s="247" t="s">
        <v>233</v>
      </c>
      <c r="B71" s="248"/>
      <c r="C71" s="10"/>
      <c r="D71" s="8">
        <f t="shared" si="5"/>
        <v>0</v>
      </c>
      <c r="E71" s="8"/>
      <c r="F71" s="11">
        <f>SUM(F68:F70)</f>
        <v>0.1018</v>
      </c>
      <c r="G71" s="3">
        <f>SUM(G68:G70)</f>
        <v>0.10580000000000001</v>
      </c>
    </row>
    <row r="72" spans="1:7" ht="24" customHeight="1">
      <c r="A72" s="246" t="s">
        <v>80</v>
      </c>
      <c r="B72" s="246"/>
      <c r="C72" s="7"/>
      <c r="D72" s="8">
        <f t="shared" si="5"/>
        <v>0</v>
      </c>
      <c r="E72" s="8"/>
      <c r="F72" s="9">
        <f>1.97%+0.75%</f>
        <v>2.7199999999999998E-2</v>
      </c>
      <c r="G72" s="3">
        <v>3.4000000000000002E-2</v>
      </c>
    </row>
    <row r="73" spans="1:7" ht="24" customHeight="1">
      <c r="A73" s="243" t="s">
        <v>234</v>
      </c>
      <c r="B73" s="6" t="s">
        <v>231</v>
      </c>
      <c r="C73" s="7"/>
      <c r="D73" s="8">
        <f t="shared" si="5"/>
        <v>0</v>
      </c>
      <c r="E73" s="8"/>
      <c r="F73" s="9">
        <v>5.3E-3</v>
      </c>
      <c r="G73" s="3">
        <v>7.0000000000000001E-3</v>
      </c>
    </row>
    <row r="74" spans="1:7" ht="24" customHeight="1">
      <c r="A74" s="244"/>
      <c r="B74" s="6" t="s">
        <v>232</v>
      </c>
      <c r="C74" s="7"/>
      <c r="D74" s="8">
        <f t="shared" si="5"/>
        <v>0</v>
      </c>
      <c r="E74" s="8"/>
      <c r="F74" s="9">
        <v>3.4099999999999998E-2</v>
      </c>
      <c r="G74" s="3">
        <f>2.8%+1.6%</f>
        <v>4.3999999999999997E-2</v>
      </c>
    </row>
    <row r="75" spans="1:7" ht="24" customHeight="1">
      <c r="A75" s="246" t="s">
        <v>83</v>
      </c>
      <c r="B75" s="246"/>
      <c r="C75" s="7"/>
      <c r="D75" s="8">
        <f t="shared" si="5"/>
        <v>0</v>
      </c>
      <c r="E75" s="8"/>
      <c r="F75" s="9">
        <v>1.0999999999999999E-2</v>
      </c>
      <c r="G75" s="3">
        <v>0.03</v>
      </c>
    </row>
    <row r="78" spans="1:7" s="1" customFormat="1" ht="18.75" customHeight="1">
      <c r="E78" s="249" t="s">
        <v>220</v>
      </c>
      <c r="F78" s="249"/>
    </row>
    <row r="79" spans="1:7" ht="39" customHeight="1">
      <c r="A79" s="245" t="s">
        <v>221</v>
      </c>
      <c r="B79" s="245"/>
      <c r="C79" s="247" t="s">
        <v>222</v>
      </c>
      <c r="D79" s="250"/>
      <c r="E79" s="250"/>
      <c r="F79" s="248"/>
      <c r="G79" s="3" t="s">
        <v>223</v>
      </c>
    </row>
    <row r="80" spans="1:7" ht="34.5" customHeight="1">
      <c r="A80" s="245"/>
      <c r="B80" s="245"/>
      <c r="C80" s="4" t="s">
        <v>225</v>
      </c>
      <c r="D80" s="4" t="s">
        <v>224</v>
      </c>
      <c r="E80" s="5" t="s">
        <v>227</v>
      </c>
      <c r="F80" s="5" t="s">
        <v>228</v>
      </c>
      <c r="G80" s="13">
        <f>销量!I8</f>
        <v>0</v>
      </c>
    </row>
    <row r="81" spans="1:7" ht="24" customHeight="1">
      <c r="A81" s="246" t="s">
        <v>229</v>
      </c>
      <c r="B81" s="246"/>
      <c r="C81" s="7"/>
      <c r="D81" s="8">
        <f>G80*G81</f>
        <v>0</v>
      </c>
      <c r="E81" s="8"/>
      <c r="F81" s="9">
        <v>4.48E-2</v>
      </c>
      <c r="G81" s="3">
        <v>4.3099999999999999E-2</v>
      </c>
    </row>
    <row r="82" spans="1:7" ht="24" customHeight="1">
      <c r="A82" s="246" t="s">
        <v>230</v>
      </c>
      <c r="B82" s="6" t="s">
        <v>231</v>
      </c>
      <c r="C82" s="7"/>
      <c r="D82" s="8">
        <f t="shared" ref="D82:D88" si="6">$G$80*G82</f>
        <v>0</v>
      </c>
      <c r="E82" s="8"/>
      <c r="F82" s="9">
        <v>4.0399999999999998E-2</v>
      </c>
      <c r="G82" s="3">
        <v>4.1000000000000002E-2</v>
      </c>
    </row>
    <row r="83" spans="1:7" ht="24" customHeight="1">
      <c r="A83" s="246"/>
      <c r="B83" s="6" t="s">
        <v>232</v>
      </c>
      <c r="C83" s="7"/>
      <c r="D83" s="8">
        <f t="shared" si="6"/>
        <v>0</v>
      </c>
      <c r="E83" s="8"/>
      <c r="F83" s="9">
        <v>1.66E-2</v>
      </c>
      <c r="G83" s="3">
        <v>2.1700000000000001E-2</v>
      </c>
    </row>
    <row r="84" spans="1:7" ht="24" customHeight="1">
      <c r="A84" s="247" t="s">
        <v>233</v>
      </c>
      <c r="B84" s="248"/>
      <c r="C84" s="10"/>
      <c r="D84" s="8">
        <f t="shared" si="6"/>
        <v>0</v>
      </c>
      <c r="E84" s="8"/>
      <c r="F84" s="11">
        <f>SUM(F81:F83)</f>
        <v>0.1018</v>
      </c>
      <c r="G84" s="3">
        <f>SUM(G81:G83)</f>
        <v>0.10580000000000001</v>
      </c>
    </row>
    <row r="85" spans="1:7" ht="24" customHeight="1">
      <c r="A85" s="246" t="s">
        <v>80</v>
      </c>
      <c r="B85" s="246"/>
      <c r="C85" s="7"/>
      <c r="D85" s="8">
        <f t="shared" si="6"/>
        <v>0</v>
      </c>
      <c r="E85" s="8"/>
      <c r="F85" s="9">
        <f>1.97%+0.75%</f>
        <v>2.7199999999999998E-2</v>
      </c>
      <c r="G85" s="3">
        <v>3.4000000000000002E-2</v>
      </c>
    </row>
    <row r="86" spans="1:7" ht="24" customHeight="1">
      <c r="A86" s="243" t="s">
        <v>234</v>
      </c>
      <c r="B86" s="6" t="s">
        <v>231</v>
      </c>
      <c r="C86" s="7"/>
      <c r="D86" s="8">
        <f t="shared" si="6"/>
        <v>0</v>
      </c>
      <c r="E86" s="8"/>
      <c r="F86" s="9">
        <v>5.3E-3</v>
      </c>
      <c r="G86" s="3">
        <v>7.0000000000000001E-3</v>
      </c>
    </row>
    <row r="87" spans="1:7" ht="24" customHeight="1">
      <c r="A87" s="244"/>
      <c r="B87" s="6" t="s">
        <v>232</v>
      </c>
      <c r="C87" s="7"/>
      <c r="D87" s="8">
        <f t="shared" si="6"/>
        <v>0</v>
      </c>
      <c r="E87" s="8"/>
      <c r="F87" s="9">
        <v>3.4099999999999998E-2</v>
      </c>
      <c r="G87" s="3">
        <f>2.8%+1.6%</f>
        <v>4.3999999999999997E-2</v>
      </c>
    </row>
    <row r="88" spans="1:7" ht="24" customHeight="1">
      <c r="A88" s="246" t="s">
        <v>83</v>
      </c>
      <c r="B88" s="246"/>
      <c r="C88" s="7"/>
      <c r="D88" s="8">
        <f t="shared" si="6"/>
        <v>0</v>
      </c>
      <c r="E88" s="8"/>
      <c r="F88" s="9">
        <v>1.0999999999999999E-2</v>
      </c>
      <c r="G88" s="3">
        <v>0.03</v>
      </c>
    </row>
    <row r="91" spans="1:7" s="1" customFormat="1" ht="18.75" customHeight="1">
      <c r="E91" s="249" t="s">
        <v>220</v>
      </c>
      <c r="F91" s="249"/>
    </row>
    <row r="92" spans="1:7" ht="39" customHeight="1">
      <c r="A92" s="245" t="s">
        <v>221</v>
      </c>
      <c r="B92" s="245"/>
      <c r="C92" s="247" t="s">
        <v>222</v>
      </c>
      <c r="D92" s="250"/>
      <c r="E92" s="250"/>
      <c r="F92" s="248"/>
      <c r="G92" s="3" t="s">
        <v>223</v>
      </c>
    </row>
    <row r="93" spans="1:7" ht="34.5" customHeight="1">
      <c r="A93" s="245"/>
      <c r="B93" s="245"/>
      <c r="C93" s="4" t="s">
        <v>225</v>
      </c>
      <c r="D93" s="4" t="s">
        <v>224</v>
      </c>
      <c r="E93" s="5" t="s">
        <v>227</v>
      </c>
      <c r="F93" s="5" t="s">
        <v>228</v>
      </c>
      <c r="G93" s="13">
        <f>销量!J8</f>
        <v>0</v>
      </c>
    </row>
    <row r="94" spans="1:7" ht="24" customHeight="1">
      <c r="A94" s="246" t="s">
        <v>229</v>
      </c>
      <c r="B94" s="246"/>
      <c r="C94" s="7"/>
      <c r="D94" s="8">
        <f>G93*G94</f>
        <v>0</v>
      </c>
      <c r="E94" s="8"/>
      <c r="F94" s="9">
        <v>4.48E-2</v>
      </c>
      <c r="G94" s="3">
        <v>4.3099999999999999E-2</v>
      </c>
    </row>
    <row r="95" spans="1:7" ht="24" customHeight="1">
      <c r="A95" s="246" t="s">
        <v>230</v>
      </c>
      <c r="B95" s="6" t="s">
        <v>231</v>
      </c>
      <c r="C95" s="7"/>
      <c r="D95" s="8">
        <f>$G$93*G95</f>
        <v>0</v>
      </c>
      <c r="E95" s="8"/>
      <c r="F95" s="9">
        <v>4.0399999999999998E-2</v>
      </c>
      <c r="G95" s="3">
        <v>4.1000000000000002E-2</v>
      </c>
    </row>
    <row r="96" spans="1:7" ht="24" customHeight="1">
      <c r="A96" s="246"/>
      <c r="B96" s="6" t="s">
        <v>232</v>
      </c>
      <c r="C96" s="7"/>
      <c r="D96" s="8">
        <f t="shared" ref="D96:D101" si="7">$G$93*G96</f>
        <v>0</v>
      </c>
      <c r="E96" s="8"/>
      <c r="F96" s="9">
        <v>1.66E-2</v>
      </c>
      <c r="G96" s="3">
        <v>2.1700000000000001E-2</v>
      </c>
    </row>
    <row r="97" spans="1:7" ht="24" customHeight="1">
      <c r="A97" s="247" t="s">
        <v>233</v>
      </c>
      <c r="B97" s="248"/>
      <c r="C97" s="10"/>
      <c r="D97" s="8">
        <f t="shared" si="7"/>
        <v>0</v>
      </c>
      <c r="E97" s="8"/>
      <c r="F97" s="11">
        <f>SUM(F94:F96)</f>
        <v>0.1018</v>
      </c>
      <c r="G97" s="3">
        <f>SUM(G94:G96)</f>
        <v>0.10580000000000001</v>
      </c>
    </row>
    <row r="98" spans="1:7" ht="24" customHeight="1">
      <c r="A98" s="246" t="s">
        <v>80</v>
      </c>
      <c r="B98" s="246"/>
      <c r="C98" s="7"/>
      <c r="D98" s="8">
        <f t="shared" si="7"/>
        <v>0</v>
      </c>
      <c r="E98" s="8"/>
      <c r="F98" s="9">
        <f>1.97%+0.75%</f>
        <v>2.7199999999999998E-2</v>
      </c>
      <c r="G98" s="3">
        <v>3.4000000000000002E-2</v>
      </c>
    </row>
    <row r="99" spans="1:7" ht="24" customHeight="1">
      <c r="A99" s="243" t="s">
        <v>234</v>
      </c>
      <c r="B99" s="6" t="s">
        <v>231</v>
      </c>
      <c r="C99" s="7"/>
      <c r="D99" s="8">
        <f t="shared" si="7"/>
        <v>0</v>
      </c>
      <c r="E99" s="8"/>
      <c r="F99" s="9">
        <v>5.3E-3</v>
      </c>
      <c r="G99" s="3">
        <v>7.0000000000000001E-3</v>
      </c>
    </row>
    <row r="100" spans="1:7" ht="24" customHeight="1">
      <c r="A100" s="244"/>
      <c r="B100" s="6" t="s">
        <v>232</v>
      </c>
      <c r="C100" s="7"/>
      <c r="D100" s="8">
        <f t="shared" si="7"/>
        <v>0</v>
      </c>
      <c r="E100" s="8"/>
      <c r="F100" s="9">
        <v>3.4099999999999998E-2</v>
      </c>
      <c r="G100" s="3">
        <f>2.8%+1.6%</f>
        <v>4.3999999999999997E-2</v>
      </c>
    </row>
    <row r="101" spans="1:7" ht="24" customHeight="1">
      <c r="A101" s="246" t="s">
        <v>83</v>
      </c>
      <c r="B101" s="246"/>
      <c r="C101" s="7"/>
      <c r="D101" s="8">
        <f t="shared" si="7"/>
        <v>0</v>
      </c>
      <c r="E101" s="8"/>
      <c r="F101" s="9">
        <v>1.0999999999999999E-2</v>
      </c>
      <c r="G101" s="3">
        <v>0.03</v>
      </c>
    </row>
    <row r="104" spans="1:7" s="1" customFormat="1" ht="18.75" customHeight="1">
      <c r="E104" s="249" t="s">
        <v>220</v>
      </c>
      <c r="F104" s="249"/>
    </row>
    <row r="105" spans="1:7" ht="39" customHeight="1">
      <c r="A105" s="245" t="s">
        <v>221</v>
      </c>
      <c r="B105" s="245"/>
      <c r="C105" s="247" t="s">
        <v>222</v>
      </c>
      <c r="D105" s="250"/>
      <c r="E105" s="250"/>
      <c r="F105" s="248"/>
      <c r="G105" s="3" t="s">
        <v>223</v>
      </c>
    </row>
    <row r="106" spans="1:7" ht="34.5" customHeight="1">
      <c r="A106" s="245"/>
      <c r="B106" s="245"/>
      <c r="C106" s="4" t="s">
        <v>225</v>
      </c>
      <c r="D106" s="4" t="s">
        <v>224</v>
      </c>
      <c r="E106" s="5" t="s">
        <v>227</v>
      </c>
      <c r="F106" s="5" t="s">
        <v>228</v>
      </c>
      <c r="G106" s="13">
        <f>销量!K8</f>
        <v>0</v>
      </c>
    </row>
    <row r="107" spans="1:7" ht="24" customHeight="1">
      <c r="A107" s="246" t="s">
        <v>229</v>
      </c>
      <c r="B107" s="246"/>
      <c r="C107" s="7"/>
      <c r="D107" s="8">
        <f>G106*G107</f>
        <v>0</v>
      </c>
      <c r="E107" s="8"/>
      <c r="F107" s="9">
        <v>4.48E-2</v>
      </c>
      <c r="G107" s="3">
        <v>4.3099999999999999E-2</v>
      </c>
    </row>
    <row r="108" spans="1:7" ht="24" customHeight="1">
      <c r="A108" s="246" t="s">
        <v>230</v>
      </c>
      <c r="B108" s="6" t="s">
        <v>231</v>
      </c>
      <c r="C108" s="7"/>
      <c r="D108" s="8">
        <f t="shared" ref="D108:D114" si="8">$G$106*G108</f>
        <v>0</v>
      </c>
      <c r="E108" s="8"/>
      <c r="F108" s="9">
        <v>4.0399999999999998E-2</v>
      </c>
      <c r="G108" s="3">
        <v>4.1000000000000002E-2</v>
      </c>
    </row>
    <row r="109" spans="1:7" ht="24" customHeight="1">
      <c r="A109" s="246"/>
      <c r="B109" s="6" t="s">
        <v>232</v>
      </c>
      <c r="C109" s="7"/>
      <c r="D109" s="8">
        <f t="shared" si="8"/>
        <v>0</v>
      </c>
      <c r="E109" s="8"/>
      <c r="F109" s="9">
        <v>1.66E-2</v>
      </c>
      <c r="G109" s="3">
        <v>2.1700000000000001E-2</v>
      </c>
    </row>
    <row r="110" spans="1:7" ht="24" customHeight="1">
      <c r="A110" s="247" t="s">
        <v>233</v>
      </c>
      <c r="B110" s="248"/>
      <c r="C110" s="10"/>
      <c r="D110" s="8">
        <f t="shared" si="8"/>
        <v>0</v>
      </c>
      <c r="E110" s="8"/>
      <c r="F110" s="11">
        <f>SUM(F107:F109)</f>
        <v>0.1018</v>
      </c>
      <c r="G110" s="3">
        <f>SUM(G107:G109)</f>
        <v>0.10580000000000001</v>
      </c>
    </row>
    <row r="111" spans="1:7" ht="24" customHeight="1">
      <c r="A111" s="246" t="s">
        <v>80</v>
      </c>
      <c r="B111" s="246"/>
      <c r="C111" s="7"/>
      <c r="D111" s="8">
        <f t="shared" si="8"/>
        <v>0</v>
      </c>
      <c r="E111" s="8"/>
      <c r="F111" s="9">
        <f>1.97%+0.75%</f>
        <v>2.7199999999999998E-2</v>
      </c>
      <c r="G111" s="3">
        <v>3.4000000000000002E-2</v>
      </c>
    </row>
    <row r="112" spans="1:7" ht="24" customHeight="1">
      <c r="A112" s="243" t="s">
        <v>234</v>
      </c>
      <c r="B112" s="6" t="s">
        <v>231</v>
      </c>
      <c r="C112" s="7"/>
      <c r="D112" s="8">
        <f t="shared" si="8"/>
        <v>0</v>
      </c>
      <c r="E112" s="8"/>
      <c r="F112" s="9">
        <v>5.3E-3</v>
      </c>
      <c r="G112" s="3">
        <v>7.0000000000000001E-3</v>
      </c>
    </row>
    <row r="113" spans="1:7" ht="24" customHeight="1">
      <c r="A113" s="244"/>
      <c r="B113" s="6" t="s">
        <v>232</v>
      </c>
      <c r="C113" s="7"/>
      <c r="D113" s="8">
        <f t="shared" si="8"/>
        <v>0</v>
      </c>
      <c r="E113" s="8"/>
      <c r="F113" s="9">
        <v>3.4099999999999998E-2</v>
      </c>
      <c r="G113" s="3">
        <f>2.8%+1.6%</f>
        <v>4.3999999999999997E-2</v>
      </c>
    </row>
    <row r="114" spans="1:7" ht="24" customHeight="1">
      <c r="A114" s="246" t="s">
        <v>83</v>
      </c>
      <c r="B114" s="246"/>
      <c r="C114" s="7"/>
      <c r="D114" s="8">
        <f t="shared" si="8"/>
        <v>0</v>
      </c>
      <c r="E114" s="8"/>
      <c r="F114" s="9">
        <v>1.0999999999999999E-2</v>
      </c>
      <c r="G114" s="3">
        <v>0.03</v>
      </c>
    </row>
    <row r="117" spans="1:7" s="1" customFormat="1" ht="18.75" customHeight="1">
      <c r="E117" s="249" t="s">
        <v>220</v>
      </c>
      <c r="F117" s="249"/>
    </row>
    <row r="118" spans="1:7" ht="39" customHeight="1">
      <c r="A118" s="245" t="s">
        <v>221</v>
      </c>
      <c r="B118" s="245"/>
      <c r="C118" s="247" t="s">
        <v>222</v>
      </c>
      <c r="D118" s="250"/>
      <c r="E118" s="250"/>
      <c r="F118" s="248"/>
      <c r="G118" s="3" t="s">
        <v>223</v>
      </c>
    </row>
    <row r="119" spans="1:7" ht="34.5" customHeight="1">
      <c r="A119" s="245"/>
      <c r="B119" s="245"/>
      <c r="C119" s="4" t="s">
        <v>225</v>
      </c>
      <c r="D119" s="4" t="s">
        <v>224</v>
      </c>
      <c r="E119" s="5" t="s">
        <v>227</v>
      </c>
      <c r="F119" s="5" t="s">
        <v>228</v>
      </c>
      <c r="G119" s="13">
        <f>销量!L8</f>
        <v>0</v>
      </c>
    </row>
    <row r="120" spans="1:7" ht="24" customHeight="1">
      <c r="A120" s="246" t="s">
        <v>229</v>
      </c>
      <c r="B120" s="246"/>
      <c r="C120" s="7"/>
      <c r="D120" s="8">
        <f>G119*G120</f>
        <v>0</v>
      </c>
      <c r="E120" s="8"/>
      <c r="F120" s="9">
        <v>4.48E-2</v>
      </c>
      <c r="G120" s="3">
        <v>4.3099999999999999E-2</v>
      </c>
    </row>
    <row r="121" spans="1:7" ht="24" customHeight="1">
      <c r="A121" s="246" t="s">
        <v>230</v>
      </c>
      <c r="B121" s="6" t="s">
        <v>231</v>
      </c>
      <c r="C121" s="7"/>
      <c r="D121" s="8">
        <f>$G$119*G121</f>
        <v>0</v>
      </c>
      <c r="E121" s="8"/>
      <c r="F121" s="9">
        <v>4.0399999999999998E-2</v>
      </c>
      <c r="G121" s="3">
        <v>4.1000000000000002E-2</v>
      </c>
    </row>
    <row r="122" spans="1:7" ht="24" customHeight="1">
      <c r="A122" s="246"/>
      <c r="B122" s="6" t="s">
        <v>232</v>
      </c>
      <c r="C122" s="7"/>
      <c r="D122" s="8">
        <f t="shared" ref="D122:D127" si="9">$G$119*G122</f>
        <v>0</v>
      </c>
      <c r="E122" s="8"/>
      <c r="F122" s="9">
        <v>1.66E-2</v>
      </c>
      <c r="G122" s="3">
        <v>2.1700000000000001E-2</v>
      </c>
    </row>
    <row r="123" spans="1:7" ht="24" customHeight="1">
      <c r="A123" s="247" t="s">
        <v>233</v>
      </c>
      <c r="B123" s="248"/>
      <c r="C123" s="10"/>
      <c r="D123" s="8">
        <f t="shared" si="9"/>
        <v>0</v>
      </c>
      <c r="E123" s="8"/>
      <c r="F123" s="11">
        <f>SUM(F120:F122)</f>
        <v>0.1018</v>
      </c>
      <c r="G123" s="3">
        <f>SUM(G120:G122)</f>
        <v>0.10580000000000001</v>
      </c>
    </row>
    <row r="124" spans="1:7" ht="24" customHeight="1">
      <c r="A124" s="246" t="s">
        <v>80</v>
      </c>
      <c r="B124" s="246"/>
      <c r="C124" s="7"/>
      <c r="D124" s="8">
        <f t="shared" si="9"/>
        <v>0</v>
      </c>
      <c r="E124" s="8"/>
      <c r="F124" s="9">
        <f>1.97%+0.75%</f>
        <v>2.7199999999999998E-2</v>
      </c>
      <c r="G124" s="3">
        <v>3.4000000000000002E-2</v>
      </c>
    </row>
    <row r="125" spans="1:7" ht="24" customHeight="1">
      <c r="A125" s="243" t="s">
        <v>234</v>
      </c>
      <c r="B125" s="6" t="s">
        <v>231</v>
      </c>
      <c r="C125" s="7"/>
      <c r="D125" s="8">
        <f t="shared" si="9"/>
        <v>0</v>
      </c>
      <c r="E125" s="8"/>
      <c r="F125" s="9">
        <v>5.3E-3</v>
      </c>
      <c r="G125" s="3">
        <v>7.0000000000000001E-3</v>
      </c>
    </row>
    <row r="126" spans="1:7" ht="24" customHeight="1">
      <c r="A126" s="244"/>
      <c r="B126" s="6" t="s">
        <v>232</v>
      </c>
      <c r="C126" s="7"/>
      <c r="D126" s="8">
        <f t="shared" si="9"/>
        <v>0</v>
      </c>
      <c r="E126" s="8"/>
      <c r="F126" s="9">
        <v>3.4099999999999998E-2</v>
      </c>
      <c r="G126" s="3">
        <f>2.8%+1.6%</f>
        <v>4.3999999999999997E-2</v>
      </c>
    </row>
    <row r="127" spans="1:7" ht="24" customHeight="1">
      <c r="A127" s="246" t="s">
        <v>83</v>
      </c>
      <c r="B127" s="246"/>
      <c r="C127" s="7"/>
      <c r="D127" s="8">
        <f t="shared" si="9"/>
        <v>0</v>
      </c>
      <c r="E127" s="8"/>
      <c r="F127" s="9">
        <v>1.0999999999999999E-2</v>
      </c>
      <c r="G127" s="3">
        <v>0.03</v>
      </c>
    </row>
    <row r="130" spans="1:7" s="1" customFormat="1" ht="18.75" customHeight="1">
      <c r="E130" s="249" t="s">
        <v>220</v>
      </c>
      <c r="F130" s="249"/>
    </row>
    <row r="131" spans="1:7" ht="39" customHeight="1">
      <c r="A131" s="245" t="s">
        <v>221</v>
      </c>
      <c r="B131" s="245"/>
      <c r="C131" s="247" t="s">
        <v>222</v>
      </c>
      <c r="D131" s="250"/>
      <c r="E131" s="250"/>
      <c r="F131" s="248"/>
      <c r="G131" s="3" t="s">
        <v>223</v>
      </c>
    </row>
    <row r="132" spans="1:7" ht="34.5" customHeight="1">
      <c r="A132" s="245"/>
      <c r="B132" s="245"/>
      <c r="C132" s="4" t="s">
        <v>225</v>
      </c>
      <c r="D132" s="4" t="s">
        <v>224</v>
      </c>
      <c r="E132" s="5" t="s">
        <v>227</v>
      </c>
      <c r="F132" s="5" t="s">
        <v>228</v>
      </c>
      <c r="G132" s="13">
        <f>销量!M8</f>
        <v>0</v>
      </c>
    </row>
    <row r="133" spans="1:7" ht="24" customHeight="1">
      <c r="A133" s="246" t="s">
        <v>229</v>
      </c>
      <c r="B133" s="246"/>
      <c r="C133" s="7"/>
      <c r="D133" s="8">
        <f>G132*G133</f>
        <v>0</v>
      </c>
      <c r="E133" s="8"/>
      <c r="F133" s="9">
        <v>4.48E-2</v>
      </c>
      <c r="G133" s="3">
        <v>4.3099999999999999E-2</v>
      </c>
    </row>
    <row r="134" spans="1:7" ht="24" customHeight="1">
      <c r="A134" s="246" t="s">
        <v>230</v>
      </c>
      <c r="B134" s="6" t="s">
        <v>231</v>
      </c>
      <c r="C134" s="7"/>
      <c r="D134" s="8">
        <f>$G$132*G134</f>
        <v>0</v>
      </c>
      <c r="E134" s="8"/>
      <c r="F134" s="9">
        <v>4.0399999999999998E-2</v>
      </c>
      <c r="G134" s="3">
        <v>4.1000000000000002E-2</v>
      </c>
    </row>
    <row r="135" spans="1:7" ht="24" customHeight="1">
      <c r="A135" s="246"/>
      <c r="B135" s="6" t="s">
        <v>232</v>
      </c>
      <c r="C135" s="7"/>
      <c r="D135" s="8">
        <f t="shared" ref="D135:D140" si="10">$G$132*G135</f>
        <v>0</v>
      </c>
      <c r="E135" s="8"/>
      <c r="F135" s="9">
        <v>1.66E-2</v>
      </c>
      <c r="G135" s="3">
        <v>2.1700000000000001E-2</v>
      </c>
    </row>
    <row r="136" spans="1:7" ht="24" customHeight="1">
      <c r="A136" s="247" t="s">
        <v>233</v>
      </c>
      <c r="B136" s="248"/>
      <c r="C136" s="10"/>
      <c r="D136" s="8">
        <f t="shared" si="10"/>
        <v>0</v>
      </c>
      <c r="E136" s="8"/>
      <c r="F136" s="11">
        <f>SUM(F133:F135)</f>
        <v>0.1018</v>
      </c>
      <c r="G136" s="3">
        <f>SUM(G133:G135)</f>
        <v>0.10580000000000001</v>
      </c>
    </row>
    <row r="137" spans="1:7" ht="24" customHeight="1">
      <c r="A137" s="246" t="s">
        <v>80</v>
      </c>
      <c r="B137" s="246"/>
      <c r="C137" s="7"/>
      <c r="D137" s="8">
        <f t="shared" si="10"/>
        <v>0</v>
      </c>
      <c r="E137" s="8"/>
      <c r="F137" s="9">
        <f>1.97%+0.75%</f>
        <v>2.7199999999999998E-2</v>
      </c>
      <c r="G137" s="3">
        <v>3.4000000000000002E-2</v>
      </c>
    </row>
    <row r="138" spans="1:7" ht="24" customHeight="1">
      <c r="A138" s="243" t="s">
        <v>234</v>
      </c>
      <c r="B138" s="6" t="s">
        <v>231</v>
      </c>
      <c r="C138" s="7"/>
      <c r="D138" s="8">
        <f t="shared" si="10"/>
        <v>0</v>
      </c>
      <c r="E138" s="8"/>
      <c r="F138" s="9">
        <v>5.3E-3</v>
      </c>
      <c r="G138" s="3">
        <v>7.0000000000000001E-3</v>
      </c>
    </row>
    <row r="139" spans="1:7" ht="24" customHeight="1">
      <c r="A139" s="244"/>
      <c r="B139" s="6" t="s">
        <v>232</v>
      </c>
      <c r="C139" s="7"/>
      <c r="D139" s="8">
        <f t="shared" si="10"/>
        <v>0</v>
      </c>
      <c r="E139" s="8"/>
      <c r="F139" s="9">
        <v>3.4099999999999998E-2</v>
      </c>
      <c r="G139" s="3">
        <f>2.8%+1.6%</f>
        <v>4.3999999999999997E-2</v>
      </c>
    </row>
    <row r="140" spans="1:7" ht="24" customHeight="1">
      <c r="A140" s="246" t="s">
        <v>83</v>
      </c>
      <c r="B140" s="246"/>
      <c r="C140" s="7"/>
      <c r="D140" s="8">
        <f t="shared" si="10"/>
        <v>0</v>
      </c>
      <c r="E140" s="8"/>
      <c r="F140" s="9">
        <v>1.0999999999999999E-2</v>
      </c>
      <c r="G140" s="3">
        <v>0.03</v>
      </c>
    </row>
  </sheetData>
  <mergeCells count="99">
    <mergeCell ref="E1:F1"/>
    <mergeCell ref="C2:F2"/>
    <mergeCell ref="A4:B4"/>
    <mergeCell ref="A7:B7"/>
    <mergeCell ref="A8:B8"/>
    <mergeCell ref="A11:B11"/>
    <mergeCell ref="E13:F13"/>
    <mergeCell ref="C14:F14"/>
    <mergeCell ref="A16:B16"/>
    <mergeCell ref="A19:B19"/>
    <mergeCell ref="A20:B20"/>
    <mergeCell ref="A23:B23"/>
    <mergeCell ref="E26:F26"/>
    <mergeCell ref="C27:F27"/>
    <mergeCell ref="A29:B29"/>
    <mergeCell ref="A32:B32"/>
    <mergeCell ref="A33:B33"/>
    <mergeCell ref="A36:B36"/>
    <mergeCell ref="E39:F39"/>
    <mergeCell ref="C40:F40"/>
    <mergeCell ref="A42:B42"/>
    <mergeCell ref="A45:B45"/>
    <mergeCell ref="A46:B46"/>
    <mergeCell ref="A49:B49"/>
    <mergeCell ref="E52:F52"/>
    <mergeCell ref="C53:F53"/>
    <mergeCell ref="A55:B55"/>
    <mergeCell ref="A58:B58"/>
    <mergeCell ref="A59:B59"/>
    <mergeCell ref="A62:B62"/>
    <mergeCell ref="E65:F65"/>
    <mergeCell ref="C66:F66"/>
    <mergeCell ref="A68:B68"/>
    <mergeCell ref="A71:B71"/>
    <mergeCell ref="A72:B72"/>
    <mergeCell ref="A75:B75"/>
    <mergeCell ref="E78:F78"/>
    <mergeCell ref="C79:F79"/>
    <mergeCell ref="A81:B81"/>
    <mergeCell ref="A84:B84"/>
    <mergeCell ref="A85:B85"/>
    <mergeCell ref="A88:B88"/>
    <mergeCell ref="E91:F91"/>
    <mergeCell ref="C92:F92"/>
    <mergeCell ref="A94:B94"/>
    <mergeCell ref="E117:F117"/>
    <mergeCell ref="A108:A109"/>
    <mergeCell ref="A112:A113"/>
    <mergeCell ref="A97:B97"/>
    <mergeCell ref="A98:B98"/>
    <mergeCell ref="A101:B101"/>
    <mergeCell ref="E104:F104"/>
    <mergeCell ref="C105:F105"/>
    <mergeCell ref="A99:A100"/>
    <mergeCell ref="C118:F118"/>
    <mergeCell ref="A120:B120"/>
    <mergeCell ref="A123:B123"/>
    <mergeCell ref="A124:B124"/>
    <mergeCell ref="A127:B127"/>
    <mergeCell ref="A121:A122"/>
    <mergeCell ref="A125:A126"/>
    <mergeCell ref="E130:F130"/>
    <mergeCell ref="C131:F131"/>
    <mergeCell ref="A133:B133"/>
    <mergeCell ref="A136:B136"/>
    <mergeCell ref="A137:B137"/>
    <mergeCell ref="A134:A135"/>
    <mergeCell ref="A140:B140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A138:A139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  <mergeCell ref="A131:B132"/>
    <mergeCell ref="A107:B107"/>
    <mergeCell ref="A110:B110"/>
    <mergeCell ref="A111:B111"/>
    <mergeCell ref="A114:B114"/>
  </mergeCells>
  <phoneticPr fontId="4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38" customWidth="1"/>
    <col min="2" max="2" width="28.5" style="138" customWidth="1"/>
    <col min="3" max="4" width="9.125" style="138"/>
    <col min="5" max="5" width="13.875" style="138" customWidth="1"/>
    <col min="6" max="12" width="16.125" style="138" customWidth="1"/>
    <col min="13" max="13" width="10.625" style="138" customWidth="1"/>
    <col min="14" max="254" width="9.125" style="138"/>
    <col min="255" max="255" width="8" style="138" customWidth="1"/>
    <col min="256" max="256" width="28.5" style="138" customWidth="1"/>
    <col min="257" max="268" width="9.125" style="138"/>
    <col min="269" max="269" width="10.625" style="138" customWidth="1"/>
    <col min="270" max="510" width="9.125" style="138"/>
    <col min="511" max="511" width="8" style="138" customWidth="1"/>
    <col min="512" max="512" width="28.5" style="138" customWidth="1"/>
    <col min="513" max="524" width="9.125" style="138"/>
    <col min="525" max="525" width="10.625" style="138" customWidth="1"/>
    <col min="526" max="766" width="9.125" style="138"/>
    <col min="767" max="767" width="8" style="138" customWidth="1"/>
    <col min="768" max="768" width="28.5" style="138" customWidth="1"/>
    <col min="769" max="780" width="9.125" style="138"/>
    <col min="781" max="781" width="10.625" style="138" customWidth="1"/>
    <col min="782" max="1022" width="9.125" style="138"/>
    <col min="1023" max="1023" width="8" style="138" customWidth="1"/>
    <col min="1024" max="1024" width="28.5" style="138" customWidth="1"/>
    <col min="1025" max="1036" width="9.125" style="138"/>
    <col min="1037" max="1037" width="10.625" style="138" customWidth="1"/>
    <col min="1038" max="1278" width="9.125" style="138"/>
    <col min="1279" max="1279" width="8" style="138" customWidth="1"/>
    <col min="1280" max="1280" width="28.5" style="138" customWidth="1"/>
    <col min="1281" max="1292" width="9.125" style="138"/>
    <col min="1293" max="1293" width="10.625" style="138" customWidth="1"/>
    <col min="1294" max="1534" width="9.125" style="138"/>
    <col min="1535" max="1535" width="8" style="138" customWidth="1"/>
    <col min="1536" max="1536" width="28.5" style="138" customWidth="1"/>
    <col min="1537" max="1548" width="9.125" style="138"/>
    <col min="1549" max="1549" width="10.625" style="138" customWidth="1"/>
    <col min="1550" max="1790" width="9.125" style="138"/>
    <col min="1791" max="1791" width="8" style="138" customWidth="1"/>
    <col min="1792" max="1792" width="28.5" style="138" customWidth="1"/>
    <col min="1793" max="1804" width="9.125" style="138"/>
    <col min="1805" max="1805" width="10.625" style="138" customWidth="1"/>
    <col min="1806" max="2046" width="9.125" style="138"/>
    <col min="2047" max="2047" width="8" style="138" customWidth="1"/>
    <col min="2048" max="2048" width="28.5" style="138" customWidth="1"/>
    <col min="2049" max="2060" width="9.125" style="138"/>
    <col min="2061" max="2061" width="10.625" style="138" customWidth="1"/>
    <col min="2062" max="2302" width="9.125" style="138"/>
    <col min="2303" max="2303" width="8" style="138" customWidth="1"/>
    <col min="2304" max="2304" width="28.5" style="138" customWidth="1"/>
    <col min="2305" max="2316" width="9.125" style="138"/>
    <col min="2317" max="2317" width="10.625" style="138" customWidth="1"/>
    <col min="2318" max="2558" width="9.125" style="138"/>
    <col min="2559" max="2559" width="8" style="138" customWidth="1"/>
    <col min="2560" max="2560" width="28.5" style="138" customWidth="1"/>
    <col min="2561" max="2572" width="9.125" style="138"/>
    <col min="2573" max="2573" width="10.625" style="138" customWidth="1"/>
    <col min="2574" max="2814" width="9.125" style="138"/>
    <col min="2815" max="2815" width="8" style="138" customWidth="1"/>
    <col min="2816" max="2816" width="28.5" style="138" customWidth="1"/>
    <col min="2817" max="2828" width="9.125" style="138"/>
    <col min="2829" max="2829" width="10.625" style="138" customWidth="1"/>
    <col min="2830" max="3070" width="9.125" style="138"/>
    <col min="3071" max="3071" width="8" style="138" customWidth="1"/>
    <col min="3072" max="3072" width="28.5" style="138" customWidth="1"/>
    <col min="3073" max="3084" width="9.125" style="138"/>
    <col min="3085" max="3085" width="10.625" style="138" customWidth="1"/>
    <col min="3086" max="3326" width="9.125" style="138"/>
    <col min="3327" max="3327" width="8" style="138" customWidth="1"/>
    <col min="3328" max="3328" width="28.5" style="138" customWidth="1"/>
    <col min="3329" max="3340" width="9.125" style="138"/>
    <col min="3341" max="3341" width="10.625" style="138" customWidth="1"/>
    <col min="3342" max="3582" width="9.125" style="138"/>
    <col min="3583" max="3583" width="8" style="138" customWidth="1"/>
    <col min="3584" max="3584" width="28.5" style="138" customWidth="1"/>
    <col min="3585" max="3596" width="9.125" style="138"/>
    <col min="3597" max="3597" width="10.625" style="138" customWidth="1"/>
    <col min="3598" max="3838" width="9.125" style="138"/>
    <col min="3839" max="3839" width="8" style="138" customWidth="1"/>
    <col min="3840" max="3840" width="28.5" style="138" customWidth="1"/>
    <col min="3841" max="3852" width="9.125" style="138"/>
    <col min="3853" max="3853" width="10.625" style="138" customWidth="1"/>
    <col min="3854" max="4094" width="9.125" style="138"/>
    <col min="4095" max="4095" width="8" style="138" customWidth="1"/>
    <col min="4096" max="4096" width="28.5" style="138" customWidth="1"/>
    <col min="4097" max="4108" width="9.125" style="138"/>
    <col min="4109" max="4109" width="10.625" style="138" customWidth="1"/>
    <col min="4110" max="4350" width="9.125" style="138"/>
    <col min="4351" max="4351" width="8" style="138" customWidth="1"/>
    <col min="4352" max="4352" width="28.5" style="138" customWidth="1"/>
    <col min="4353" max="4364" width="9.125" style="138"/>
    <col min="4365" max="4365" width="10.625" style="138" customWidth="1"/>
    <col min="4366" max="4606" width="9.125" style="138"/>
    <col min="4607" max="4607" width="8" style="138" customWidth="1"/>
    <col min="4608" max="4608" width="28.5" style="138" customWidth="1"/>
    <col min="4609" max="4620" width="9.125" style="138"/>
    <col min="4621" max="4621" width="10.625" style="138" customWidth="1"/>
    <col min="4622" max="4862" width="9.125" style="138"/>
    <col min="4863" max="4863" width="8" style="138" customWidth="1"/>
    <col min="4864" max="4864" width="28.5" style="138" customWidth="1"/>
    <col min="4865" max="4876" width="9.125" style="138"/>
    <col min="4877" max="4877" width="10.625" style="138" customWidth="1"/>
    <col min="4878" max="5118" width="9.125" style="138"/>
    <col min="5119" max="5119" width="8" style="138" customWidth="1"/>
    <col min="5120" max="5120" width="28.5" style="138" customWidth="1"/>
    <col min="5121" max="5132" width="9.125" style="138"/>
    <col min="5133" max="5133" width="10.625" style="138" customWidth="1"/>
    <col min="5134" max="5374" width="9.125" style="138"/>
    <col min="5375" max="5375" width="8" style="138" customWidth="1"/>
    <col min="5376" max="5376" width="28.5" style="138" customWidth="1"/>
    <col min="5377" max="5388" width="9.125" style="138"/>
    <col min="5389" max="5389" width="10.625" style="138" customWidth="1"/>
    <col min="5390" max="5630" width="9.125" style="138"/>
    <col min="5631" max="5631" width="8" style="138" customWidth="1"/>
    <col min="5632" max="5632" width="28.5" style="138" customWidth="1"/>
    <col min="5633" max="5644" width="9.125" style="138"/>
    <col min="5645" max="5645" width="10.625" style="138" customWidth="1"/>
    <col min="5646" max="5886" width="9.125" style="138"/>
    <col min="5887" max="5887" width="8" style="138" customWidth="1"/>
    <col min="5888" max="5888" width="28.5" style="138" customWidth="1"/>
    <col min="5889" max="5900" width="9.125" style="138"/>
    <col min="5901" max="5901" width="10.625" style="138" customWidth="1"/>
    <col min="5902" max="6142" width="9.125" style="138"/>
    <col min="6143" max="6143" width="8" style="138" customWidth="1"/>
    <col min="6144" max="6144" width="28.5" style="138" customWidth="1"/>
    <col min="6145" max="6156" width="9.125" style="138"/>
    <col min="6157" max="6157" width="10.625" style="138" customWidth="1"/>
    <col min="6158" max="6398" width="9.125" style="138"/>
    <col min="6399" max="6399" width="8" style="138" customWidth="1"/>
    <col min="6400" max="6400" width="28.5" style="138" customWidth="1"/>
    <col min="6401" max="6412" width="9.125" style="138"/>
    <col min="6413" max="6413" width="10.625" style="138" customWidth="1"/>
    <col min="6414" max="6654" width="9.125" style="138"/>
    <col min="6655" max="6655" width="8" style="138" customWidth="1"/>
    <col min="6656" max="6656" width="28.5" style="138" customWidth="1"/>
    <col min="6657" max="6668" width="9.125" style="138"/>
    <col min="6669" max="6669" width="10.625" style="138" customWidth="1"/>
    <col min="6670" max="6910" width="9.125" style="138"/>
    <col min="6911" max="6911" width="8" style="138" customWidth="1"/>
    <col min="6912" max="6912" width="28.5" style="138" customWidth="1"/>
    <col min="6913" max="6924" width="9.125" style="138"/>
    <col min="6925" max="6925" width="10.625" style="138" customWidth="1"/>
    <col min="6926" max="7166" width="9.125" style="138"/>
    <col min="7167" max="7167" width="8" style="138" customWidth="1"/>
    <col min="7168" max="7168" width="28.5" style="138" customWidth="1"/>
    <col min="7169" max="7180" width="9.125" style="138"/>
    <col min="7181" max="7181" width="10.625" style="138" customWidth="1"/>
    <col min="7182" max="7422" width="9.125" style="138"/>
    <col min="7423" max="7423" width="8" style="138" customWidth="1"/>
    <col min="7424" max="7424" width="28.5" style="138" customWidth="1"/>
    <col min="7425" max="7436" width="9.125" style="138"/>
    <col min="7437" max="7437" width="10.625" style="138" customWidth="1"/>
    <col min="7438" max="7678" width="9.125" style="138"/>
    <col min="7679" max="7679" width="8" style="138" customWidth="1"/>
    <col min="7680" max="7680" width="28.5" style="138" customWidth="1"/>
    <col min="7681" max="7692" width="9.125" style="138"/>
    <col min="7693" max="7693" width="10.625" style="138" customWidth="1"/>
    <col min="7694" max="7934" width="9.125" style="138"/>
    <col min="7935" max="7935" width="8" style="138" customWidth="1"/>
    <col min="7936" max="7936" width="28.5" style="138" customWidth="1"/>
    <col min="7937" max="7948" width="9.125" style="138"/>
    <col min="7949" max="7949" width="10.625" style="138" customWidth="1"/>
    <col min="7950" max="8190" width="9.125" style="138"/>
    <col min="8191" max="8191" width="8" style="138" customWidth="1"/>
    <col min="8192" max="8192" width="28.5" style="138" customWidth="1"/>
    <col min="8193" max="8204" width="9.125" style="138"/>
    <col min="8205" max="8205" width="10.625" style="138" customWidth="1"/>
    <col min="8206" max="8446" width="9.125" style="138"/>
    <col min="8447" max="8447" width="8" style="138" customWidth="1"/>
    <col min="8448" max="8448" width="28.5" style="138" customWidth="1"/>
    <col min="8449" max="8460" width="9.125" style="138"/>
    <col min="8461" max="8461" width="10.625" style="138" customWidth="1"/>
    <col min="8462" max="8702" width="9.125" style="138"/>
    <col min="8703" max="8703" width="8" style="138" customWidth="1"/>
    <col min="8704" max="8704" width="28.5" style="138" customWidth="1"/>
    <col min="8705" max="8716" width="9.125" style="138"/>
    <col min="8717" max="8717" width="10.625" style="138" customWidth="1"/>
    <col min="8718" max="8958" width="9.125" style="138"/>
    <col min="8959" max="8959" width="8" style="138" customWidth="1"/>
    <col min="8960" max="8960" width="28.5" style="138" customWidth="1"/>
    <col min="8961" max="8972" width="9.125" style="138"/>
    <col min="8973" max="8973" width="10.625" style="138" customWidth="1"/>
    <col min="8974" max="9214" width="9.125" style="138"/>
    <col min="9215" max="9215" width="8" style="138" customWidth="1"/>
    <col min="9216" max="9216" width="28.5" style="138" customWidth="1"/>
    <col min="9217" max="9228" width="9.125" style="138"/>
    <col min="9229" max="9229" width="10.625" style="138" customWidth="1"/>
    <col min="9230" max="9470" width="9.125" style="138"/>
    <col min="9471" max="9471" width="8" style="138" customWidth="1"/>
    <col min="9472" max="9472" width="28.5" style="138" customWidth="1"/>
    <col min="9473" max="9484" width="9.125" style="138"/>
    <col min="9485" max="9485" width="10.625" style="138" customWidth="1"/>
    <col min="9486" max="9726" width="9.125" style="138"/>
    <col min="9727" max="9727" width="8" style="138" customWidth="1"/>
    <col min="9728" max="9728" width="28.5" style="138" customWidth="1"/>
    <col min="9729" max="9740" width="9.125" style="138"/>
    <col min="9741" max="9741" width="10.625" style="138" customWidth="1"/>
    <col min="9742" max="9982" width="9.125" style="138"/>
    <col min="9983" max="9983" width="8" style="138" customWidth="1"/>
    <col min="9984" max="9984" width="28.5" style="138" customWidth="1"/>
    <col min="9985" max="9996" width="9.125" style="138"/>
    <col min="9997" max="9997" width="10.625" style="138" customWidth="1"/>
    <col min="9998" max="10238" width="9.125" style="138"/>
    <col min="10239" max="10239" width="8" style="138" customWidth="1"/>
    <col min="10240" max="10240" width="28.5" style="138" customWidth="1"/>
    <col min="10241" max="10252" width="9.125" style="138"/>
    <col min="10253" max="10253" width="10.625" style="138" customWidth="1"/>
    <col min="10254" max="10494" width="9.125" style="138"/>
    <col min="10495" max="10495" width="8" style="138" customWidth="1"/>
    <col min="10496" max="10496" width="28.5" style="138" customWidth="1"/>
    <col min="10497" max="10508" width="9.125" style="138"/>
    <col min="10509" max="10509" width="10.625" style="138" customWidth="1"/>
    <col min="10510" max="10750" width="9.125" style="138"/>
    <col min="10751" max="10751" width="8" style="138" customWidth="1"/>
    <col min="10752" max="10752" width="28.5" style="138" customWidth="1"/>
    <col min="10753" max="10764" width="9.125" style="138"/>
    <col min="10765" max="10765" width="10.625" style="138" customWidth="1"/>
    <col min="10766" max="11006" width="9.125" style="138"/>
    <col min="11007" max="11007" width="8" style="138" customWidth="1"/>
    <col min="11008" max="11008" width="28.5" style="138" customWidth="1"/>
    <col min="11009" max="11020" width="9.125" style="138"/>
    <col min="11021" max="11021" width="10.625" style="138" customWidth="1"/>
    <col min="11022" max="11262" width="9.125" style="138"/>
    <col min="11263" max="11263" width="8" style="138" customWidth="1"/>
    <col min="11264" max="11264" width="28.5" style="138" customWidth="1"/>
    <col min="11265" max="11276" width="9.125" style="138"/>
    <col min="11277" max="11277" width="10.625" style="138" customWidth="1"/>
    <col min="11278" max="11518" width="9.125" style="138"/>
    <col min="11519" max="11519" width="8" style="138" customWidth="1"/>
    <col min="11520" max="11520" width="28.5" style="138" customWidth="1"/>
    <col min="11521" max="11532" width="9.125" style="138"/>
    <col min="11533" max="11533" width="10.625" style="138" customWidth="1"/>
    <col min="11534" max="11774" width="9.125" style="138"/>
    <col min="11775" max="11775" width="8" style="138" customWidth="1"/>
    <col min="11776" max="11776" width="28.5" style="138" customWidth="1"/>
    <col min="11777" max="11788" width="9.125" style="138"/>
    <col min="11789" max="11789" width="10.625" style="138" customWidth="1"/>
    <col min="11790" max="12030" width="9.125" style="138"/>
    <col min="12031" max="12031" width="8" style="138" customWidth="1"/>
    <col min="12032" max="12032" width="28.5" style="138" customWidth="1"/>
    <col min="12033" max="12044" width="9.125" style="138"/>
    <col min="12045" max="12045" width="10.625" style="138" customWidth="1"/>
    <col min="12046" max="12286" width="9.125" style="138"/>
    <col min="12287" max="12287" width="8" style="138" customWidth="1"/>
    <col min="12288" max="12288" width="28.5" style="138" customWidth="1"/>
    <col min="12289" max="12300" width="9.125" style="138"/>
    <col min="12301" max="12301" width="10.625" style="138" customWidth="1"/>
    <col min="12302" max="12542" width="9.125" style="138"/>
    <col min="12543" max="12543" width="8" style="138" customWidth="1"/>
    <col min="12544" max="12544" width="28.5" style="138" customWidth="1"/>
    <col min="12545" max="12556" width="9.125" style="138"/>
    <col min="12557" max="12557" width="10.625" style="138" customWidth="1"/>
    <col min="12558" max="12798" width="9.125" style="138"/>
    <col min="12799" max="12799" width="8" style="138" customWidth="1"/>
    <col min="12800" max="12800" width="28.5" style="138" customWidth="1"/>
    <col min="12801" max="12812" width="9.125" style="138"/>
    <col min="12813" max="12813" width="10.625" style="138" customWidth="1"/>
    <col min="12814" max="13054" width="9.125" style="138"/>
    <col min="13055" max="13055" width="8" style="138" customWidth="1"/>
    <col min="13056" max="13056" width="28.5" style="138" customWidth="1"/>
    <col min="13057" max="13068" width="9.125" style="138"/>
    <col min="13069" max="13069" width="10.625" style="138" customWidth="1"/>
    <col min="13070" max="13310" width="9.125" style="138"/>
    <col min="13311" max="13311" width="8" style="138" customWidth="1"/>
    <col min="13312" max="13312" width="28.5" style="138" customWidth="1"/>
    <col min="13313" max="13324" width="9.125" style="138"/>
    <col min="13325" max="13325" width="10.625" style="138" customWidth="1"/>
    <col min="13326" max="13566" width="9.125" style="138"/>
    <col min="13567" max="13567" width="8" style="138" customWidth="1"/>
    <col min="13568" max="13568" width="28.5" style="138" customWidth="1"/>
    <col min="13569" max="13580" width="9.125" style="138"/>
    <col min="13581" max="13581" width="10.625" style="138" customWidth="1"/>
    <col min="13582" max="13822" width="9.125" style="138"/>
    <col min="13823" max="13823" width="8" style="138" customWidth="1"/>
    <col min="13824" max="13824" width="28.5" style="138" customWidth="1"/>
    <col min="13825" max="13836" width="9.125" style="138"/>
    <col min="13837" max="13837" width="10.625" style="138" customWidth="1"/>
    <col min="13838" max="14078" width="9.125" style="138"/>
    <col min="14079" max="14079" width="8" style="138" customWidth="1"/>
    <col min="14080" max="14080" width="28.5" style="138" customWidth="1"/>
    <col min="14081" max="14092" width="9.125" style="138"/>
    <col min="14093" max="14093" width="10.625" style="138" customWidth="1"/>
    <col min="14094" max="14334" width="9.125" style="138"/>
    <col min="14335" max="14335" width="8" style="138" customWidth="1"/>
    <col min="14336" max="14336" width="28.5" style="138" customWidth="1"/>
    <col min="14337" max="14348" width="9.125" style="138"/>
    <col min="14349" max="14349" width="10.625" style="138" customWidth="1"/>
    <col min="14350" max="14590" width="9.125" style="138"/>
    <col min="14591" max="14591" width="8" style="138" customWidth="1"/>
    <col min="14592" max="14592" width="28.5" style="138" customWidth="1"/>
    <col min="14593" max="14604" width="9.125" style="138"/>
    <col min="14605" max="14605" width="10.625" style="138" customWidth="1"/>
    <col min="14606" max="14846" width="9.125" style="138"/>
    <col min="14847" max="14847" width="8" style="138" customWidth="1"/>
    <col min="14848" max="14848" width="28.5" style="138" customWidth="1"/>
    <col min="14849" max="14860" width="9.125" style="138"/>
    <col min="14861" max="14861" width="10.625" style="138" customWidth="1"/>
    <col min="14862" max="15102" width="9.125" style="138"/>
    <col min="15103" max="15103" width="8" style="138" customWidth="1"/>
    <col min="15104" max="15104" width="28.5" style="138" customWidth="1"/>
    <col min="15105" max="15116" width="9.125" style="138"/>
    <col min="15117" max="15117" width="10.625" style="138" customWidth="1"/>
    <col min="15118" max="15358" width="9.125" style="138"/>
    <col min="15359" max="15359" width="8" style="138" customWidth="1"/>
    <col min="15360" max="15360" width="28.5" style="138" customWidth="1"/>
    <col min="15361" max="15372" width="9.125" style="138"/>
    <col min="15373" max="15373" width="10.625" style="138" customWidth="1"/>
    <col min="15374" max="15614" width="9.125" style="138"/>
    <col min="15615" max="15615" width="8" style="138" customWidth="1"/>
    <col min="15616" max="15616" width="28.5" style="138" customWidth="1"/>
    <col min="15617" max="15628" width="9.125" style="138"/>
    <col min="15629" max="15629" width="10.625" style="138" customWidth="1"/>
    <col min="15630" max="15870" width="9.125" style="138"/>
    <col min="15871" max="15871" width="8" style="138" customWidth="1"/>
    <col min="15872" max="15872" width="28.5" style="138" customWidth="1"/>
    <col min="15873" max="15884" width="9.125" style="138"/>
    <col min="15885" max="15885" width="10.625" style="138" customWidth="1"/>
    <col min="15886" max="16126" width="9.125" style="138"/>
    <col min="16127" max="16127" width="8" style="138" customWidth="1"/>
    <col min="16128" max="16128" width="28.5" style="138" customWidth="1"/>
    <col min="16129" max="16140" width="9.125" style="138"/>
    <col min="16141" max="16141" width="10.625" style="138" customWidth="1"/>
    <col min="16142" max="16384" width="9.125" style="138"/>
  </cols>
  <sheetData>
    <row r="1" spans="1:13" ht="18.75">
      <c r="A1" s="139" t="s">
        <v>15</v>
      </c>
      <c r="B1" s="140"/>
      <c r="C1" s="141"/>
      <c r="D1" s="141"/>
      <c r="E1" s="140"/>
      <c r="F1" s="141"/>
      <c r="G1" s="141"/>
      <c r="H1" s="140"/>
      <c r="I1" s="141"/>
      <c r="J1" s="141"/>
      <c r="K1" s="141"/>
      <c r="L1" s="141"/>
      <c r="M1" s="141"/>
    </row>
    <row r="2" spans="1:13" ht="12">
      <c r="A2" s="138" t="s">
        <v>16</v>
      </c>
      <c r="B2" s="142"/>
    </row>
    <row r="3" spans="1:13" ht="16.899999999999999" customHeight="1">
      <c r="A3" s="143" t="s">
        <v>17</v>
      </c>
      <c r="B3" s="143" t="s">
        <v>18</v>
      </c>
      <c r="C3" s="194" t="s">
        <v>19</v>
      </c>
      <c r="D3" s="194"/>
      <c r="E3" s="194"/>
      <c r="F3" s="145"/>
      <c r="G3" s="146"/>
      <c r="H3" s="147"/>
      <c r="I3" s="147"/>
      <c r="J3" s="147" t="s">
        <v>20</v>
      </c>
      <c r="K3" s="147"/>
      <c r="L3" s="147"/>
      <c r="M3" s="168"/>
    </row>
    <row r="4" spans="1:13" ht="16.149999999999999" customHeight="1">
      <c r="A4" s="148"/>
      <c r="B4" s="148" t="s">
        <v>21</v>
      </c>
      <c r="C4" s="144">
        <v>2017</v>
      </c>
      <c r="D4" s="144">
        <f t="shared" ref="D4:L4" si="0">C4+1</f>
        <v>2018</v>
      </c>
      <c r="E4" s="144">
        <f t="shared" si="0"/>
        <v>2019</v>
      </c>
      <c r="F4" s="144">
        <f t="shared" si="0"/>
        <v>2020</v>
      </c>
      <c r="G4" s="144">
        <f t="shared" si="0"/>
        <v>2021</v>
      </c>
      <c r="H4" s="149">
        <f t="shared" si="0"/>
        <v>2022</v>
      </c>
      <c r="I4" s="149">
        <f t="shared" si="0"/>
        <v>2023</v>
      </c>
      <c r="J4" s="149">
        <f t="shared" si="0"/>
        <v>2024</v>
      </c>
      <c r="K4" s="149">
        <f t="shared" si="0"/>
        <v>2025</v>
      </c>
      <c r="L4" s="149">
        <f t="shared" si="0"/>
        <v>2026</v>
      </c>
      <c r="M4" s="169" t="s">
        <v>22</v>
      </c>
    </row>
    <row r="5" spans="1:13" ht="15.6" customHeight="1">
      <c r="A5" s="150">
        <v>1</v>
      </c>
      <c r="B5" s="151" t="s">
        <v>23</v>
      </c>
      <c r="C5" s="152">
        <f>SUM(C6:C9)</f>
        <v>0</v>
      </c>
      <c r="D5" s="152">
        <f t="shared" ref="D5:L5" si="1">SUM(D6:D9)</f>
        <v>0</v>
      </c>
      <c r="E5" s="152" t="e">
        <f t="shared" si="1"/>
        <v>#REF!</v>
      </c>
      <c r="F5" s="152" t="e">
        <f t="shared" si="1"/>
        <v>#REF!</v>
      </c>
      <c r="G5" s="152" t="e">
        <f t="shared" si="1"/>
        <v>#REF!</v>
      </c>
      <c r="H5" s="152" t="e">
        <f t="shared" si="1"/>
        <v>#REF!</v>
      </c>
      <c r="I5" s="152" t="e">
        <f t="shared" si="1"/>
        <v>#REF!</v>
      </c>
      <c r="J5" s="152" t="e">
        <f t="shared" si="1"/>
        <v>#REF!</v>
      </c>
      <c r="K5" s="152" t="e">
        <f t="shared" si="1"/>
        <v>#REF!</v>
      </c>
      <c r="L5" s="152" t="e">
        <f t="shared" si="1"/>
        <v>#REF!</v>
      </c>
      <c r="M5" s="156" t="e">
        <f t="shared" ref="M5:M17" si="2">SUM(C5:L5)</f>
        <v>#REF!</v>
      </c>
    </row>
    <row r="6" spans="1:13" ht="15.6" customHeight="1">
      <c r="A6" s="150">
        <v>1.1000000000000001</v>
      </c>
      <c r="B6" s="153" t="s">
        <v>24</v>
      </c>
      <c r="C6" s="154"/>
      <c r="D6" s="154"/>
      <c r="E6" s="154" t="e">
        <f>#REF!</f>
        <v>#REF!</v>
      </c>
      <c r="F6" s="154" t="e">
        <f>#REF!</f>
        <v>#REF!</v>
      </c>
      <c r="G6" s="154" t="e">
        <f>#REF!</f>
        <v>#REF!</v>
      </c>
      <c r="H6" s="154" t="e">
        <f>#REF!</f>
        <v>#REF!</v>
      </c>
      <c r="I6" s="154" t="e">
        <f>#REF!</f>
        <v>#REF!</v>
      </c>
      <c r="J6" s="154" t="e">
        <f>#REF!</f>
        <v>#REF!</v>
      </c>
      <c r="K6" s="154" t="e">
        <f>#REF!</f>
        <v>#REF!</v>
      </c>
      <c r="L6" s="154" t="e">
        <f>#REF!</f>
        <v>#REF!</v>
      </c>
      <c r="M6" s="156" t="e">
        <f t="shared" si="2"/>
        <v>#REF!</v>
      </c>
    </row>
    <row r="7" spans="1:13" ht="15.6" customHeight="1">
      <c r="A7" s="150">
        <v>1.2</v>
      </c>
      <c r="B7" s="153" t="s">
        <v>25</v>
      </c>
      <c r="C7" s="154"/>
      <c r="D7" s="154"/>
      <c r="E7" s="154">
        <f>[1]折、摊!G18</f>
        <v>0</v>
      </c>
      <c r="F7" s="154">
        <f>[1]折、摊!H18</f>
        <v>0</v>
      </c>
      <c r="G7" s="154">
        <f>[1]折、摊!I18</f>
        <v>0</v>
      </c>
      <c r="H7" s="154">
        <f>[1]折、摊!J18</f>
        <v>0</v>
      </c>
      <c r="I7" s="154">
        <f>[1]折、摊!K18</f>
        <v>0</v>
      </c>
      <c r="J7" s="154">
        <f>[1]折、摊!L18</f>
        <v>0</v>
      </c>
      <c r="K7" s="154">
        <f>[1]折、摊!M18</f>
        <v>0</v>
      </c>
      <c r="L7" s="154">
        <f>[1]折、摊!N18</f>
        <v>0</v>
      </c>
      <c r="M7" s="156">
        <f t="shared" si="2"/>
        <v>0</v>
      </c>
    </row>
    <row r="8" spans="1:13" ht="15.6" customHeight="1">
      <c r="A8" s="150">
        <v>1.3</v>
      </c>
      <c r="B8" s="153" t="s">
        <v>26</v>
      </c>
      <c r="C8" s="154" t="s">
        <v>27</v>
      </c>
      <c r="D8" s="154" t="s">
        <v>27</v>
      </c>
      <c r="E8" s="154" t="s">
        <v>27</v>
      </c>
      <c r="F8" s="154" t="s">
        <v>27</v>
      </c>
      <c r="G8" s="154" t="s">
        <v>27</v>
      </c>
      <c r="H8" s="154" t="s">
        <v>27</v>
      </c>
      <c r="I8" s="154" t="s">
        <v>27</v>
      </c>
      <c r="J8" s="154" t="s">
        <v>27</v>
      </c>
      <c r="K8" s="154" t="s">
        <v>27</v>
      </c>
      <c r="L8" s="154"/>
      <c r="M8" s="156">
        <f t="shared" si="2"/>
        <v>0</v>
      </c>
    </row>
    <row r="9" spans="1:13" s="137" customFormat="1" ht="15.6" customHeight="1">
      <c r="A9" s="155">
        <v>1.4</v>
      </c>
      <c r="B9" s="156" t="s">
        <v>28</v>
      </c>
      <c r="C9" s="154" t="s">
        <v>27</v>
      </c>
      <c r="D9" s="154" t="s">
        <v>27</v>
      </c>
      <c r="E9" s="154" t="s">
        <v>27</v>
      </c>
      <c r="F9" s="154" t="s">
        <v>27</v>
      </c>
      <c r="G9" s="154" t="s">
        <v>27</v>
      </c>
      <c r="H9" s="154" t="s">
        <v>27</v>
      </c>
      <c r="I9" s="154" t="s">
        <v>27</v>
      </c>
      <c r="J9" s="154" t="s">
        <v>27</v>
      </c>
      <c r="K9" s="154" t="s">
        <v>27</v>
      </c>
      <c r="L9" s="154" t="s">
        <v>27</v>
      </c>
      <c r="M9" s="156">
        <f t="shared" si="2"/>
        <v>0</v>
      </c>
    </row>
    <row r="10" spans="1:13" ht="15.6" customHeight="1">
      <c r="A10" s="155">
        <v>2</v>
      </c>
      <c r="B10" s="151" t="s">
        <v>29</v>
      </c>
      <c r="C10" s="152">
        <f t="shared" ref="C10:L10" si="3">SUM(C11:C16)</f>
        <v>0</v>
      </c>
      <c r="D10" s="152">
        <f t="shared" si="3"/>
        <v>0</v>
      </c>
      <c r="E10" s="152">
        <f t="shared" si="3"/>
        <v>0</v>
      </c>
      <c r="F10" s="152">
        <f t="shared" si="3"/>
        <v>0</v>
      </c>
      <c r="G10" s="152">
        <f t="shared" si="3"/>
        <v>0</v>
      </c>
      <c r="H10" s="152">
        <f t="shared" si="3"/>
        <v>0</v>
      </c>
      <c r="I10" s="152">
        <f t="shared" si="3"/>
        <v>0</v>
      </c>
      <c r="J10" s="152">
        <f t="shared" si="3"/>
        <v>0</v>
      </c>
      <c r="K10" s="152">
        <f t="shared" si="3"/>
        <v>0</v>
      </c>
      <c r="L10" s="152">
        <f t="shared" si="3"/>
        <v>0</v>
      </c>
      <c r="M10" s="156">
        <f t="shared" si="2"/>
        <v>0</v>
      </c>
    </row>
    <row r="11" spans="1:13" ht="15" customHeight="1">
      <c r="A11" s="150">
        <v>2.1</v>
      </c>
      <c r="B11" s="150" t="s">
        <v>30</v>
      </c>
      <c r="C11" s="154">
        <f>([1]计划!C6-[1]计划!C7)</f>
        <v>0</v>
      </c>
      <c r="D11" s="154">
        <f>([1]计划!D6-[1]计划!D7)</f>
        <v>0</v>
      </c>
      <c r="E11" s="154">
        <f>([1]计划!E6-[1]计划!E7)</f>
        <v>0</v>
      </c>
      <c r="F11" s="154">
        <f>([1]计划!F6-[1]计划!F7)</f>
        <v>0</v>
      </c>
      <c r="G11" s="154">
        <f>([1]计划!G6-[1]计划!G7)</f>
        <v>0</v>
      </c>
      <c r="H11" s="154">
        <f>([1]计划!H6-[1]计划!H7)</f>
        <v>0</v>
      </c>
      <c r="I11" s="154">
        <f>([1]计划!I6-[1]计划!I7)</f>
        <v>0</v>
      </c>
      <c r="J11" s="154">
        <f>([1]计划!J6-[1]计划!J7)</f>
        <v>0</v>
      </c>
      <c r="K11" s="154">
        <f>([1]计划!K6-[1]计划!K7)</f>
        <v>0</v>
      </c>
      <c r="L11" s="154">
        <f>([1]计划!L6-[1]计划!L7)</f>
        <v>0</v>
      </c>
      <c r="M11" s="156">
        <f t="shared" si="2"/>
        <v>0</v>
      </c>
    </row>
    <row r="12" spans="1:13" s="137" customFormat="1" ht="15" customHeight="1">
      <c r="A12" s="150">
        <v>2.2000000000000002</v>
      </c>
      <c r="B12" s="156" t="s">
        <v>31</v>
      </c>
      <c r="C12" s="154">
        <f>[1]计划!C8</f>
        <v>0</v>
      </c>
      <c r="D12" s="154">
        <f>[1]计划!D8</f>
        <v>0</v>
      </c>
      <c r="E12" s="154">
        <f>[1]计划!E8</f>
        <v>0</v>
      </c>
      <c r="F12" s="154">
        <f>[1]计划!F8</f>
        <v>0</v>
      </c>
      <c r="G12" s="154">
        <f>[1]计划!G8</f>
        <v>0</v>
      </c>
      <c r="H12" s="154">
        <f>[1]计划!H8</f>
        <v>0</v>
      </c>
      <c r="I12" s="154">
        <f>[1]计划!I8</f>
        <v>0</v>
      </c>
      <c r="J12" s="154">
        <f>[1]计划!J8</f>
        <v>0</v>
      </c>
      <c r="K12" s="154">
        <f>[1]计划!K8</f>
        <v>0</v>
      </c>
      <c r="L12" s="154">
        <f>[1]计划!L8</f>
        <v>0</v>
      </c>
      <c r="M12" s="156">
        <f t="shared" si="2"/>
        <v>0</v>
      </c>
    </row>
    <row r="13" spans="1:13" ht="15" customHeight="1">
      <c r="A13" s="150">
        <v>2.2999999999999998</v>
      </c>
      <c r="B13" s="153" t="s">
        <v>32</v>
      </c>
      <c r="C13" s="154">
        <f>[1]总成本!C22</f>
        <v>0</v>
      </c>
      <c r="D13" s="154">
        <f>[1]总成本!D22</f>
        <v>0</v>
      </c>
      <c r="E13" s="154">
        <f>[1]总成本!E22</f>
        <v>0</v>
      </c>
      <c r="F13" s="154">
        <f>[1]总成本!F22</f>
        <v>0</v>
      </c>
      <c r="G13" s="154">
        <f>[1]总成本!G22</f>
        <v>0</v>
      </c>
      <c r="H13" s="154">
        <f>[1]总成本!H22</f>
        <v>0</v>
      </c>
      <c r="I13" s="154">
        <f>[1]总成本!I22</f>
        <v>0</v>
      </c>
      <c r="J13" s="154">
        <f>[1]总成本!J22</f>
        <v>0</v>
      </c>
      <c r="K13" s="154">
        <f>[1]总成本!K22</f>
        <v>0</v>
      </c>
      <c r="L13" s="154">
        <f>[1]总成本!L22</f>
        <v>0</v>
      </c>
      <c r="M13" s="156">
        <f t="shared" si="2"/>
        <v>0</v>
      </c>
    </row>
    <row r="14" spans="1:13" ht="15" customHeight="1">
      <c r="A14" s="150">
        <v>2.4</v>
      </c>
      <c r="B14" s="153" t="s">
        <v>33</v>
      </c>
      <c r="C14" s="154">
        <f>[1]价格!D15</f>
        <v>0</v>
      </c>
      <c r="D14" s="154">
        <f>[1]价格!E15</f>
        <v>0</v>
      </c>
      <c r="E14" s="154">
        <f>[1]价格!F15</f>
        <v>0</v>
      </c>
      <c r="F14" s="154">
        <f>[1]价格!G15</f>
        <v>0</v>
      </c>
      <c r="G14" s="154">
        <f>[1]价格!H15</f>
        <v>0</v>
      </c>
      <c r="H14" s="154">
        <f>[1]价格!I15</f>
        <v>0</v>
      </c>
      <c r="I14" s="154">
        <f>[1]价格!J15</f>
        <v>0</v>
      </c>
      <c r="J14" s="154">
        <f>[1]价格!K15</f>
        <v>0</v>
      </c>
      <c r="K14" s="154">
        <f>[1]价格!L15</f>
        <v>0</v>
      </c>
      <c r="L14" s="154">
        <f>[1]价格!M15</f>
        <v>0</v>
      </c>
      <c r="M14" s="156">
        <f t="shared" si="2"/>
        <v>0</v>
      </c>
    </row>
    <row r="15" spans="1:13" ht="15" customHeight="1">
      <c r="A15" s="150">
        <v>2.5</v>
      </c>
      <c r="B15" s="153" t="s">
        <v>34</v>
      </c>
      <c r="C15" s="154">
        <f>[1]利润!C13</f>
        <v>0</v>
      </c>
      <c r="D15" s="154">
        <f>[1]利润!D13</f>
        <v>0</v>
      </c>
      <c r="E15" s="154">
        <f>[1]利润!E13</f>
        <v>0</v>
      </c>
      <c r="F15" s="154">
        <f>[1]利润!F13</f>
        <v>0</v>
      </c>
      <c r="G15" s="154">
        <f>[1]利润!G13</f>
        <v>0</v>
      </c>
      <c r="H15" s="154">
        <f>[1]利润!H13</f>
        <v>0</v>
      </c>
      <c r="I15" s="154">
        <f>[1]利润!I13</f>
        <v>0</v>
      </c>
      <c r="J15" s="154">
        <f>[1]利润!J13</f>
        <v>0</v>
      </c>
      <c r="K15" s="154">
        <f>[1]利润!K13</f>
        <v>0</v>
      </c>
      <c r="L15" s="154">
        <f>[1]利润!L13</f>
        <v>0</v>
      </c>
      <c r="M15" s="156">
        <f t="shared" si="2"/>
        <v>0</v>
      </c>
    </row>
    <row r="16" spans="1:13" ht="15" customHeight="1">
      <c r="A16" s="150">
        <v>2.6</v>
      </c>
      <c r="B16" s="153" t="s">
        <v>35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6">
        <f t="shared" si="2"/>
        <v>0</v>
      </c>
    </row>
    <row r="17" spans="1:18" ht="12">
      <c r="A17" s="150">
        <v>3</v>
      </c>
      <c r="B17" s="151" t="s">
        <v>36</v>
      </c>
      <c r="C17" s="152">
        <f t="shared" ref="C17:L17" si="4">C5-C10</f>
        <v>0</v>
      </c>
      <c r="D17" s="152">
        <f t="shared" si="4"/>
        <v>0</v>
      </c>
      <c r="E17" s="152" t="e">
        <f t="shared" si="4"/>
        <v>#REF!</v>
      </c>
      <c r="F17" s="152" t="e">
        <f t="shared" si="4"/>
        <v>#REF!</v>
      </c>
      <c r="G17" s="152" t="e">
        <f t="shared" si="4"/>
        <v>#REF!</v>
      </c>
      <c r="H17" s="152" t="e">
        <f t="shared" si="4"/>
        <v>#REF!</v>
      </c>
      <c r="I17" s="152" t="e">
        <f t="shared" si="4"/>
        <v>#REF!</v>
      </c>
      <c r="J17" s="152" t="e">
        <f t="shared" si="4"/>
        <v>#REF!</v>
      </c>
      <c r="K17" s="152" t="e">
        <f t="shared" si="4"/>
        <v>#REF!</v>
      </c>
      <c r="L17" s="152" t="e">
        <f t="shared" si="4"/>
        <v>#REF!</v>
      </c>
      <c r="M17" s="156" t="e">
        <f t="shared" si="2"/>
        <v>#REF!</v>
      </c>
    </row>
    <row r="18" spans="1:18" ht="12">
      <c r="A18" s="157">
        <v>4</v>
      </c>
      <c r="B18" s="153" t="s">
        <v>37</v>
      </c>
      <c r="C18" s="154">
        <f>C17</f>
        <v>0</v>
      </c>
      <c r="D18" s="154">
        <f t="shared" ref="D18:L18" si="5">C18+D17</f>
        <v>0</v>
      </c>
      <c r="E18" s="154" t="e">
        <f t="shared" si="5"/>
        <v>#REF!</v>
      </c>
      <c r="F18" s="154" t="e">
        <f t="shared" si="5"/>
        <v>#REF!</v>
      </c>
      <c r="G18" s="154" t="e">
        <f t="shared" si="5"/>
        <v>#REF!</v>
      </c>
      <c r="H18" s="154" t="e">
        <f t="shared" si="5"/>
        <v>#REF!</v>
      </c>
      <c r="I18" s="154" t="e">
        <f t="shared" si="5"/>
        <v>#REF!</v>
      </c>
      <c r="J18" s="154" t="e">
        <f t="shared" si="5"/>
        <v>#REF!</v>
      </c>
      <c r="K18" s="154" t="e">
        <f t="shared" si="5"/>
        <v>#REF!</v>
      </c>
      <c r="L18" s="154" t="e">
        <f t="shared" si="5"/>
        <v>#REF!</v>
      </c>
      <c r="M18" s="153" t="s">
        <v>27</v>
      </c>
    </row>
    <row r="19" spans="1:18" s="137" customFormat="1" ht="12">
      <c r="A19" s="157">
        <v>5</v>
      </c>
      <c r="B19" s="153" t="s">
        <v>38</v>
      </c>
      <c r="C19" s="154">
        <f t="shared" ref="C19:L19" si="6">C17+C15</f>
        <v>0</v>
      </c>
      <c r="D19" s="154">
        <f t="shared" si="6"/>
        <v>0</v>
      </c>
      <c r="E19" s="154" t="e">
        <f t="shared" si="6"/>
        <v>#REF!</v>
      </c>
      <c r="F19" s="154" t="e">
        <f t="shared" si="6"/>
        <v>#REF!</v>
      </c>
      <c r="G19" s="154" t="e">
        <f t="shared" si="6"/>
        <v>#REF!</v>
      </c>
      <c r="H19" s="154" t="e">
        <f t="shared" si="6"/>
        <v>#REF!</v>
      </c>
      <c r="I19" s="154" t="e">
        <f t="shared" si="6"/>
        <v>#REF!</v>
      </c>
      <c r="J19" s="154" t="e">
        <f t="shared" si="6"/>
        <v>#REF!</v>
      </c>
      <c r="K19" s="154" t="e">
        <f t="shared" si="6"/>
        <v>#REF!</v>
      </c>
      <c r="L19" s="154" t="e">
        <f t="shared" si="6"/>
        <v>#REF!</v>
      </c>
      <c r="M19" s="156" t="e">
        <f>SUM(C19:L19)</f>
        <v>#REF!</v>
      </c>
    </row>
    <row r="20" spans="1:18" s="137" customFormat="1" ht="12">
      <c r="A20" s="150">
        <v>6</v>
      </c>
      <c r="B20" s="153" t="s">
        <v>39</v>
      </c>
      <c r="C20" s="154">
        <f>C19</f>
        <v>0</v>
      </c>
      <c r="D20" s="154">
        <f t="shared" ref="D20:L20" si="7">C20+D19</f>
        <v>0</v>
      </c>
      <c r="E20" s="154" t="e">
        <f t="shared" si="7"/>
        <v>#REF!</v>
      </c>
      <c r="F20" s="154" t="e">
        <f t="shared" si="7"/>
        <v>#REF!</v>
      </c>
      <c r="G20" s="154" t="e">
        <f t="shared" si="7"/>
        <v>#REF!</v>
      </c>
      <c r="H20" s="154" t="e">
        <f t="shared" si="7"/>
        <v>#REF!</v>
      </c>
      <c r="I20" s="154" t="e">
        <f t="shared" si="7"/>
        <v>#REF!</v>
      </c>
      <c r="J20" s="154" t="e">
        <f t="shared" si="7"/>
        <v>#REF!</v>
      </c>
      <c r="K20" s="154" t="e">
        <f t="shared" si="7"/>
        <v>#REF!</v>
      </c>
      <c r="L20" s="154" t="e">
        <f t="shared" si="7"/>
        <v>#REF!</v>
      </c>
      <c r="M20" s="153" t="s">
        <v>27</v>
      </c>
    </row>
    <row r="21" spans="1:18" ht="12">
      <c r="A21" s="158"/>
      <c r="B21" s="159" t="s">
        <v>40</v>
      </c>
      <c r="C21" s="159"/>
      <c r="D21" s="159"/>
      <c r="E21" s="159" t="s">
        <v>41</v>
      </c>
      <c r="F21" s="159"/>
      <c r="G21" s="159"/>
      <c r="H21" s="159"/>
      <c r="I21" s="159" t="s">
        <v>42</v>
      </c>
      <c r="J21" s="159"/>
      <c r="K21" s="159"/>
      <c r="L21" s="159"/>
      <c r="M21" s="170"/>
    </row>
    <row r="22" spans="1:18" ht="12">
      <c r="A22" s="160"/>
      <c r="B22" s="161" t="s">
        <v>43</v>
      </c>
      <c r="C22" s="161"/>
      <c r="D22" s="162" t="s">
        <v>44</v>
      </c>
      <c r="E22" s="163" t="e">
        <f>IRR(C17:L17,0.15)</f>
        <v>#VALUE!</v>
      </c>
      <c r="F22" s="161"/>
      <c r="G22" s="161"/>
      <c r="H22" s="161"/>
      <c r="I22" s="163" t="e">
        <f>IRR(C19:L19,0.15)</f>
        <v>#VALUE!</v>
      </c>
      <c r="J22" s="161"/>
      <c r="K22" s="161"/>
      <c r="L22" s="161"/>
      <c r="M22" s="171"/>
    </row>
    <row r="23" spans="1:18" ht="12">
      <c r="A23" s="160"/>
      <c r="B23" s="161" t="s">
        <v>45</v>
      </c>
      <c r="C23" s="161"/>
      <c r="D23" s="161"/>
      <c r="E23" s="164" t="e">
        <f>NPV(0.12,C17:L17)</f>
        <v>#REF!</v>
      </c>
      <c r="F23" s="161"/>
      <c r="G23" s="161"/>
      <c r="H23" s="161"/>
      <c r="I23" s="164" t="e">
        <f>NPV(0.12,C19:L19)</f>
        <v>#REF!</v>
      </c>
      <c r="J23" s="161"/>
      <c r="K23" s="161"/>
      <c r="L23" s="161"/>
      <c r="M23" s="171"/>
      <c r="R23" s="138">
        <f>30.9-29.82</f>
        <v>1.0799999999999983</v>
      </c>
    </row>
    <row r="24" spans="1:18" ht="12">
      <c r="A24" s="165"/>
      <c r="B24" s="166" t="s">
        <v>46</v>
      </c>
      <c r="C24" s="166"/>
      <c r="D24" s="166"/>
      <c r="E24" s="167" t="e">
        <f>6-H18/I17</f>
        <v>#REF!</v>
      </c>
      <c r="F24" s="166"/>
      <c r="G24" s="166"/>
      <c r="H24" s="166"/>
      <c r="I24" s="167" t="e">
        <f>6-H20/I19</f>
        <v>#REF!</v>
      </c>
      <c r="J24" s="166"/>
      <c r="K24" s="166"/>
      <c r="L24" s="166"/>
      <c r="M24" s="172"/>
    </row>
  </sheetData>
  <mergeCells count="1">
    <mergeCell ref="C3:E3"/>
  </mergeCells>
  <phoneticPr fontId="4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abSelected="1" workbookViewId="0">
      <pane xSplit="2" ySplit="5" topLeftCell="C15" activePane="bottomRight" state="frozen"/>
      <selection pane="topRight" activeCell="C1" sqref="C1"/>
      <selection pane="bottomLeft" activeCell="A5" sqref="A5"/>
      <selection pane="bottomRight" activeCell="E17" sqref="E17"/>
    </sheetView>
  </sheetViews>
  <sheetFormatPr defaultColWidth="9" defaultRowHeight="16.5"/>
  <cols>
    <col min="1" max="1" width="5.125" style="108" customWidth="1"/>
    <col min="2" max="2" width="32.625" style="108" customWidth="1"/>
    <col min="3" max="3" width="14.5" style="111" customWidth="1"/>
    <col min="4" max="7" width="14.75" style="111" customWidth="1"/>
    <col min="8" max="8" width="16.5" style="111" customWidth="1"/>
    <col min="9" max="9" width="15.5" style="108" customWidth="1"/>
    <col min="10" max="35" width="9" style="108"/>
    <col min="36" max="36" width="4.375" style="108" customWidth="1"/>
    <col min="37" max="37" width="13.875" style="108" customWidth="1"/>
    <col min="38" max="16384" width="9" style="108"/>
  </cols>
  <sheetData>
    <row r="1" spans="1:38" ht="27" customHeight="1">
      <c r="A1" s="251" t="s">
        <v>245</v>
      </c>
      <c r="B1" s="251"/>
      <c r="C1" s="251"/>
      <c r="D1" s="251"/>
      <c r="E1" s="251"/>
      <c r="F1" s="251"/>
      <c r="G1" s="251"/>
      <c r="H1" s="251"/>
      <c r="I1" s="184"/>
    </row>
    <row r="2" spans="1:38" s="253" customFormat="1" ht="27" customHeight="1">
      <c r="A2" s="252"/>
      <c r="B2" s="252"/>
      <c r="C2" s="252" t="s">
        <v>244</v>
      </c>
      <c r="D2" s="252"/>
      <c r="E2" s="252"/>
      <c r="F2" s="252"/>
      <c r="G2" s="252" t="s">
        <v>243</v>
      </c>
      <c r="H2" s="252"/>
      <c r="I2" s="184"/>
    </row>
    <row r="3" spans="1:38" ht="15.75" customHeight="1">
      <c r="A3" s="195" t="s">
        <v>17</v>
      </c>
      <c r="B3" s="112" t="s">
        <v>1</v>
      </c>
      <c r="C3" s="112" t="s">
        <v>246</v>
      </c>
      <c r="D3" s="112" t="s">
        <v>247</v>
      </c>
      <c r="E3" s="112" t="s">
        <v>248</v>
      </c>
      <c r="F3" s="112" t="s">
        <v>249</v>
      </c>
      <c r="G3" s="112" t="s">
        <v>250</v>
      </c>
      <c r="H3" s="113" t="s">
        <v>50</v>
      </c>
      <c r="AL3" s="108" t="s">
        <v>51</v>
      </c>
    </row>
    <row r="4" spans="1:38" s="84" customFormat="1" ht="15.75" customHeight="1">
      <c r="A4" s="196"/>
      <c r="B4" s="88" t="s">
        <v>3</v>
      </c>
      <c r="C4" s="114">
        <f>'2023年'!N6</f>
        <v>500</v>
      </c>
      <c r="D4" s="114">
        <f>'2024年'!N6</f>
        <v>3000</v>
      </c>
      <c r="E4" s="114">
        <f>'2025年'!N6</f>
        <v>3000</v>
      </c>
      <c r="F4" s="114">
        <f>'2026年'!N6</f>
        <v>5000</v>
      </c>
      <c r="G4" s="114">
        <f>'2027年'!N6</f>
        <v>6000</v>
      </c>
      <c r="H4" s="114">
        <f t="shared" ref="H4:H8" si="0">SUM(C4:G4)</f>
        <v>17500</v>
      </c>
      <c r="I4" s="103"/>
      <c r="AJ4" s="87" t="s">
        <v>17</v>
      </c>
      <c r="AK4" s="88" t="s">
        <v>3</v>
      </c>
      <c r="AL4" s="84" t="s">
        <v>52</v>
      </c>
    </row>
    <row r="5" spans="1:38" s="84" customFormat="1" ht="15.75" customHeight="1">
      <c r="A5" s="86">
        <v>1</v>
      </c>
      <c r="B5" s="88" t="s">
        <v>53</v>
      </c>
      <c r="C5" s="114">
        <f>'2023年'!N7</f>
        <v>860000</v>
      </c>
      <c r="D5" s="114">
        <f>'2024年'!N7</f>
        <v>5160000</v>
      </c>
      <c r="E5" s="114">
        <f>'2025年'!N7</f>
        <v>5160000</v>
      </c>
      <c r="F5" s="114">
        <f>'2026年'!N7</f>
        <v>8600000</v>
      </c>
      <c r="G5" s="114">
        <f>'2027年'!N7</f>
        <v>10320000</v>
      </c>
      <c r="H5" s="114">
        <f t="shared" si="0"/>
        <v>30100000</v>
      </c>
      <c r="I5" s="103"/>
      <c r="AJ5" s="87" t="s">
        <v>54</v>
      </c>
      <c r="AK5" s="88" t="s">
        <v>53</v>
      </c>
      <c r="AL5" s="84" t="s">
        <v>52</v>
      </c>
    </row>
    <row r="6" spans="1:38" s="84" customFormat="1" ht="15.75" customHeight="1">
      <c r="A6" s="86">
        <v>2</v>
      </c>
      <c r="B6" s="86" t="s">
        <v>55</v>
      </c>
      <c r="C6" s="114">
        <f>'2023年'!N8</f>
        <v>0</v>
      </c>
      <c r="D6" s="114">
        <f>'2024年'!N8</f>
        <v>129000.00000000012</v>
      </c>
      <c r="E6" s="114">
        <f>'2025年'!N8</f>
        <v>254774.99999999974</v>
      </c>
      <c r="F6" s="114">
        <f>'2026年'!N8</f>
        <v>424624.99999999953</v>
      </c>
      <c r="G6" s="114">
        <f>'2027年'!N8</f>
        <v>509549.99999999948</v>
      </c>
      <c r="H6" s="114">
        <f t="shared" si="0"/>
        <v>1317949.9999999988</v>
      </c>
      <c r="I6" s="103"/>
      <c r="AJ6" s="87" t="s">
        <v>56</v>
      </c>
      <c r="AK6" s="86" t="s">
        <v>57</v>
      </c>
      <c r="AL6" s="84" t="s">
        <v>52</v>
      </c>
    </row>
    <row r="7" spans="1:38" s="84" customFormat="1" ht="15.75" customHeight="1">
      <c r="A7" s="86">
        <v>3</v>
      </c>
      <c r="B7" s="88" t="s">
        <v>58</v>
      </c>
      <c r="C7" s="115">
        <f>C5-C6</f>
        <v>860000</v>
      </c>
      <c r="D7" s="115">
        <f>'2024年'!N9</f>
        <v>5031000</v>
      </c>
      <c r="E7" s="115">
        <f>'2025年'!N9</f>
        <v>4905225</v>
      </c>
      <c r="F7" s="115">
        <f>'2026年'!N9</f>
        <v>8175375</v>
      </c>
      <c r="G7" s="114">
        <f>'2027年'!N9</f>
        <v>9810450</v>
      </c>
      <c r="H7" s="114">
        <f t="shared" si="0"/>
        <v>28782050</v>
      </c>
      <c r="I7" s="103"/>
      <c r="AJ7" s="87" t="s">
        <v>59</v>
      </c>
      <c r="AK7" s="88" t="s">
        <v>58</v>
      </c>
      <c r="AL7" s="84" t="s">
        <v>60</v>
      </c>
    </row>
    <row r="8" spans="1:38" s="84" customFormat="1" ht="15.75" customHeight="1">
      <c r="A8" s="86">
        <v>4</v>
      </c>
      <c r="B8" s="87" t="s">
        <v>242</v>
      </c>
      <c r="C8" s="114">
        <f>'2023年'!N10</f>
        <v>601070</v>
      </c>
      <c r="D8" s="115">
        <f>'2024年'!N10</f>
        <v>3516259.5000000005</v>
      </c>
      <c r="E8" s="115">
        <f>'2025年'!N10</f>
        <v>3428353.0125000002</v>
      </c>
      <c r="F8" s="115">
        <f>'2026年'!N10</f>
        <v>5571073.6453125002</v>
      </c>
      <c r="G8" s="114">
        <f>'2027年'!N10</f>
        <v>6518156.1650156248</v>
      </c>
      <c r="H8" s="114">
        <f t="shared" si="0"/>
        <v>19634912.322828129</v>
      </c>
      <c r="I8" s="103"/>
      <c r="AJ8" s="87" t="s">
        <v>62</v>
      </c>
      <c r="AK8" s="87" t="s">
        <v>61</v>
      </c>
      <c r="AL8" s="84" t="s">
        <v>63</v>
      </c>
    </row>
    <row r="9" spans="1:38" s="84" customFormat="1" ht="15.75" customHeight="1">
      <c r="A9" s="86">
        <v>5</v>
      </c>
      <c r="B9" s="87" t="s">
        <v>64</v>
      </c>
      <c r="C9" s="114">
        <f>'2023年'!N11</f>
        <v>37066</v>
      </c>
      <c r="D9" s="115">
        <f>'2024年'!N11</f>
        <v>222396.00000000003</v>
      </c>
      <c r="E9" s="115">
        <f>'2025年'!N11</f>
        <v>222396.00000000003</v>
      </c>
      <c r="F9" s="115">
        <f>'2026年'!N11</f>
        <v>370660</v>
      </c>
      <c r="G9" s="114">
        <f>'2027年'!N11</f>
        <v>444792.00000000006</v>
      </c>
      <c r="H9" s="114">
        <f t="shared" ref="H9:H20" si="1">SUM(C9:G9)</f>
        <v>1297310</v>
      </c>
      <c r="I9" s="103"/>
      <c r="AJ9" s="87" t="s">
        <v>65</v>
      </c>
      <c r="AK9" s="87" t="s">
        <v>64</v>
      </c>
    </row>
    <row r="10" spans="1:38" s="84" customFormat="1" ht="15.75" customHeight="1">
      <c r="A10" s="86">
        <v>6</v>
      </c>
      <c r="B10" s="87" t="s">
        <v>66</v>
      </c>
      <c r="C10" s="114">
        <f>'2023年'!N12</f>
        <v>18662</v>
      </c>
      <c r="D10" s="115">
        <f>'2024年'!N12</f>
        <v>111972</v>
      </c>
      <c r="E10" s="115">
        <f>'2025年'!N12</f>
        <v>111972</v>
      </c>
      <c r="F10" s="115">
        <f>'2026年'!N12</f>
        <v>186620</v>
      </c>
      <c r="G10" s="114">
        <f>'2027年'!N12</f>
        <v>223944</v>
      </c>
      <c r="H10" s="114">
        <f t="shared" si="1"/>
        <v>653170</v>
      </c>
      <c r="I10" s="103"/>
      <c r="AJ10" s="87" t="s">
        <v>67</v>
      </c>
      <c r="AK10" s="87" t="s">
        <v>66</v>
      </c>
    </row>
    <row r="11" spans="1:38" s="84" customFormat="1" ht="15.75" customHeight="1">
      <c r="A11" s="86">
        <v>7</v>
      </c>
      <c r="B11" s="87" t="s">
        <v>68</v>
      </c>
      <c r="C11" s="114">
        <f>'2023年'!N13</f>
        <v>37839.999999999993</v>
      </c>
      <c r="D11" s="115">
        <f>'2024年'!N13</f>
        <v>227039.99999999997</v>
      </c>
      <c r="E11" s="115">
        <f>'2025年'!N13</f>
        <v>227039.99999999997</v>
      </c>
      <c r="F11" s="115">
        <f>'2026年'!N13</f>
        <v>378399.99999999994</v>
      </c>
      <c r="G11" s="114">
        <f>'2027年'!N13</f>
        <v>454079.99999999994</v>
      </c>
      <c r="H11" s="114">
        <f t="shared" si="1"/>
        <v>1324399.9999999998</v>
      </c>
      <c r="I11" s="103"/>
      <c r="AJ11" s="87" t="s">
        <v>69</v>
      </c>
      <c r="AK11" s="87" t="s">
        <v>68</v>
      </c>
      <c r="AL11" s="84" t="s">
        <v>52</v>
      </c>
    </row>
    <row r="12" spans="1:38" s="84" customFormat="1" ht="15.75" customHeight="1">
      <c r="A12" s="86">
        <v>8</v>
      </c>
      <c r="B12" s="116" t="s">
        <v>70</v>
      </c>
      <c r="C12" s="117">
        <f>SUM(C9:C11)</f>
        <v>93568</v>
      </c>
      <c r="D12" s="117">
        <f>SUM(D9:D11)</f>
        <v>561408</v>
      </c>
      <c r="E12" s="117">
        <f>'2025年'!N14</f>
        <v>561408</v>
      </c>
      <c r="F12" s="117">
        <f>'2026年'!N14</f>
        <v>935680</v>
      </c>
      <c r="G12" s="117">
        <f>'2027年'!N14</f>
        <v>1122816</v>
      </c>
      <c r="H12" s="117">
        <f>SUM(H9:H11)</f>
        <v>3274880</v>
      </c>
      <c r="I12" s="103"/>
      <c r="AJ12" s="87" t="s">
        <v>71</v>
      </c>
      <c r="AK12" s="91" t="s">
        <v>70</v>
      </c>
    </row>
    <row r="13" spans="1:38" s="84" customFormat="1" ht="15.75" customHeight="1">
      <c r="A13" s="86">
        <v>9</v>
      </c>
      <c r="B13" s="118" t="s">
        <v>72</v>
      </c>
      <c r="C13" s="114">
        <f>'2023年'!N15</f>
        <v>165362</v>
      </c>
      <c r="D13" s="115">
        <f>'2024年'!N15</f>
        <v>953332.49999999953</v>
      </c>
      <c r="E13" s="115">
        <f>'2025年'!N15</f>
        <v>915463.98749999981</v>
      </c>
      <c r="F13" s="115">
        <f>'2026年'!N15</f>
        <v>1668621.3546874998</v>
      </c>
      <c r="G13" s="114">
        <f>'2027年'!N15</f>
        <v>2169477.8349843752</v>
      </c>
      <c r="H13" s="114">
        <f>SUM(C13:G13)</f>
        <v>5872257.6771718748</v>
      </c>
      <c r="I13" s="103"/>
      <c r="K13" s="108"/>
      <c r="L13" s="108"/>
      <c r="M13" s="108"/>
      <c r="N13" s="108"/>
      <c r="O13" s="108"/>
      <c r="P13" s="108"/>
      <c r="AJ13" s="87" t="s">
        <v>73</v>
      </c>
      <c r="AK13" s="91" t="s">
        <v>72</v>
      </c>
    </row>
    <row r="14" spans="1:38" ht="15.75" customHeight="1">
      <c r="A14" s="86">
        <v>10</v>
      </c>
      <c r="B14" s="119" t="s">
        <v>74</v>
      </c>
      <c r="C14" s="120">
        <f t="shared" ref="C14:H14" si="2">+C13/C7</f>
        <v>0.1922813953488372</v>
      </c>
      <c r="D14" s="120">
        <f t="shared" si="2"/>
        <v>0.18949165175909352</v>
      </c>
      <c r="E14" s="120">
        <f>'2025年'!N16</f>
        <v>0.18663037628243348</v>
      </c>
      <c r="F14" s="120">
        <f>'2026年'!N16</f>
        <v>0.20410334139871258</v>
      </c>
      <c r="G14" s="120">
        <f>'2027年'!N16</f>
        <v>0.2211394823870847</v>
      </c>
      <c r="H14" s="120">
        <f t="shared" si="2"/>
        <v>0.20402499742623875</v>
      </c>
      <c r="I14" s="103"/>
      <c r="AJ14" s="119" t="s">
        <v>75</v>
      </c>
      <c r="AK14" s="119" t="s">
        <v>74</v>
      </c>
    </row>
    <row r="15" spans="1:38" ht="15.75" customHeight="1">
      <c r="A15" s="86">
        <v>11</v>
      </c>
      <c r="B15" s="119" t="s">
        <v>76</v>
      </c>
      <c r="C15" s="114">
        <f>'2023年'!N17</f>
        <v>148120</v>
      </c>
      <c r="D15" s="115">
        <f>'2024年'!N17</f>
        <v>324420</v>
      </c>
      <c r="E15" s="115">
        <f>'2025年'!N17</f>
        <v>324420</v>
      </c>
      <c r="F15" s="115">
        <f>'2026年'!N17</f>
        <v>465460</v>
      </c>
      <c r="G15" s="114">
        <f>'2027年'!N17</f>
        <v>535980</v>
      </c>
      <c r="H15" s="114">
        <f t="shared" si="1"/>
        <v>1798400</v>
      </c>
      <c r="I15" s="103"/>
      <c r="AJ15" s="119" t="s">
        <v>77</v>
      </c>
      <c r="AK15" s="119" t="s">
        <v>76</v>
      </c>
    </row>
    <row r="16" spans="1:38" ht="15.75" customHeight="1">
      <c r="A16" s="86"/>
      <c r="B16" s="119"/>
      <c r="C16" s="114"/>
      <c r="D16" s="114"/>
      <c r="E16" s="114">
        <f>'2025年'!N18</f>
        <v>112860</v>
      </c>
      <c r="F16" s="114">
        <f>'2026年'!N18</f>
        <v>112860</v>
      </c>
      <c r="G16" s="114">
        <f>'2027年'!N18</f>
        <v>112860</v>
      </c>
      <c r="H16" s="114">
        <f t="shared" si="1"/>
        <v>338580</v>
      </c>
      <c r="I16" s="103"/>
      <c r="AJ16" s="119"/>
      <c r="AK16" s="119"/>
    </row>
    <row r="17" spans="1:38" ht="15.75" customHeight="1">
      <c r="A17" s="86">
        <v>12</v>
      </c>
      <c r="B17" s="119" t="s">
        <v>78</v>
      </c>
      <c r="C17" s="121">
        <f>'2023年'!N19</f>
        <v>6020.0000000000009</v>
      </c>
      <c r="D17" s="121">
        <f>'2024年'!N19</f>
        <v>36120</v>
      </c>
      <c r="E17" s="121">
        <f>'2025年'!N19</f>
        <v>36120</v>
      </c>
      <c r="F17" s="121">
        <f>'2026年'!N19</f>
        <v>60200.000000000007</v>
      </c>
      <c r="G17" s="114">
        <f>'2027年'!N19</f>
        <v>72240</v>
      </c>
      <c r="H17" s="114">
        <f t="shared" si="1"/>
        <v>210700</v>
      </c>
      <c r="I17" s="103"/>
      <c r="Q17" s="103"/>
      <c r="AJ17" s="119" t="s">
        <v>79</v>
      </c>
      <c r="AK17" s="119" t="s">
        <v>78</v>
      </c>
      <c r="AL17" s="108" t="s">
        <v>52</v>
      </c>
    </row>
    <row r="18" spans="1:38" ht="15.75" customHeight="1">
      <c r="A18" s="86">
        <v>13</v>
      </c>
      <c r="B18" s="119" t="s">
        <v>80</v>
      </c>
      <c r="C18" s="121">
        <f>'2023年'!N20</f>
        <v>29240.000000000004</v>
      </c>
      <c r="D18" s="121">
        <f>'2024年'!N20</f>
        <v>175440</v>
      </c>
      <c r="E18" s="121">
        <f>'2025年'!N20</f>
        <v>175440</v>
      </c>
      <c r="F18" s="121">
        <f>'2026年'!N20</f>
        <v>292400</v>
      </c>
      <c r="G18" s="114">
        <f>'2027年'!N20</f>
        <v>350880</v>
      </c>
      <c r="H18" s="114">
        <f t="shared" si="1"/>
        <v>1023400</v>
      </c>
      <c r="I18" s="103"/>
      <c r="AJ18" s="119" t="s">
        <v>81</v>
      </c>
      <c r="AK18" s="119" t="s">
        <v>80</v>
      </c>
    </row>
    <row r="19" spans="1:38" s="83" customFormat="1" ht="15.75" customHeight="1">
      <c r="A19" s="86">
        <v>14</v>
      </c>
      <c r="B19" s="96" t="s">
        <v>82</v>
      </c>
      <c r="C19" s="122">
        <f>'2023年'!N21</f>
        <v>30800</v>
      </c>
      <c r="D19" s="122">
        <f>'2024年'!N21</f>
        <v>30800</v>
      </c>
      <c r="E19" s="122">
        <f>'2025年'!N21</f>
        <v>30800</v>
      </c>
      <c r="F19" s="122">
        <f>'2026年'!N21</f>
        <v>30800</v>
      </c>
      <c r="G19" s="122">
        <f>'2027年'!N21</f>
        <v>30800</v>
      </c>
      <c r="H19" s="114">
        <f t="shared" si="1"/>
        <v>154000</v>
      </c>
      <c r="I19" s="103"/>
      <c r="AJ19" s="96"/>
      <c r="AK19" s="96"/>
    </row>
    <row r="20" spans="1:38" s="84" customFormat="1" ht="15.75" customHeight="1">
      <c r="A20" s="86">
        <v>15</v>
      </c>
      <c r="B20" s="87" t="s">
        <v>83</v>
      </c>
      <c r="C20" s="121">
        <f>'2023年'!N22</f>
        <v>25800</v>
      </c>
      <c r="D20" s="121">
        <f>'2024年'!N22</f>
        <v>154800</v>
      </c>
      <c r="E20" s="121">
        <f>'2025年'!N22</f>
        <v>154800</v>
      </c>
      <c r="F20" s="121">
        <f>'2026年'!N22</f>
        <v>258000</v>
      </c>
      <c r="G20" s="114">
        <f>'2027年'!N22</f>
        <v>309600</v>
      </c>
      <c r="H20" s="114">
        <f t="shared" si="1"/>
        <v>903000</v>
      </c>
      <c r="I20" s="103"/>
      <c r="AJ20" s="87" t="s">
        <v>84</v>
      </c>
      <c r="AK20" s="87" t="s">
        <v>83</v>
      </c>
    </row>
    <row r="21" spans="1:38" s="109" customFormat="1" ht="15.75" customHeight="1">
      <c r="A21" s="86">
        <v>16</v>
      </c>
      <c r="B21" s="123" t="s">
        <v>85</v>
      </c>
      <c r="C21" s="117">
        <f t="shared" ref="C21:H21" si="3">+C20+C19+C18+C17+C15</f>
        <v>239980</v>
      </c>
      <c r="D21" s="117">
        <f t="shared" si="3"/>
        <v>721580</v>
      </c>
      <c r="E21" s="117">
        <f>'2025年'!N23</f>
        <v>721580</v>
      </c>
      <c r="F21" s="117">
        <f>'2026年'!N23</f>
        <v>1106860</v>
      </c>
      <c r="G21" s="117">
        <f>'2027年'!N23</f>
        <v>1299500</v>
      </c>
      <c r="H21" s="117">
        <f t="shared" si="3"/>
        <v>4089500</v>
      </c>
      <c r="I21" s="103"/>
      <c r="AJ21" s="134" t="s">
        <v>86</v>
      </c>
      <c r="AK21" s="135" t="s">
        <v>85</v>
      </c>
    </row>
    <row r="22" spans="1:38" ht="15.75" customHeight="1">
      <c r="A22" s="86">
        <v>17</v>
      </c>
      <c r="B22" s="119" t="s">
        <v>87</v>
      </c>
      <c r="C22" s="124">
        <f>'2023年'!N24</f>
        <v>-74618</v>
      </c>
      <c r="D22" s="124">
        <f>'2024年'!N24</f>
        <v>231752.49999999953</v>
      </c>
      <c r="E22" s="124">
        <f>'2025年'!N24</f>
        <v>193883.98749999981</v>
      </c>
      <c r="F22" s="124">
        <f>'2026年'!N24</f>
        <v>561761.35468749981</v>
      </c>
      <c r="G22" s="114">
        <f>'2027年'!N24</f>
        <v>869977.83498437516</v>
      </c>
      <c r="H22" s="114">
        <f>SUM(C22:G22)</f>
        <v>1782757.6771718743</v>
      </c>
      <c r="I22" s="186"/>
      <c r="AJ22" s="119" t="s">
        <v>88</v>
      </c>
      <c r="AK22" s="119" t="s">
        <v>87</v>
      </c>
    </row>
    <row r="23" spans="1:38" ht="15.75" customHeight="1">
      <c r="A23" s="86">
        <v>18</v>
      </c>
      <c r="B23" s="119" t="s">
        <v>285</v>
      </c>
      <c r="C23" s="124">
        <f>'2023年'!N25</f>
        <v>0</v>
      </c>
      <c r="D23" s="124">
        <f>'2024年'!N25</f>
        <v>34762.874999999927</v>
      </c>
      <c r="E23" s="124">
        <f>'2025年'!N25</f>
        <v>29082.598124999971</v>
      </c>
      <c r="F23" s="124">
        <f>'2026年'!N25</f>
        <v>84264.203203124969</v>
      </c>
      <c r="G23" s="114">
        <f>'2027年'!N25</f>
        <v>130496.67524765627</v>
      </c>
      <c r="H23" s="95">
        <f>IF(H22&lt;0,0,H22*0.15)</f>
        <v>267413.65157578111</v>
      </c>
      <c r="I23" s="103"/>
      <c r="AJ23" s="119" t="s">
        <v>89</v>
      </c>
      <c r="AK23" s="119" t="s">
        <v>34</v>
      </c>
    </row>
    <row r="24" spans="1:38" ht="15.75" customHeight="1">
      <c r="A24" s="86">
        <v>19</v>
      </c>
      <c r="B24" s="119" t="s">
        <v>90</v>
      </c>
      <c r="C24" s="124">
        <f>'2023年'!N26</f>
        <v>-74618</v>
      </c>
      <c r="D24" s="124">
        <f>'2024年'!N26</f>
        <v>196989.62499999959</v>
      </c>
      <c r="E24" s="124">
        <f>'2025年'!N26</f>
        <v>164801.38937499985</v>
      </c>
      <c r="F24" s="124">
        <f>'2026年'!N26</f>
        <v>477497.15148437483</v>
      </c>
      <c r="G24" s="114">
        <f>'2027年'!N26</f>
        <v>739481.15973671887</v>
      </c>
      <c r="H24" s="114">
        <f>SUM(C24:G24)</f>
        <v>1504151.3255960932</v>
      </c>
      <c r="I24" s="186"/>
      <c r="AJ24" s="119" t="s">
        <v>91</v>
      </c>
      <c r="AK24" s="119" t="s">
        <v>90</v>
      </c>
    </row>
    <row r="25" spans="1:38" ht="15.75" customHeight="1">
      <c r="A25" s="86">
        <v>20</v>
      </c>
      <c r="B25" s="119" t="s">
        <v>92</v>
      </c>
      <c r="C25" s="125">
        <f t="shared" ref="C25:H25" si="4">C24/C5</f>
        <v>-8.6765116279069771E-2</v>
      </c>
      <c r="D25" s="125">
        <f t="shared" si="4"/>
        <v>3.8176283914728604E-2</v>
      </c>
      <c r="E25" s="125">
        <f>'2025年'!N27</f>
        <v>3.1938253754844929E-2</v>
      </c>
      <c r="F25" s="125">
        <f>'2026年'!N27</f>
        <v>5.5522924591206377E-2</v>
      </c>
      <c r="G25" s="125">
        <f>'2027年'!N27</f>
        <v>7.1655151137278966E-2</v>
      </c>
      <c r="H25" s="125">
        <f t="shared" si="4"/>
        <v>4.9971804837079511E-2</v>
      </c>
      <c r="I25" s="186"/>
      <c r="AJ25" s="136" t="s">
        <v>93</v>
      </c>
      <c r="AK25" s="136" t="s">
        <v>94</v>
      </c>
    </row>
    <row r="26" spans="1:38" s="110" customFormat="1" ht="15.75" customHeight="1">
      <c r="C26" s="126"/>
      <c r="D26" s="126"/>
      <c r="E26" s="126"/>
      <c r="F26" s="126"/>
      <c r="G26" s="126"/>
      <c r="H26" s="126"/>
      <c r="I26" s="127"/>
    </row>
    <row r="27" spans="1:38" s="110" customFormat="1" ht="15.75" customHeight="1">
      <c r="A27" s="110" t="s">
        <v>95</v>
      </c>
      <c r="C27" s="128"/>
      <c r="D27" s="128"/>
      <c r="E27" s="128"/>
      <c r="F27" s="128"/>
      <c r="G27" s="128"/>
      <c r="H27" s="128"/>
      <c r="I27" s="127"/>
      <c r="AJ27" s="110" t="s">
        <v>95</v>
      </c>
    </row>
    <row r="28" spans="1:38" ht="15.75" customHeight="1">
      <c r="A28" s="119" t="s">
        <v>17</v>
      </c>
      <c r="B28" s="129" t="s">
        <v>1</v>
      </c>
      <c r="C28" s="112" t="s">
        <v>246</v>
      </c>
      <c r="D28" s="112" t="s">
        <v>247</v>
      </c>
      <c r="E28" s="112" t="s">
        <v>248</v>
      </c>
      <c r="F28" s="112" t="s">
        <v>249</v>
      </c>
      <c r="G28" s="112" t="s">
        <v>250</v>
      </c>
      <c r="H28" s="113" t="s">
        <v>50</v>
      </c>
      <c r="AL28" s="108" t="s">
        <v>51</v>
      </c>
    </row>
    <row r="29" spans="1:38" s="84" customFormat="1" ht="15.75" customHeight="1">
      <c r="A29" s="87" t="s">
        <v>96</v>
      </c>
      <c r="B29" s="91" t="s">
        <v>97</v>
      </c>
      <c r="C29" s="95"/>
      <c r="D29" s="95"/>
      <c r="E29" s="95"/>
      <c r="F29" s="95"/>
      <c r="G29" s="95"/>
      <c r="H29" s="95"/>
      <c r="I29" s="103"/>
      <c r="AJ29" s="87" t="s">
        <v>98</v>
      </c>
      <c r="AK29" s="91" t="s">
        <v>97</v>
      </c>
    </row>
    <row r="30" spans="1:38" s="84" customFormat="1" ht="15.75" customHeight="1">
      <c r="A30" s="87" t="s">
        <v>54</v>
      </c>
      <c r="B30" s="87" t="s">
        <v>99</v>
      </c>
      <c r="C30" s="90">
        <f t="shared" ref="C30:H30" si="5">+C7/C4</f>
        <v>1720</v>
      </c>
      <c r="D30" s="90">
        <f t="shared" ref="D30:G30" si="6">+D7/D4</f>
        <v>1677</v>
      </c>
      <c r="E30" s="90">
        <f t="shared" si="6"/>
        <v>1635.075</v>
      </c>
      <c r="F30" s="90">
        <f t="shared" si="6"/>
        <v>1635.075</v>
      </c>
      <c r="G30" s="90">
        <f t="shared" si="6"/>
        <v>1635.075</v>
      </c>
      <c r="H30" s="90">
        <f t="shared" si="5"/>
        <v>1644.6885714285713</v>
      </c>
      <c r="I30" s="103"/>
      <c r="AJ30" s="87" t="s">
        <v>54</v>
      </c>
      <c r="AK30" s="87" t="s">
        <v>99</v>
      </c>
    </row>
    <row r="31" spans="1:38" s="84" customFormat="1" ht="15.75" customHeight="1">
      <c r="A31" s="87" t="s">
        <v>56</v>
      </c>
      <c r="B31" s="87" t="s">
        <v>100</v>
      </c>
      <c r="C31" s="90">
        <f t="shared" ref="C31:H31" si="7">+C8/C4</f>
        <v>1202.1400000000001</v>
      </c>
      <c r="D31" s="90">
        <f t="shared" ref="D31:G31" si="8">+D8/D4</f>
        <v>1172.0865000000001</v>
      </c>
      <c r="E31" s="90">
        <f t="shared" si="8"/>
        <v>1142.7843375</v>
      </c>
      <c r="F31" s="90">
        <f t="shared" si="8"/>
        <v>1114.2147290625001</v>
      </c>
      <c r="G31" s="90">
        <f t="shared" si="8"/>
        <v>1086.3593608359374</v>
      </c>
      <c r="H31" s="90">
        <f t="shared" si="7"/>
        <v>1121.994989875893</v>
      </c>
      <c r="I31" s="103"/>
      <c r="AJ31" s="87" t="s">
        <v>56</v>
      </c>
      <c r="AK31" s="87" t="s">
        <v>100</v>
      </c>
    </row>
    <row r="32" spans="1:38" s="84" customFormat="1" ht="15.75" customHeight="1">
      <c r="A32" s="87" t="s">
        <v>101</v>
      </c>
      <c r="B32" s="87" t="s">
        <v>102</v>
      </c>
      <c r="C32" s="95">
        <f t="shared" ref="C32:H32" si="9">C30-C31</f>
        <v>517.8599999999999</v>
      </c>
      <c r="D32" s="95">
        <f t="shared" ref="D32:G32" si="10">D30-D31</f>
        <v>504.91349999999989</v>
      </c>
      <c r="E32" s="95">
        <f t="shared" si="10"/>
        <v>492.29066250000005</v>
      </c>
      <c r="F32" s="95">
        <f t="shared" si="10"/>
        <v>520.86027093749999</v>
      </c>
      <c r="G32" s="95">
        <f t="shared" si="10"/>
        <v>548.71563916406262</v>
      </c>
      <c r="H32" s="95">
        <f t="shared" si="9"/>
        <v>522.69358155267832</v>
      </c>
      <c r="I32" s="103"/>
      <c r="AJ32" s="87" t="s">
        <v>101</v>
      </c>
      <c r="AK32" s="87" t="s">
        <v>102</v>
      </c>
    </row>
    <row r="33" spans="1:37" s="84" customFormat="1" ht="15.75" customHeight="1">
      <c r="A33" s="87">
        <v>3.1</v>
      </c>
      <c r="B33" s="87" t="s">
        <v>103</v>
      </c>
      <c r="C33" s="92">
        <f t="shared" ref="C33:H33" si="11">C32/C30</f>
        <v>0.30108139534883716</v>
      </c>
      <c r="D33" s="92">
        <f t="shared" ref="D33:G33" si="12">D32/D30</f>
        <v>0.30108139534883716</v>
      </c>
      <c r="E33" s="92">
        <f t="shared" si="12"/>
        <v>0.30108139534883721</v>
      </c>
      <c r="F33" s="92">
        <f t="shared" si="12"/>
        <v>0.31855436046511626</v>
      </c>
      <c r="G33" s="92">
        <f t="shared" si="12"/>
        <v>0.33559050145348845</v>
      </c>
      <c r="H33" s="92">
        <f t="shared" si="11"/>
        <v>0.31780702476619527</v>
      </c>
      <c r="I33" s="103"/>
      <c r="AJ33" s="87"/>
      <c r="AK33" s="87"/>
    </row>
    <row r="34" spans="1:37" s="84" customFormat="1" ht="15.75" customHeight="1">
      <c r="A34" s="87" t="s">
        <v>98</v>
      </c>
      <c r="B34" s="91" t="s">
        <v>8</v>
      </c>
      <c r="C34" s="95"/>
      <c r="D34" s="95"/>
      <c r="E34" s="95"/>
      <c r="F34" s="95"/>
      <c r="G34" s="95"/>
      <c r="H34" s="95"/>
      <c r="I34" s="103"/>
      <c r="AJ34" s="87" t="s">
        <v>104</v>
      </c>
      <c r="AK34" s="91" t="s">
        <v>8</v>
      </c>
    </row>
    <row r="35" spans="1:37" s="84" customFormat="1" ht="15.75" customHeight="1">
      <c r="A35" s="87" t="s">
        <v>54</v>
      </c>
      <c r="B35" s="96" t="s">
        <v>105</v>
      </c>
      <c r="C35" s="90">
        <f t="shared" ref="C35:H35" si="13">+C9/C4</f>
        <v>74.132000000000005</v>
      </c>
      <c r="D35" s="90">
        <f t="shared" ref="D35:G35" si="14">+D9/D4</f>
        <v>74.132000000000005</v>
      </c>
      <c r="E35" s="90">
        <f t="shared" si="14"/>
        <v>74.132000000000005</v>
      </c>
      <c r="F35" s="90">
        <f t="shared" si="14"/>
        <v>74.132000000000005</v>
      </c>
      <c r="G35" s="90">
        <f t="shared" si="14"/>
        <v>74.132000000000005</v>
      </c>
      <c r="H35" s="90">
        <f t="shared" si="13"/>
        <v>74.132000000000005</v>
      </c>
      <c r="I35" s="103"/>
      <c r="AJ35" s="87" t="s">
        <v>101</v>
      </c>
      <c r="AK35" s="87" t="s">
        <v>105</v>
      </c>
    </row>
    <row r="36" spans="1:37" s="84" customFormat="1" ht="15.75" customHeight="1">
      <c r="A36" s="87" t="s">
        <v>56</v>
      </c>
      <c r="B36" s="96" t="s">
        <v>106</v>
      </c>
      <c r="C36" s="90">
        <f t="shared" ref="C36:H36" si="15">+C10/C4</f>
        <v>37.323999999999998</v>
      </c>
      <c r="D36" s="90">
        <f t="shared" ref="D36:G36" si="16">+D10/D4</f>
        <v>37.323999999999998</v>
      </c>
      <c r="E36" s="90">
        <f t="shared" si="16"/>
        <v>37.323999999999998</v>
      </c>
      <c r="F36" s="90">
        <f t="shared" si="16"/>
        <v>37.323999999999998</v>
      </c>
      <c r="G36" s="90">
        <f t="shared" si="16"/>
        <v>37.323999999999998</v>
      </c>
      <c r="H36" s="90">
        <f t="shared" si="15"/>
        <v>37.323999999999998</v>
      </c>
      <c r="I36" s="103"/>
      <c r="AJ36" s="87" t="s">
        <v>59</v>
      </c>
      <c r="AK36" s="87" t="s">
        <v>106</v>
      </c>
    </row>
    <row r="37" spans="1:37" s="84" customFormat="1" ht="15.75" customHeight="1">
      <c r="A37" s="87" t="s">
        <v>101</v>
      </c>
      <c r="B37" s="96" t="s">
        <v>107</v>
      </c>
      <c r="C37" s="90">
        <f t="shared" ref="C37:H37" si="17">+C11/C4</f>
        <v>75.679999999999978</v>
      </c>
      <c r="D37" s="90">
        <f t="shared" ref="D37:G37" si="18">+D11/D4</f>
        <v>75.679999999999993</v>
      </c>
      <c r="E37" s="90">
        <f t="shared" si="18"/>
        <v>75.679999999999993</v>
      </c>
      <c r="F37" s="90">
        <f t="shared" si="18"/>
        <v>75.679999999999993</v>
      </c>
      <c r="G37" s="90">
        <f t="shared" si="18"/>
        <v>75.679999999999993</v>
      </c>
      <c r="H37" s="90">
        <f t="shared" si="17"/>
        <v>75.679999999999993</v>
      </c>
      <c r="I37" s="103"/>
      <c r="AJ37" s="87" t="s">
        <v>65</v>
      </c>
      <c r="AK37" s="87" t="s">
        <v>107</v>
      </c>
    </row>
    <row r="38" spans="1:37" s="84" customFormat="1" ht="15.75" customHeight="1">
      <c r="A38" s="87" t="s">
        <v>108</v>
      </c>
      <c r="B38" s="118" t="s">
        <v>109</v>
      </c>
      <c r="C38" s="90"/>
      <c r="D38" s="90"/>
      <c r="E38" s="90"/>
      <c r="F38" s="90"/>
      <c r="G38" s="90"/>
      <c r="H38" s="90"/>
      <c r="I38" s="103"/>
      <c r="AJ38" s="87" t="s">
        <v>108</v>
      </c>
      <c r="AK38" s="91" t="s">
        <v>109</v>
      </c>
    </row>
    <row r="39" spans="1:37" s="84" customFormat="1">
      <c r="A39" s="87" t="s">
        <v>54</v>
      </c>
      <c r="B39" s="96" t="s">
        <v>110</v>
      </c>
      <c r="C39" s="90">
        <f t="shared" ref="C39:H39" si="19">+C13/C4</f>
        <v>330.72399999999999</v>
      </c>
      <c r="D39" s="90">
        <f t="shared" ref="D39:G39" si="20">+D13/D4</f>
        <v>317.77749999999986</v>
      </c>
      <c r="E39" s="90">
        <f t="shared" si="20"/>
        <v>305.15466249999992</v>
      </c>
      <c r="F39" s="90">
        <f t="shared" si="20"/>
        <v>333.72427093749997</v>
      </c>
      <c r="G39" s="90">
        <f t="shared" si="20"/>
        <v>361.57963916406254</v>
      </c>
      <c r="H39" s="90">
        <f t="shared" si="19"/>
        <v>335.55758155267858</v>
      </c>
      <c r="I39" s="103"/>
      <c r="AJ39" s="87" t="s">
        <v>54</v>
      </c>
      <c r="AK39" s="87" t="s">
        <v>111</v>
      </c>
    </row>
    <row r="40" spans="1:37" s="84" customFormat="1" ht="15.75" customHeight="1">
      <c r="A40" s="87" t="s">
        <v>56</v>
      </c>
      <c r="B40" s="96" t="s">
        <v>112</v>
      </c>
      <c r="C40" s="114">
        <f>+C21/C39</f>
        <v>725.62015456997381</v>
      </c>
      <c r="D40" s="114">
        <f t="shared" ref="D40:G40" si="21">+D21/D39</f>
        <v>2270.7082785911534</v>
      </c>
      <c r="E40" s="114">
        <f t="shared" si="21"/>
        <v>2364.636981419218</v>
      </c>
      <c r="F40" s="114">
        <f t="shared" si="21"/>
        <v>3316.6901433048401</v>
      </c>
      <c r="G40" s="114">
        <f t="shared" si="21"/>
        <v>3593.9523669095952</v>
      </c>
      <c r="H40" s="114">
        <f t="shared" ref="D40:H40" si="22">+H21/H39</f>
        <v>12187.178072619399</v>
      </c>
      <c r="I40" s="103"/>
      <c r="AJ40" s="87" t="s">
        <v>56</v>
      </c>
      <c r="AK40" s="87" t="s">
        <v>112</v>
      </c>
    </row>
    <row r="41" spans="1:37" s="84" customFormat="1" ht="15.75" customHeight="1">
      <c r="A41" s="87" t="s">
        <v>113</v>
      </c>
      <c r="B41" s="91" t="s">
        <v>114</v>
      </c>
      <c r="C41" s="95"/>
      <c r="D41" s="95"/>
      <c r="E41" s="95"/>
      <c r="F41" s="95"/>
      <c r="G41" s="95"/>
      <c r="H41" s="95"/>
      <c r="I41" s="103"/>
      <c r="AJ41" s="87" t="s">
        <v>113</v>
      </c>
      <c r="AK41" s="91" t="s">
        <v>114</v>
      </c>
    </row>
    <row r="42" spans="1:37" s="84" customFormat="1" ht="15.75" customHeight="1">
      <c r="A42" s="87" t="s">
        <v>54</v>
      </c>
      <c r="B42" s="87" t="s">
        <v>115</v>
      </c>
      <c r="C42" s="95">
        <f t="shared" ref="C42:H42" si="23">+C15/C4</f>
        <v>296.24</v>
      </c>
      <c r="D42" s="95">
        <f t="shared" si="23"/>
        <v>108.14</v>
      </c>
      <c r="E42" s="95">
        <f t="shared" ref="E42:G42" si="24">+E15/E4</f>
        <v>108.14</v>
      </c>
      <c r="F42" s="95">
        <f t="shared" si="24"/>
        <v>93.091999999999999</v>
      </c>
      <c r="G42" s="95">
        <f t="shared" si="24"/>
        <v>89.33</v>
      </c>
      <c r="H42" s="95">
        <f t="shared" si="23"/>
        <v>102.76571428571428</v>
      </c>
      <c r="I42" s="103"/>
      <c r="AJ42" s="87" t="s">
        <v>54</v>
      </c>
      <c r="AK42" s="87" t="s">
        <v>115</v>
      </c>
    </row>
    <row r="43" spans="1:37" s="84" customFormat="1" ht="15.75" customHeight="1">
      <c r="A43" s="87" t="s">
        <v>56</v>
      </c>
      <c r="B43" s="87" t="s">
        <v>116</v>
      </c>
      <c r="C43" s="95">
        <f t="shared" ref="C43:H43" si="25">+C17/C4</f>
        <v>12.040000000000003</v>
      </c>
      <c r="D43" s="95">
        <f t="shared" si="25"/>
        <v>12.04</v>
      </c>
      <c r="E43" s="95">
        <f t="shared" ref="E43:G43" si="26">+E17/E4</f>
        <v>12.04</v>
      </c>
      <c r="F43" s="95">
        <f t="shared" si="26"/>
        <v>12.040000000000001</v>
      </c>
      <c r="G43" s="95">
        <f t="shared" si="26"/>
        <v>12.04</v>
      </c>
      <c r="H43" s="95">
        <f t="shared" si="25"/>
        <v>12.04</v>
      </c>
      <c r="I43" s="103"/>
      <c r="AJ43" s="87" t="s">
        <v>56</v>
      </c>
      <c r="AK43" s="87" t="s">
        <v>116</v>
      </c>
    </row>
    <row r="44" spans="1:37" s="84" customFormat="1" ht="15.75" customHeight="1">
      <c r="A44" s="87" t="s">
        <v>101</v>
      </c>
      <c r="B44" s="87" t="s">
        <v>117</v>
      </c>
      <c r="C44" s="95">
        <f>+C18/C4</f>
        <v>58.480000000000004</v>
      </c>
      <c r="D44" s="95">
        <f t="shared" ref="D44:H44" si="27">+D18/D4</f>
        <v>58.48</v>
      </c>
      <c r="E44" s="95">
        <f t="shared" ref="E44:G44" si="28">+E18/E4</f>
        <v>58.48</v>
      </c>
      <c r="F44" s="95">
        <f t="shared" si="28"/>
        <v>58.48</v>
      </c>
      <c r="G44" s="95">
        <f t="shared" si="28"/>
        <v>58.48</v>
      </c>
      <c r="H44" s="95">
        <f t="shared" si="27"/>
        <v>58.48</v>
      </c>
      <c r="I44" s="103"/>
      <c r="AJ44" s="87" t="s">
        <v>101</v>
      </c>
      <c r="AK44" s="87" t="s">
        <v>117</v>
      </c>
    </row>
    <row r="45" spans="1:37" s="84" customFormat="1" ht="15.75" customHeight="1">
      <c r="A45" s="87" t="s">
        <v>59</v>
      </c>
      <c r="B45" s="87" t="s">
        <v>118</v>
      </c>
      <c r="C45" s="95">
        <f t="shared" ref="C45:H45" si="29">C19/C4</f>
        <v>61.6</v>
      </c>
      <c r="D45" s="95">
        <f t="shared" si="29"/>
        <v>10.266666666666667</v>
      </c>
      <c r="E45" s="95">
        <f t="shared" ref="E45:G45" si="30">E19/E4</f>
        <v>10.266666666666667</v>
      </c>
      <c r="F45" s="95">
        <f t="shared" si="30"/>
        <v>6.16</v>
      </c>
      <c r="G45" s="95">
        <f t="shared" si="30"/>
        <v>5.1333333333333337</v>
      </c>
      <c r="H45" s="95">
        <f t="shared" si="29"/>
        <v>8.8000000000000007</v>
      </c>
      <c r="I45" s="103"/>
      <c r="AJ45" s="87" t="s">
        <v>59</v>
      </c>
      <c r="AK45" s="87" t="s">
        <v>119</v>
      </c>
    </row>
    <row r="46" spans="1:37" s="84" customFormat="1" ht="15.75" customHeight="1">
      <c r="A46" s="87" t="s">
        <v>62</v>
      </c>
      <c r="B46" s="87" t="s">
        <v>120</v>
      </c>
      <c r="C46" s="95">
        <f>C20/C4</f>
        <v>51.6</v>
      </c>
      <c r="D46" s="95">
        <f>D20/D4</f>
        <v>51.6</v>
      </c>
      <c r="E46" s="95">
        <f t="shared" ref="E46:G46" si="31">E20/E4</f>
        <v>51.6</v>
      </c>
      <c r="F46" s="95">
        <f t="shared" si="31"/>
        <v>51.6</v>
      </c>
      <c r="G46" s="95">
        <f t="shared" si="31"/>
        <v>51.6</v>
      </c>
      <c r="H46" s="95">
        <f t="shared" ref="G46:H46" si="32">H20/H4</f>
        <v>51.6</v>
      </c>
      <c r="I46" s="103"/>
      <c r="AJ46" s="87" t="s">
        <v>62</v>
      </c>
      <c r="AK46" s="87" t="s">
        <v>120</v>
      </c>
    </row>
    <row r="47" spans="1:37" s="84" customFormat="1" ht="15.75" customHeight="1">
      <c r="A47" s="87" t="s">
        <v>121</v>
      </c>
      <c r="B47" s="91" t="s">
        <v>122</v>
      </c>
      <c r="C47" s="95"/>
      <c r="D47" s="95"/>
      <c r="E47" s="95"/>
      <c r="F47" s="95"/>
      <c r="G47" s="95"/>
      <c r="H47" s="95"/>
      <c r="I47" s="103"/>
      <c r="AJ47" s="87" t="s">
        <v>121</v>
      </c>
      <c r="AK47" s="91" t="s">
        <v>122</v>
      </c>
    </row>
    <row r="48" spans="1:37" s="84" customFormat="1" ht="15.75" customHeight="1">
      <c r="A48" s="87" t="s">
        <v>54</v>
      </c>
      <c r="B48" s="87" t="s">
        <v>123</v>
      </c>
      <c r="C48" s="107">
        <f t="shared" ref="C48:H48" si="33">+(C11+C17)/C7</f>
        <v>5.099999999999999E-2</v>
      </c>
      <c r="D48" s="107">
        <f t="shared" si="33"/>
        <v>5.2307692307692305E-2</v>
      </c>
      <c r="E48" s="107">
        <f t="shared" ref="E48:G48" si="34">+(E11+E17)/E7</f>
        <v>5.3648915187376724E-2</v>
      </c>
      <c r="F48" s="107">
        <f t="shared" si="34"/>
        <v>5.3648915187376717E-2</v>
      </c>
      <c r="G48" s="107">
        <f t="shared" si="34"/>
        <v>5.3648915187376724E-2</v>
      </c>
      <c r="H48" s="107">
        <f t="shared" si="33"/>
        <v>5.3335325315604684E-2</v>
      </c>
      <c r="I48" s="103"/>
      <c r="AJ48" s="87" t="s">
        <v>54</v>
      </c>
      <c r="AK48" s="87" t="s">
        <v>123</v>
      </c>
    </row>
    <row r="49" spans="1:37" s="84" customFormat="1" ht="15.75" customHeight="1">
      <c r="A49" s="87" t="s">
        <v>56</v>
      </c>
      <c r="B49" s="87" t="s">
        <v>124</v>
      </c>
      <c r="C49" s="107">
        <f t="shared" ref="C49:H49" si="35">+(C9+C10+C15)/C7</f>
        <v>0.23703255813953489</v>
      </c>
      <c r="D49" s="107">
        <f t="shared" si="35"/>
        <v>0.13094573643410853</v>
      </c>
      <c r="E49" s="107">
        <f t="shared" ref="E49:G49" si="36">+(E9+E10+E15)/E7</f>
        <v>0.1343033194195985</v>
      </c>
      <c r="F49" s="107">
        <f t="shared" si="36"/>
        <v>0.125100071862147</v>
      </c>
      <c r="G49" s="107">
        <f t="shared" si="36"/>
        <v>0.12279925997278412</v>
      </c>
      <c r="H49" s="107">
        <f t="shared" si="35"/>
        <v>0.1302506249554844</v>
      </c>
      <c r="I49" s="103"/>
      <c r="AJ49" s="87" t="s">
        <v>56</v>
      </c>
      <c r="AK49" s="87" t="s">
        <v>124</v>
      </c>
    </row>
    <row r="50" spans="1:37" s="84" customFormat="1" ht="15.75" customHeight="1">
      <c r="A50" s="87" t="s">
        <v>101</v>
      </c>
      <c r="B50" s="87" t="s">
        <v>125</v>
      </c>
      <c r="C50" s="107">
        <f t="shared" ref="C50:H50" si="37">+C18/C7</f>
        <v>3.4000000000000002E-2</v>
      </c>
      <c r="D50" s="107">
        <f t="shared" si="37"/>
        <v>3.487179487179487E-2</v>
      </c>
      <c r="E50" s="107">
        <f t="shared" ref="E50:G50" si="38">+E18/E7</f>
        <v>3.5765943458251154E-2</v>
      </c>
      <c r="F50" s="107">
        <f t="shared" si="38"/>
        <v>3.5765943458251154E-2</v>
      </c>
      <c r="G50" s="107">
        <f t="shared" si="38"/>
        <v>3.5765943458251154E-2</v>
      </c>
      <c r="H50" s="107">
        <f t="shared" si="37"/>
        <v>3.5556883543736463E-2</v>
      </c>
      <c r="I50" s="103"/>
      <c r="AJ50" s="87" t="s">
        <v>101</v>
      </c>
      <c r="AK50" s="87" t="s">
        <v>125</v>
      </c>
    </row>
    <row r="51" spans="1:37" s="84" customFormat="1" ht="15.75" customHeight="1">
      <c r="A51" s="87" t="s">
        <v>59</v>
      </c>
      <c r="B51" s="87" t="s">
        <v>126</v>
      </c>
      <c r="C51" s="107">
        <f t="shared" ref="C51:H51" si="39">+C19/C7</f>
        <v>3.5813953488372095E-2</v>
      </c>
      <c r="D51" s="107">
        <f t="shared" si="39"/>
        <v>6.1220433313456573E-3</v>
      </c>
      <c r="E51" s="107">
        <f t="shared" ref="E51:G51" si="40">+E19/E7</f>
        <v>6.2790188013801609E-3</v>
      </c>
      <c r="F51" s="107">
        <f t="shared" si="40"/>
        <v>3.7674112808280965E-3</v>
      </c>
      <c r="G51" s="107">
        <f t="shared" si="40"/>
        <v>3.1395094006900805E-3</v>
      </c>
      <c r="H51" s="107">
        <f t="shared" si="39"/>
        <v>5.3505570312052126E-3</v>
      </c>
      <c r="I51" s="103"/>
      <c r="AJ51" s="87" t="s">
        <v>59</v>
      </c>
      <c r="AK51" s="87" t="s">
        <v>126</v>
      </c>
    </row>
    <row r="52" spans="1:37" s="84" customFormat="1" ht="15.75" customHeight="1">
      <c r="A52" s="87" t="s">
        <v>62</v>
      </c>
      <c r="B52" s="87" t="s">
        <v>127</v>
      </c>
      <c r="C52" s="107">
        <f t="shared" ref="C52:H52" si="41">+C20/C7</f>
        <v>0.03</v>
      </c>
      <c r="D52" s="107">
        <f t="shared" si="41"/>
        <v>3.0769230769230771E-2</v>
      </c>
      <c r="E52" s="107">
        <f t="shared" ref="E52:G52" si="42">+E20/E7</f>
        <v>3.1558185404339252E-2</v>
      </c>
      <c r="F52" s="107">
        <f t="shared" si="42"/>
        <v>3.1558185404339252E-2</v>
      </c>
      <c r="G52" s="107">
        <f t="shared" si="42"/>
        <v>3.1558185404339252E-2</v>
      </c>
      <c r="H52" s="107">
        <f t="shared" si="41"/>
        <v>3.137372077388511E-2</v>
      </c>
      <c r="I52" s="103"/>
      <c r="AJ52" s="87" t="s">
        <v>62</v>
      </c>
      <c r="AK52" s="87" t="s">
        <v>127</v>
      </c>
    </row>
    <row r="53" spans="1:37" s="84" customFormat="1" ht="15.75" customHeight="1">
      <c r="A53" s="87" t="s">
        <v>65</v>
      </c>
      <c r="B53" s="87" t="s">
        <v>128</v>
      </c>
      <c r="C53" s="107">
        <f t="shared" ref="C53:H53" si="43">+C24/C7</f>
        <v>-8.6765116279069771E-2</v>
      </c>
      <c r="D53" s="107">
        <f t="shared" si="43"/>
        <v>3.9155162989465232E-2</v>
      </c>
      <c r="E53" s="107">
        <f t="shared" ref="E53:G53" si="44">+E24/E7</f>
        <v>3.3597111116207688E-2</v>
      </c>
      <c r="F53" s="107">
        <f t="shared" si="44"/>
        <v>5.8406758281347927E-2</v>
      </c>
      <c r="G53" s="107">
        <f t="shared" si="44"/>
        <v>7.5376884825540003E-2</v>
      </c>
      <c r="H53" s="107">
        <f t="shared" si="43"/>
        <v>5.226004838418713E-2</v>
      </c>
      <c r="I53" s="103"/>
      <c r="AJ53" s="87" t="s">
        <v>65</v>
      </c>
      <c r="AK53" s="87" t="s">
        <v>129</v>
      </c>
    </row>
    <row r="54" spans="1:37" s="84" customFormat="1" ht="15.75" customHeight="1">
      <c r="A54" s="87" t="s">
        <v>130</v>
      </c>
      <c r="B54" s="91" t="s">
        <v>131</v>
      </c>
      <c r="C54" s="95">
        <f>+C22/C4</f>
        <v>-149.23599999999999</v>
      </c>
      <c r="D54" s="95">
        <f t="shared" ref="D54:H54" si="45">+D22/D4</f>
        <v>77.250833333333176</v>
      </c>
      <c r="E54" s="95">
        <f t="shared" ref="E54:G54" si="46">+E22/E4</f>
        <v>64.627995833333273</v>
      </c>
      <c r="F54" s="95">
        <f t="shared" si="46"/>
        <v>112.35227093749997</v>
      </c>
      <c r="G54" s="95">
        <f t="shared" si="46"/>
        <v>144.9963058307292</v>
      </c>
      <c r="H54" s="95">
        <f t="shared" si="45"/>
        <v>101.87186726696424</v>
      </c>
      <c r="I54" s="103"/>
      <c r="AJ54" s="87" t="s">
        <v>130</v>
      </c>
      <c r="AK54" s="91" t="s">
        <v>131</v>
      </c>
    </row>
    <row r="55" spans="1:37" s="84" customFormat="1" ht="15.75" customHeight="1">
      <c r="A55" s="87" t="s">
        <v>132</v>
      </c>
      <c r="B55" s="130" t="s">
        <v>133</v>
      </c>
      <c r="C55" s="95"/>
      <c r="D55" s="95"/>
      <c r="E55" s="95"/>
      <c r="F55" s="95"/>
      <c r="G55" s="95"/>
      <c r="H55" s="95"/>
      <c r="I55" s="103"/>
      <c r="AJ55" s="87"/>
      <c r="AK55" s="91"/>
    </row>
    <row r="56" spans="1:37" s="84" customFormat="1" ht="15.75" customHeight="1">
      <c r="A56" s="87" t="s">
        <v>54</v>
      </c>
      <c r="B56" s="87" t="s">
        <v>134</v>
      </c>
      <c r="C56" s="95">
        <f>C57+C58</f>
        <v>748000</v>
      </c>
      <c r="D56" s="95"/>
      <c r="E56" s="95"/>
      <c r="F56" s="95"/>
      <c r="G56" s="95"/>
      <c r="H56" s="95"/>
      <c r="I56" s="103"/>
    </row>
    <row r="57" spans="1:37" s="84" customFormat="1" ht="15.75" customHeight="1">
      <c r="A57" s="87">
        <v>1.1000000000000001</v>
      </c>
      <c r="B57" s="131" t="s">
        <v>135</v>
      </c>
      <c r="C57" s="95">
        <f>项目投资!B27</f>
        <v>154000</v>
      </c>
      <c r="D57" s="95"/>
      <c r="E57" s="95"/>
      <c r="F57" s="95"/>
      <c r="G57" s="95"/>
      <c r="H57" s="95"/>
      <c r="I57" s="103"/>
    </row>
    <row r="58" spans="1:37" s="84" customFormat="1" ht="15.75" customHeight="1">
      <c r="A58" s="87">
        <v>1.2</v>
      </c>
      <c r="B58" s="87" t="s">
        <v>136</v>
      </c>
      <c r="C58" s="95">
        <f>项目投资!B26</f>
        <v>594000</v>
      </c>
      <c r="D58" s="95"/>
      <c r="E58" s="95"/>
      <c r="F58" s="95"/>
      <c r="G58" s="95"/>
      <c r="H58" s="95"/>
      <c r="I58" s="103"/>
    </row>
    <row r="59" spans="1:37" ht="15.75" customHeight="1">
      <c r="A59" s="119" t="s">
        <v>56</v>
      </c>
      <c r="B59" s="119" t="s">
        <v>137</v>
      </c>
      <c r="C59" s="132">
        <f>C60+C61</f>
        <v>-74618</v>
      </c>
      <c r="D59" s="132">
        <f t="shared" ref="D59:H59" si="47">D60+D61</f>
        <v>196989.62499999959</v>
      </c>
      <c r="E59" s="132">
        <f t="shared" ref="E59:G59" si="48">E60+E61</f>
        <v>164801.38937499985</v>
      </c>
      <c r="F59" s="132">
        <f t="shared" si="48"/>
        <v>477497.15148437483</v>
      </c>
      <c r="G59" s="132">
        <f t="shared" si="48"/>
        <v>739481.15973671887</v>
      </c>
      <c r="H59" s="132">
        <f t="shared" si="47"/>
        <v>1504151.3255960932</v>
      </c>
      <c r="I59" s="103"/>
    </row>
    <row r="60" spans="1:37" ht="15.75" customHeight="1">
      <c r="A60" s="119" t="s">
        <v>101</v>
      </c>
      <c r="B60" s="119" t="s">
        <v>138</v>
      </c>
      <c r="C60" s="132">
        <f t="shared" ref="C60:H60" si="49">C24</f>
        <v>-74618</v>
      </c>
      <c r="D60" s="132">
        <f t="shared" si="49"/>
        <v>196989.62499999959</v>
      </c>
      <c r="E60" s="132">
        <f t="shared" ref="E60:G60" si="50">E24</f>
        <v>164801.38937499985</v>
      </c>
      <c r="F60" s="132">
        <f t="shared" si="50"/>
        <v>477497.15148437483</v>
      </c>
      <c r="G60" s="132">
        <f t="shared" si="50"/>
        <v>739481.15973671887</v>
      </c>
      <c r="H60" s="132">
        <f t="shared" si="49"/>
        <v>1504151.3255960932</v>
      </c>
      <c r="I60" s="103"/>
    </row>
    <row r="61" spans="1:37" ht="15.75" customHeight="1">
      <c r="A61" s="119" t="s">
        <v>59</v>
      </c>
      <c r="B61" s="119" t="s">
        <v>139</v>
      </c>
      <c r="C61" s="132">
        <f>'[2]2023年'!I18</f>
        <v>0</v>
      </c>
      <c r="D61" s="132"/>
      <c r="E61" s="132"/>
      <c r="F61" s="132"/>
      <c r="G61" s="132"/>
      <c r="H61" s="132">
        <f>[2]项目投资!G26</f>
        <v>0</v>
      </c>
      <c r="I61" s="103"/>
    </row>
    <row r="62" spans="1:37" ht="15.75" customHeight="1">
      <c r="A62" s="119" t="s">
        <v>62</v>
      </c>
      <c r="B62" s="119" t="s">
        <v>140</v>
      </c>
      <c r="C62" s="133"/>
      <c r="D62" s="133"/>
      <c r="E62" s="133"/>
      <c r="F62" s="133"/>
      <c r="G62" s="133"/>
      <c r="H62" s="132"/>
      <c r="I62" s="103"/>
    </row>
    <row r="64" spans="1:37">
      <c r="B64"/>
    </row>
  </sheetData>
  <mergeCells count="2">
    <mergeCell ref="A1:H1"/>
    <mergeCell ref="A3:A4"/>
  </mergeCells>
  <phoneticPr fontId="4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4"/>
  <sheetViews>
    <sheetView zoomScale="85" zoomScaleNormal="85" workbookViewId="0">
      <pane xSplit="2" ySplit="7" topLeftCell="C26" activePane="bottomRight" state="frozen"/>
      <selection pane="topRight"/>
      <selection pane="bottomLeft"/>
      <selection pane="bottomRight" activeCell="A25" sqref="A25:XFD25"/>
    </sheetView>
  </sheetViews>
  <sheetFormatPr defaultColWidth="9" defaultRowHeight="16.5"/>
  <cols>
    <col min="1" max="1" width="5.125" style="84" customWidth="1"/>
    <col min="2" max="2" width="17.5" style="84" customWidth="1"/>
    <col min="3" max="3" width="12" style="85" customWidth="1"/>
    <col min="4" max="13" width="10.625" style="85" customWidth="1"/>
    <col min="14" max="14" width="15.5" style="85" customWidth="1"/>
    <col min="15" max="15" width="12.375" style="84" customWidth="1"/>
    <col min="16" max="16" width="10.125" style="84" customWidth="1"/>
    <col min="17" max="23" width="9" style="84" customWidth="1"/>
    <col min="24" max="40" width="9" style="84"/>
    <col min="41" max="41" width="4.375" style="84" customWidth="1"/>
    <col min="42" max="42" width="13.875" style="84" customWidth="1"/>
    <col min="43" max="16384" width="9" style="84"/>
  </cols>
  <sheetData>
    <row r="1" spans="1:43">
      <c r="A1" s="197" t="s">
        <v>141</v>
      </c>
      <c r="B1" s="197"/>
      <c r="C1" s="201" t="s">
        <v>254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3"/>
    </row>
    <row r="2" spans="1:43">
      <c r="A2" s="197" t="s">
        <v>142</v>
      </c>
      <c r="B2" s="197"/>
      <c r="C2" s="204" t="s">
        <v>255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1:43" ht="33">
      <c r="A3" s="197" t="s">
        <v>143</v>
      </c>
      <c r="B3" s="197"/>
      <c r="C3" s="12" t="str">
        <f>销量!C5</f>
        <v>驾驶员座总成</v>
      </c>
      <c r="D3" s="12">
        <f>销量!D5</f>
        <v>0</v>
      </c>
      <c r="E3" s="12">
        <f>销量!E5</f>
        <v>0</v>
      </c>
      <c r="F3" s="12">
        <f>销量!F5</f>
        <v>0</v>
      </c>
      <c r="G3" s="12">
        <f>销量!G5</f>
        <v>0</v>
      </c>
      <c r="H3" s="12">
        <f>销量!H5</f>
        <v>0</v>
      </c>
      <c r="I3" s="12">
        <f>销量!I5</f>
        <v>0</v>
      </c>
      <c r="J3" s="12">
        <f>销量!J5</f>
        <v>0</v>
      </c>
      <c r="K3" s="12">
        <f>销量!K5</f>
        <v>0</v>
      </c>
      <c r="L3" s="12">
        <f>销量!L5</f>
        <v>0</v>
      </c>
      <c r="M3" s="12">
        <f>销量!M5</f>
        <v>0</v>
      </c>
      <c r="N3" s="198" t="s">
        <v>50</v>
      </c>
    </row>
    <row r="4" spans="1:43" ht="49.5">
      <c r="A4" s="197" t="s">
        <v>144</v>
      </c>
      <c r="B4" s="197"/>
      <c r="C4" s="12" t="str">
        <f>销量!C6</f>
        <v>6800010GE404</v>
      </c>
      <c r="D4" s="14">
        <f>销量!D6</f>
        <v>0</v>
      </c>
      <c r="E4" s="14">
        <f>销量!E6</f>
        <v>0</v>
      </c>
      <c r="F4" s="14">
        <f>销量!F6</f>
        <v>0</v>
      </c>
      <c r="G4" s="14">
        <f>销量!G6</f>
        <v>0</v>
      </c>
      <c r="H4" s="14">
        <f>销量!H6</f>
        <v>0</v>
      </c>
      <c r="I4" s="14">
        <f>销量!I6</f>
        <v>0</v>
      </c>
      <c r="J4" s="14">
        <f>销量!J6</f>
        <v>0</v>
      </c>
      <c r="K4" s="14">
        <f>销量!K6</f>
        <v>0</v>
      </c>
      <c r="L4" s="14">
        <f>销量!L6</f>
        <v>0</v>
      </c>
      <c r="M4" s="14">
        <f>销量!M6</f>
        <v>0</v>
      </c>
      <c r="N4" s="199"/>
    </row>
    <row r="5" spans="1:43">
      <c r="A5" s="197" t="s">
        <v>145</v>
      </c>
      <c r="B5" s="197"/>
      <c r="C5" s="46"/>
      <c r="D5" s="46"/>
      <c r="E5" s="14"/>
      <c r="F5" s="14"/>
      <c r="G5" s="46"/>
      <c r="H5" s="46"/>
      <c r="I5" s="14"/>
      <c r="J5" s="14"/>
      <c r="K5" s="14"/>
      <c r="L5" s="14"/>
      <c r="M5" s="14"/>
      <c r="N5" s="200"/>
      <c r="AQ5" s="84" t="s">
        <v>51</v>
      </c>
    </row>
    <row r="6" spans="1:43" ht="17.25">
      <c r="A6" s="87" t="s">
        <v>17</v>
      </c>
      <c r="B6" s="88" t="s">
        <v>146</v>
      </c>
      <c r="C6" s="89">
        <f>销量!C9</f>
        <v>500</v>
      </c>
      <c r="D6" s="89">
        <f>销量!D9</f>
        <v>0</v>
      </c>
      <c r="E6" s="89">
        <f>销量!E9</f>
        <v>0</v>
      </c>
      <c r="F6" s="89">
        <f>销量!F9</f>
        <v>0</v>
      </c>
      <c r="G6" s="89">
        <f>销量!G9</f>
        <v>0</v>
      </c>
      <c r="H6" s="89">
        <f>销量!H9</f>
        <v>0</v>
      </c>
      <c r="I6" s="89">
        <f>销量!I9</f>
        <v>0</v>
      </c>
      <c r="J6" s="89">
        <f>销量!J9</f>
        <v>0</v>
      </c>
      <c r="K6" s="89">
        <f>销量!K9</f>
        <v>0</v>
      </c>
      <c r="L6" s="89">
        <f>销量!L9</f>
        <v>0</v>
      </c>
      <c r="M6" s="89">
        <f>销量!M9</f>
        <v>0</v>
      </c>
      <c r="N6" s="90">
        <f>+SUM(C6:M6)</f>
        <v>500</v>
      </c>
      <c r="Y6" s="88" t="s">
        <v>3</v>
      </c>
      <c r="AO6" s="87" t="s">
        <v>17</v>
      </c>
      <c r="AP6" s="88" t="s">
        <v>3</v>
      </c>
      <c r="AQ6" s="84" t="s">
        <v>52</v>
      </c>
    </row>
    <row r="7" spans="1:43">
      <c r="A7" s="86">
        <v>1</v>
      </c>
      <c r="B7" s="88" t="s">
        <v>53</v>
      </c>
      <c r="C7" s="90">
        <f>C6*销量!C8</f>
        <v>860000</v>
      </c>
      <c r="D7" s="90">
        <f>D6*销量!D8</f>
        <v>0</v>
      </c>
      <c r="E7" s="90">
        <f>E6*销量!E8</f>
        <v>0</v>
      </c>
      <c r="F7" s="90">
        <f>F6*销量!F8</f>
        <v>0</v>
      </c>
      <c r="G7" s="90">
        <f>G6*销量!G8</f>
        <v>0</v>
      </c>
      <c r="H7" s="90">
        <f>H6*销量!H8</f>
        <v>0</v>
      </c>
      <c r="I7" s="90">
        <f>I6*销量!I8</f>
        <v>0</v>
      </c>
      <c r="J7" s="90">
        <f>J6*销量!J8</f>
        <v>0</v>
      </c>
      <c r="K7" s="90">
        <f>K6*销量!K8</f>
        <v>0</v>
      </c>
      <c r="L7" s="90">
        <f>L6*销量!L8</f>
        <v>0</v>
      </c>
      <c r="M7" s="90">
        <f>M6*销量!M8</f>
        <v>0</v>
      </c>
      <c r="N7" s="90">
        <f t="shared" ref="N7:N15" si="0">+SUM(C7:M7)</f>
        <v>860000</v>
      </c>
      <c r="O7" s="85"/>
      <c r="Y7" s="88" t="s">
        <v>53</v>
      </c>
      <c r="AO7" s="87" t="s">
        <v>54</v>
      </c>
      <c r="AP7" s="88" t="s">
        <v>53</v>
      </c>
      <c r="AQ7" s="84" t="s">
        <v>52</v>
      </c>
    </row>
    <row r="8" spans="1:43">
      <c r="A8" s="86">
        <v>2</v>
      </c>
      <c r="B8" s="86" t="s">
        <v>55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>
        <f t="shared" si="0"/>
        <v>0</v>
      </c>
      <c r="O8" s="103"/>
      <c r="Y8" s="86" t="s">
        <v>57</v>
      </c>
      <c r="AO8" s="87" t="s">
        <v>56</v>
      </c>
      <c r="AP8" s="86" t="s">
        <v>57</v>
      </c>
      <c r="AQ8" s="84" t="s">
        <v>52</v>
      </c>
    </row>
    <row r="9" spans="1:43">
      <c r="A9" s="86">
        <v>3</v>
      </c>
      <c r="B9" s="88" t="s">
        <v>58</v>
      </c>
      <c r="C9" s="90">
        <f t="shared" ref="C9:M9" si="1">+C7-C8</f>
        <v>860000</v>
      </c>
      <c r="D9" s="90">
        <f t="shared" ref="D9:E9" si="2">+D7-D8</f>
        <v>0</v>
      </c>
      <c r="E9" s="90">
        <f t="shared" si="2"/>
        <v>0</v>
      </c>
      <c r="F9" s="90">
        <f t="shared" si="1"/>
        <v>0</v>
      </c>
      <c r="G9" s="90">
        <f t="shared" si="1"/>
        <v>0</v>
      </c>
      <c r="H9" s="90">
        <f t="shared" si="1"/>
        <v>0</v>
      </c>
      <c r="I9" s="90">
        <f t="shared" si="1"/>
        <v>0</v>
      </c>
      <c r="J9" s="90">
        <f t="shared" si="1"/>
        <v>0</v>
      </c>
      <c r="K9" s="90">
        <f t="shared" si="1"/>
        <v>0</v>
      </c>
      <c r="L9" s="90">
        <f t="shared" si="1"/>
        <v>0</v>
      </c>
      <c r="M9" s="90">
        <f t="shared" si="1"/>
        <v>0</v>
      </c>
      <c r="N9" s="90">
        <f t="shared" si="0"/>
        <v>860000</v>
      </c>
      <c r="Y9" s="88" t="s">
        <v>58</v>
      </c>
      <c r="AO9" s="87" t="s">
        <v>59</v>
      </c>
      <c r="AP9" s="88" t="s">
        <v>58</v>
      </c>
      <c r="AQ9" s="84" t="s">
        <v>60</v>
      </c>
    </row>
    <row r="10" spans="1:43">
      <c r="A10" s="86">
        <v>4</v>
      </c>
      <c r="B10" s="87" t="s">
        <v>61</v>
      </c>
      <c r="C10" s="90">
        <f t="shared" ref="C10:M10" si="3">C6*C33</f>
        <v>601070</v>
      </c>
      <c r="D10" s="90">
        <f t="shared" si="3"/>
        <v>0</v>
      </c>
      <c r="E10" s="90">
        <f t="shared" si="3"/>
        <v>0</v>
      </c>
      <c r="F10" s="90">
        <f t="shared" si="3"/>
        <v>0</v>
      </c>
      <c r="G10" s="90">
        <f t="shared" si="3"/>
        <v>0</v>
      </c>
      <c r="H10" s="90">
        <f t="shared" si="3"/>
        <v>0</v>
      </c>
      <c r="I10" s="90">
        <f t="shared" si="3"/>
        <v>0</v>
      </c>
      <c r="J10" s="90">
        <f t="shared" si="3"/>
        <v>0</v>
      </c>
      <c r="K10" s="90">
        <f t="shared" si="3"/>
        <v>0</v>
      </c>
      <c r="L10" s="90">
        <f t="shared" si="3"/>
        <v>0</v>
      </c>
      <c r="M10" s="90">
        <f t="shared" si="3"/>
        <v>0</v>
      </c>
      <c r="N10" s="90">
        <f t="shared" si="0"/>
        <v>601070</v>
      </c>
      <c r="Y10" s="87" t="s">
        <v>61</v>
      </c>
      <c r="AO10" s="87" t="s">
        <v>62</v>
      </c>
      <c r="AP10" s="87" t="s">
        <v>61</v>
      </c>
      <c r="AQ10" s="84" t="s">
        <v>63</v>
      </c>
    </row>
    <row r="11" spans="1:43">
      <c r="A11" s="86">
        <v>5</v>
      </c>
      <c r="B11" s="87" t="s">
        <v>64</v>
      </c>
      <c r="C11" s="90">
        <f t="shared" ref="C11:M11" si="4">+C6*C36</f>
        <v>37066</v>
      </c>
      <c r="D11" s="90">
        <f t="shared" si="4"/>
        <v>0</v>
      </c>
      <c r="E11" s="90">
        <f t="shared" si="4"/>
        <v>0</v>
      </c>
      <c r="F11" s="90">
        <f t="shared" si="4"/>
        <v>0</v>
      </c>
      <c r="G11" s="90">
        <f t="shared" si="4"/>
        <v>0</v>
      </c>
      <c r="H11" s="90">
        <f t="shared" si="4"/>
        <v>0</v>
      </c>
      <c r="I11" s="90">
        <f t="shared" si="4"/>
        <v>0</v>
      </c>
      <c r="J11" s="90">
        <f t="shared" si="4"/>
        <v>0</v>
      </c>
      <c r="K11" s="90">
        <f t="shared" si="4"/>
        <v>0</v>
      </c>
      <c r="L11" s="90">
        <f t="shared" si="4"/>
        <v>0</v>
      </c>
      <c r="M11" s="90">
        <f t="shared" si="4"/>
        <v>0</v>
      </c>
      <c r="N11" s="90">
        <f t="shared" si="0"/>
        <v>37066</v>
      </c>
      <c r="Y11" s="87" t="s">
        <v>64</v>
      </c>
      <c r="AO11" s="87" t="s">
        <v>65</v>
      </c>
      <c r="AP11" s="87" t="s">
        <v>64</v>
      </c>
    </row>
    <row r="12" spans="1:43">
      <c r="A12" s="86">
        <v>6</v>
      </c>
      <c r="B12" s="87" t="s">
        <v>66</v>
      </c>
      <c r="C12" s="90">
        <f>+C6*C37</f>
        <v>18662</v>
      </c>
      <c r="D12" s="90">
        <f t="shared" ref="D12:M12" si="5">+D6*D37</f>
        <v>0</v>
      </c>
      <c r="E12" s="90">
        <f t="shared" si="5"/>
        <v>0</v>
      </c>
      <c r="F12" s="90">
        <f t="shared" si="5"/>
        <v>0</v>
      </c>
      <c r="G12" s="90">
        <f t="shared" si="5"/>
        <v>0</v>
      </c>
      <c r="H12" s="90">
        <f t="shared" si="5"/>
        <v>0</v>
      </c>
      <c r="I12" s="90">
        <f t="shared" si="5"/>
        <v>0</v>
      </c>
      <c r="J12" s="90">
        <f t="shared" si="5"/>
        <v>0</v>
      </c>
      <c r="K12" s="90">
        <f t="shared" si="5"/>
        <v>0</v>
      </c>
      <c r="L12" s="90">
        <f t="shared" si="5"/>
        <v>0</v>
      </c>
      <c r="M12" s="90">
        <f t="shared" si="5"/>
        <v>0</v>
      </c>
      <c r="N12" s="90">
        <f t="shared" si="0"/>
        <v>18662</v>
      </c>
      <c r="Y12" s="87" t="s">
        <v>66</v>
      </c>
      <c r="AO12" s="87" t="s">
        <v>67</v>
      </c>
      <c r="AP12" s="87" t="s">
        <v>66</v>
      </c>
    </row>
    <row r="13" spans="1:43">
      <c r="A13" s="86">
        <v>7</v>
      </c>
      <c r="B13" s="87" t="s">
        <v>68</v>
      </c>
      <c r="C13" s="90">
        <f>+C6*C38</f>
        <v>37839.999999999993</v>
      </c>
      <c r="D13" s="90">
        <f t="shared" ref="D13:M13" si="6">+D6*D38</f>
        <v>0</v>
      </c>
      <c r="E13" s="90">
        <f t="shared" si="6"/>
        <v>0</v>
      </c>
      <c r="F13" s="90">
        <f t="shared" si="6"/>
        <v>0</v>
      </c>
      <c r="G13" s="90">
        <f t="shared" si="6"/>
        <v>0</v>
      </c>
      <c r="H13" s="90">
        <f t="shared" si="6"/>
        <v>0</v>
      </c>
      <c r="I13" s="90">
        <f t="shared" si="6"/>
        <v>0</v>
      </c>
      <c r="J13" s="90">
        <f t="shared" si="6"/>
        <v>0</v>
      </c>
      <c r="K13" s="90">
        <f t="shared" si="6"/>
        <v>0</v>
      </c>
      <c r="L13" s="90">
        <f t="shared" si="6"/>
        <v>0</v>
      </c>
      <c r="M13" s="90">
        <f t="shared" si="6"/>
        <v>0</v>
      </c>
      <c r="N13" s="90">
        <f t="shared" si="0"/>
        <v>37839.999999999993</v>
      </c>
      <c r="Y13" s="87" t="s">
        <v>68</v>
      </c>
      <c r="AO13" s="87" t="s">
        <v>69</v>
      </c>
      <c r="AP13" s="87" t="s">
        <v>68</v>
      </c>
      <c r="AQ13" s="84" t="s">
        <v>52</v>
      </c>
    </row>
    <row r="14" spans="1:43">
      <c r="A14" s="86">
        <v>8</v>
      </c>
      <c r="B14" s="91" t="s">
        <v>70</v>
      </c>
      <c r="C14" s="90">
        <f>SUM(C11:C13)</f>
        <v>93568</v>
      </c>
      <c r="D14" s="90">
        <f t="shared" ref="D14:M14" si="7">SUM(D11:D13)</f>
        <v>0</v>
      </c>
      <c r="E14" s="90">
        <f t="shared" si="7"/>
        <v>0</v>
      </c>
      <c r="F14" s="90">
        <f t="shared" si="7"/>
        <v>0</v>
      </c>
      <c r="G14" s="90">
        <f t="shared" si="7"/>
        <v>0</v>
      </c>
      <c r="H14" s="90">
        <f t="shared" si="7"/>
        <v>0</v>
      </c>
      <c r="I14" s="90">
        <f t="shared" si="7"/>
        <v>0</v>
      </c>
      <c r="J14" s="90">
        <f t="shared" si="7"/>
        <v>0</v>
      </c>
      <c r="K14" s="90">
        <f t="shared" si="7"/>
        <v>0</v>
      </c>
      <c r="L14" s="90">
        <f t="shared" si="7"/>
        <v>0</v>
      </c>
      <c r="M14" s="90">
        <f t="shared" si="7"/>
        <v>0</v>
      </c>
      <c r="N14" s="90">
        <f t="shared" si="0"/>
        <v>93568</v>
      </c>
      <c r="Y14" s="91" t="s">
        <v>70</v>
      </c>
      <c r="AO14" s="87" t="s">
        <v>71</v>
      </c>
      <c r="AP14" s="91" t="s">
        <v>70</v>
      </c>
    </row>
    <row r="15" spans="1:43">
      <c r="A15" s="86">
        <v>9</v>
      </c>
      <c r="B15" s="91" t="s">
        <v>72</v>
      </c>
      <c r="C15" s="90">
        <f>+C9-C10-C14</f>
        <v>165362</v>
      </c>
      <c r="D15" s="90">
        <f t="shared" ref="D15:M15" si="8">+D9-D10-D14</f>
        <v>0</v>
      </c>
      <c r="E15" s="90">
        <f t="shared" si="8"/>
        <v>0</v>
      </c>
      <c r="F15" s="90">
        <f t="shared" si="8"/>
        <v>0</v>
      </c>
      <c r="G15" s="90">
        <f t="shared" si="8"/>
        <v>0</v>
      </c>
      <c r="H15" s="90">
        <f t="shared" si="8"/>
        <v>0</v>
      </c>
      <c r="I15" s="90">
        <f t="shared" si="8"/>
        <v>0</v>
      </c>
      <c r="J15" s="90">
        <f t="shared" si="8"/>
        <v>0</v>
      </c>
      <c r="K15" s="90">
        <f t="shared" si="8"/>
        <v>0</v>
      </c>
      <c r="L15" s="90">
        <f t="shared" si="8"/>
        <v>0</v>
      </c>
      <c r="M15" s="90">
        <f t="shared" si="8"/>
        <v>0</v>
      </c>
      <c r="N15" s="90">
        <f t="shared" si="0"/>
        <v>165362</v>
      </c>
      <c r="Y15" s="91" t="s">
        <v>72</v>
      </c>
      <c r="AO15" s="87" t="s">
        <v>73</v>
      </c>
      <c r="AP15" s="91" t="s">
        <v>72</v>
      </c>
    </row>
    <row r="16" spans="1:43">
      <c r="A16" s="86">
        <v>10</v>
      </c>
      <c r="B16" s="87" t="s">
        <v>74</v>
      </c>
      <c r="C16" s="92">
        <f>+C15/C9</f>
        <v>0.1922813953488372</v>
      </c>
      <c r="D16" s="92" t="e">
        <f t="shared" ref="D16:N16" si="9">+D15/D9</f>
        <v>#DIV/0!</v>
      </c>
      <c r="E16" s="92" t="e">
        <f t="shared" si="9"/>
        <v>#DIV/0!</v>
      </c>
      <c r="F16" s="92" t="e">
        <f t="shared" si="9"/>
        <v>#DIV/0!</v>
      </c>
      <c r="G16" s="92" t="e">
        <f t="shared" si="9"/>
        <v>#DIV/0!</v>
      </c>
      <c r="H16" s="92" t="e">
        <f t="shared" si="9"/>
        <v>#DIV/0!</v>
      </c>
      <c r="I16" s="92" t="e">
        <f t="shared" si="9"/>
        <v>#DIV/0!</v>
      </c>
      <c r="J16" s="92" t="e">
        <f t="shared" si="9"/>
        <v>#DIV/0!</v>
      </c>
      <c r="K16" s="92" t="e">
        <f t="shared" si="9"/>
        <v>#DIV/0!</v>
      </c>
      <c r="L16" s="92" t="e">
        <f t="shared" si="9"/>
        <v>#DIV/0!</v>
      </c>
      <c r="M16" s="92" t="e">
        <f t="shared" si="9"/>
        <v>#DIV/0!</v>
      </c>
      <c r="N16" s="92">
        <f t="shared" si="9"/>
        <v>0.1922813953488372</v>
      </c>
      <c r="Y16" s="87" t="s">
        <v>74</v>
      </c>
      <c r="AO16" s="87" t="s">
        <v>75</v>
      </c>
      <c r="AP16" s="87" t="s">
        <v>74</v>
      </c>
    </row>
    <row r="17" spans="1:43">
      <c r="A17" s="86">
        <v>11</v>
      </c>
      <c r="B17" s="87" t="s">
        <v>76</v>
      </c>
      <c r="C17" s="90">
        <f>C6*C43+C18</f>
        <v>148120</v>
      </c>
      <c r="D17" s="90">
        <f>D6*D43+D18</f>
        <v>0</v>
      </c>
      <c r="E17" s="90">
        <f t="shared" ref="E17:M17" si="10">E6*E43+E18</f>
        <v>0</v>
      </c>
      <c r="F17" s="90">
        <f t="shared" si="10"/>
        <v>0</v>
      </c>
      <c r="G17" s="90">
        <f t="shared" si="10"/>
        <v>0</v>
      </c>
      <c r="H17" s="90">
        <f t="shared" si="10"/>
        <v>0</v>
      </c>
      <c r="I17" s="90">
        <f t="shared" si="10"/>
        <v>0</v>
      </c>
      <c r="J17" s="90">
        <f t="shared" si="10"/>
        <v>0</v>
      </c>
      <c r="K17" s="90">
        <f t="shared" si="10"/>
        <v>0</v>
      </c>
      <c r="L17" s="90">
        <f t="shared" si="10"/>
        <v>0</v>
      </c>
      <c r="M17" s="90">
        <f t="shared" si="10"/>
        <v>0</v>
      </c>
      <c r="N17" s="90">
        <f>+SUM(C17:M17)</f>
        <v>148120</v>
      </c>
      <c r="O17" s="103"/>
      <c r="Y17" s="87" t="s">
        <v>76</v>
      </c>
      <c r="AO17" s="87" t="s">
        <v>77</v>
      </c>
      <c r="AP17" s="87" t="s">
        <v>76</v>
      </c>
    </row>
    <row r="18" spans="1:43" s="82" customFormat="1">
      <c r="A18" s="86">
        <v>12</v>
      </c>
      <c r="B18" s="93" t="s">
        <v>147</v>
      </c>
      <c r="C18" s="94">
        <f>$N$18/$N$6*C6</f>
        <v>112860</v>
      </c>
      <c r="D18" s="94">
        <f>$N$18/$N$6*D6</f>
        <v>0</v>
      </c>
      <c r="E18" s="94">
        <f t="shared" ref="E18:M18" si="11">$N$18/$N$6*E6</f>
        <v>0</v>
      </c>
      <c r="F18" s="94">
        <f t="shared" si="11"/>
        <v>0</v>
      </c>
      <c r="G18" s="94">
        <f t="shared" si="11"/>
        <v>0</v>
      </c>
      <c r="H18" s="94">
        <f t="shared" si="11"/>
        <v>0</v>
      </c>
      <c r="I18" s="94">
        <f t="shared" si="11"/>
        <v>0</v>
      </c>
      <c r="J18" s="94">
        <f t="shared" si="11"/>
        <v>0</v>
      </c>
      <c r="K18" s="94">
        <f t="shared" si="11"/>
        <v>0</v>
      </c>
      <c r="L18" s="94">
        <f t="shared" si="11"/>
        <v>0</v>
      </c>
      <c r="M18" s="94">
        <f t="shared" si="11"/>
        <v>0</v>
      </c>
      <c r="N18" s="90">
        <f>项目投资!D26</f>
        <v>112860</v>
      </c>
      <c r="O18" s="105" t="s">
        <v>148</v>
      </c>
      <c r="P18" s="105"/>
      <c r="Q18" s="105"/>
    </row>
    <row r="19" spans="1:43">
      <c r="A19" s="86">
        <v>13</v>
      </c>
      <c r="B19" s="87" t="s">
        <v>78</v>
      </c>
      <c r="C19" s="90">
        <f>C6*C44</f>
        <v>6020.0000000000009</v>
      </c>
      <c r="D19" s="90">
        <f t="shared" ref="D19:M19" si="12">D6*D44</f>
        <v>0</v>
      </c>
      <c r="E19" s="90">
        <f t="shared" si="12"/>
        <v>0</v>
      </c>
      <c r="F19" s="90">
        <f t="shared" si="12"/>
        <v>0</v>
      </c>
      <c r="G19" s="90">
        <f t="shared" si="12"/>
        <v>0</v>
      </c>
      <c r="H19" s="90">
        <f t="shared" si="12"/>
        <v>0</v>
      </c>
      <c r="I19" s="90">
        <f t="shared" si="12"/>
        <v>0</v>
      </c>
      <c r="J19" s="90">
        <f t="shared" si="12"/>
        <v>0</v>
      </c>
      <c r="K19" s="90">
        <f t="shared" si="12"/>
        <v>0</v>
      </c>
      <c r="L19" s="90">
        <f t="shared" si="12"/>
        <v>0</v>
      </c>
      <c r="M19" s="90">
        <f t="shared" si="12"/>
        <v>0</v>
      </c>
      <c r="N19" s="90">
        <f t="shared" ref="N19:N20" si="13">+SUM(C19:M19)</f>
        <v>6020.0000000000009</v>
      </c>
      <c r="O19" s="82"/>
      <c r="Y19" s="87" t="s">
        <v>78</v>
      </c>
      <c r="AO19" s="87" t="s">
        <v>79</v>
      </c>
      <c r="AP19" s="87" t="s">
        <v>78</v>
      </c>
      <c r="AQ19" s="84" t="s">
        <v>52</v>
      </c>
    </row>
    <row r="20" spans="1:43">
      <c r="A20" s="86">
        <v>14</v>
      </c>
      <c r="B20" s="87" t="s">
        <v>80</v>
      </c>
      <c r="C20" s="90">
        <f>C6*C45</f>
        <v>29240.000000000004</v>
      </c>
      <c r="D20" s="90">
        <f t="shared" ref="D20:M20" si="14">D6*D45</f>
        <v>0</v>
      </c>
      <c r="E20" s="90">
        <f t="shared" si="14"/>
        <v>0</v>
      </c>
      <c r="F20" s="90">
        <f t="shared" si="14"/>
        <v>0</v>
      </c>
      <c r="G20" s="90">
        <f t="shared" si="14"/>
        <v>0</v>
      </c>
      <c r="H20" s="90">
        <f t="shared" si="14"/>
        <v>0</v>
      </c>
      <c r="I20" s="90">
        <f t="shared" si="14"/>
        <v>0</v>
      </c>
      <c r="J20" s="90">
        <f t="shared" si="14"/>
        <v>0</v>
      </c>
      <c r="K20" s="90">
        <f t="shared" si="14"/>
        <v>0</v>
      </c>
      <c r="L20" s="90">
        <f t="shared" si="14"/>
        <v>0</v>
      </c>
      <c r="M20" s="90">
        <f t="shared" si="14"/>
        <v>0</v>
      </c>
      <c r="N20" s="90">
        <f t="shared" si="13"/>
        <v>29240.000000000004</v>
      </c>
      <c r="Y20" s="87" t="s">
        <v>80</v>
      </c>
      <c r="AO20" s="87" t="s">
        <v>81</v>
      </c>
      <c r="AP20" s="87" t="s">
        <v>80</v>
      </c>
    </row>
    <row r="21" spans="1:43">
      <c r="A21" s="86">
        <v>15</v>
      </c>
      <c r="B21" s="87" t="s">
        <v>82</v>
      </c>
      <c r="C21" s="95">
        <f>$N$21/$N$6*C6</f>
        <v>30800</v>
      </c>
      <c r="D21" s="95">
        <f t="shared" ref="D21:M21" si="15">$N$21/$N$6*D6</f>
        <v>0</v>
      </c>
      <c r="E21" s="95">
        <f t="shared" si="15"/>
        <v>0</v>
      </c>
      <c r="F21" s="95">
        <f t="shared" si="15"/>
        <v>0</v>
      </c>
      <c r="G21" s="95">
        <f t="shared" si="15"/>
        <v>0</v>
      </c>
      <c r="H21" s="95">
        <f t="shared" si="15"/>
        <v>0</v>
      </c>
      <c r="I21" s="95">
        <f t="shared" si="15"/>
        <v>0</v>
      </c>
      <c r="J21" s="95">
        <f t="shared" si="15"/>
        <v>0</v>
      </c>
      <c r="K21" s="95">
        <f t="shared" si="15"/>
        <v>0</v>
      </c>
      <c r="L21" s="95">
        <f t="shared" si="15"/>
        <v>0</v>
      </c>
      <c r="M21" s="95">
        <f t="shared" si="15"/>
        <v>0</v>
      </c>
      <c r="N21" s="90">
        <f>项目投资!D27</f>
        <v>30800</v>
      </c>
      <c r="Y21" s="87" t="s">
        <v>82</v>
      </c>
      <c r="AO21" s="87"/>
      <c r="AP21" s="87"/>
    </row>
    <row r="22" spans="1:43">
      <c r="A22" s="86">
        <v>16</v>
      </c>
      <c r="B22" s="87" t="s">
        <v>83</v>
      </c>
      <c r="C22" s="90">
        <f>C6*C47</f>
        <v>25800</v>
      </c>
      <c r="D22" s="90">
        <f t="shared" ref="D22:M22" si="16">D6*D47</f>
        <v>0</v>
      </c>
      <c r="E22" s="90">
        <f t="shared" si="16"/>
        <v>0</v>
      </c>
      <c r="F22" s="90">
        <f t="shared" si="16"/>
        <v>0</v>
      </c>
      <c r="G22" s="90">
        <f t="shared" si="16"/>
        <v>0</v>
      </c>
      <c r="H22" s="90">
        <f t="shared" si="16"/>
        <v>0</v>
      </c>
      <c r="I22" s="90">
        <f t="shared" si="16"/>
        <v>0</v>
      </c>
      <c r="J22" s="90">
        <f t="shared" si="16"/>
        <v>0</v>
      </c>
      <c r="K22" s="90">
        <f t="shared" si="16"/>
        <v>0</v>
      </c>
      <c r="L22" s="90">
        <f t="shared" si="16"/>
        <v>0</v>
      </c>
      <c r="M22" s="90">
        <f t="shared" si="16"/>
        <v>0</v>
      </c>
      <c r="N22" s="90">
        <f>+SUM(C22:M22)</f>
        <v>25800</v>
      </c>
      <c r="Y22" s="87" t="s">
        <v>83</v>
      </c>
      <c r="AO22" s="87" t="s">
        <v>84</v>
      </c>
      <c r="AP22" s="87" t="s">
        <v>83</v>
      </c>
    </row>
    <row r="23" spans="1:43">
      <c r="A23" s="86">
        <v>17</v>
      </c>
      <c r="B23" s="91" t="s">
        <v>85</v>
      </c>
      <c r="C23" s="95">
        <f t="shared" ref="C23:N23" si="17">+C22+C21+C20+C19+C17</f>
        <v>239980</v>
      </c>
      <c r="D23" s="95">
        <f t="shared" si="17"/>
        <v>0</v>
      </c>
      <c r="E23" s="95">
        <f t="shared" si="17"/>
        <v>0</v>
      </c>
      <c r="F23" s="95">
        <f t="shared" si="17"/>
        <v>0</v>
      </c>
      <c r="G23" s="95">
        <f t="shared" si="17"/>
        <v>0</v>
      </c>
      <c r="H23" s="95">
        <f t="shared" si="17"/>
        <v>0</v>
      </c>
      <c r="I23" s="95">
        <f t="shared" si="17"/>
        <v>0</v>
      </c>
      <c r="J23" s="95">
        <f t="shared" si="17"/>
        <v>0</v>
      </c>
      <c r="K23" s="95">
        <f t="shared" si="17"/>
        <v>0</v>
      </c>
      <c r="L23" s="95">
        <f t="shared" si="17"/>
        <v>0</v>
      </c>
      <c r="M23" s="95">
        <f t="shared" si="17"/>
        <v>0</v>
      </c>
      <c r="N23" s="95">
        <f t="shared" si="17"/>
        <v>239980</v>
      </c>
      <c r="Y23" s="91" t="s">
        <v>85</v>
      </c>
      <c r="AO23" s="87" t="s">
        <v>86</v>
      </c>
      <c r="AP23" s="91" t="s">
        <v>85</v>
      </c>
    </row>
    <row r="24" spans="1:43">
      <c r="A24" s="86">
        <v>18</v>
      </c>
      <c r="B24" s="96" t="s">
        <v>87</v>
      </c>
      <c r="C24" s="95">
        <f>+C15-C23</f>
        <v>-74618</v>
      </c>
      <c r="D24" s="95">
        <f t="shared" ref="D24:N24" si="18">+D15-D23</f>
        <v>0</v>
      </c>
      <c r="E24" s="95">
        <f t="shared" si="18"/>
        <v>0</v>
      </c>
      <c r="F24" s="95">
        <f t="shared" si="18"/>
        <v>0</v>
      </c>
      <c r="G24" s="95">
        <f t="shared" si="18"/>
        <v>0</v>
      </c>
      <c r="H24" s="95">
        <f t="shared" si="18"/>
        <v>0</v>
      </c>
      <c r="I24" s="95">
        <f t="shared" si="18"/>
        <v>0</v>
      </c>
      <c r="J24" s="95">
        <f t="shared" si="18"/>
        <v>0</v>
      </c>
      <c r="K24" s="95">
        <f t="shared" si="18"/>
        <v>0</v>
      </c>
      <c r="L24" s="95">
        <f t="shared" si="18"/>
        <v>0</v>
      </c>
      <c r="M24" s="95">
        <f t="shared" si="18"/>
        <v>0</v>
      </c>
      <c r="N24" s="95">
        <f t="shared" si="18"/>
        <v>-74618</v>
      </c>
      <c r="P24" s="106"/>
      <c r="Y24" s="87" t="s">
        <v>87</v>
      </c>
      <c r="AO24" s="87" t="s">
        <v>88</v>
      </c>
      <c r="AP24" s="87" t="s">
        <v>87</v>
      </c>
    </row>
    <row r="25" spans="1:43">
      <c r="A25" s="86">
        <v>19</v>
      </c>
      <c r="B25" s="87" t="s">
        <v>284</v>
      </c>
      <c r="C25" s="95">
        <f>IF(C24&lt;0,0,C24*0.15)</f>
        <v>0</v>
      </c>
      <c r="D25" s="95">
        <f t="shared" ref="D25:N25" si="19">IF(D24&lt;0,0,D24*0.15)</f>
        <v>0</v>
      </c>
      <c r="E25" s="95">
        <f t="shared" si="19"/>
        <v>0</v>
      </c>
      <c r="F25" s="95">
        <f t="shared" si="19"/>
        <v>0</v>
      </c>
      <c r="G25" s="95">
        <f t="shared" si="19"/>
        <v>0</v>
      </c>
      <c r="H25" s="95">
        <f t="shared" si="19"/>
        <v>0</v>
      </c>
      <c r="I25" s="95">
        <f t="shared" si="19"/>
        <v>0</v>
      </c>
      <c r="J25" s="95">
        <f t="shared" si="19"/>
        <v>0</v>
      </c>
      <c r="K25" s="95">
        <f t="shared" si="19"/>
        <v>0</v>
      </c>
      <c r="L25" s="95">
        <f t="shared" si="19"/>
        <v>0</v>
      </c>
      <c r="M25" s="95">
        <f t="shared" si="19"/>
        <v>0</v>
      </c>
      <c r="N25" s="95">
        <f t="shared" si="19"/>
        <v>0</v>
      </c>
      <c r="O25" s="2"/>
      <c r="P25" s="2"/>
      <c r="Q25" s="2"/>
      <c r="Y25" s="87" t="s">
        <v>34</v>
      </c>
      <c r="AO25" s="87" t="s">
        <v>89</v>
      </c>
      <c r="AP25" s="87" t="s">
        <v>34</v>
      </c>
    </row>
    <row r="26" spans="1:43">
      <c r="A26" s="86">
        <v>20</v>
      </c>
      <c r="B26" s="87" t="s">
        <v>90</v>
      </c>
      <c r="C26" s="95">
        <f>C24-C25</f>
        <v>-74618</v>
      </c>
      <c r="D26" s="95">
        <f t="shared" ref="D26:M26" si="20">D24-D25</f>
        <v>0</v>
      </c>
      <c r="E26" s="95">
        <f t="shared" si="20"/>
        <v>0</v>
      </c>
      <c r="F26" s="95">
        <f t="shared" si="20"/>
        <v>0</v>
      </c>
      <c r="G26" s="95">
        <f t="shared" si="20"/>
        <v>0</v>
      </c>
      <c r="H26" s="95">
        <f t="shared" si="20"/>
        <v>0</v>
      </c>
      <c r="I26" s="95">
        <f t="shared" si="20"/>
        <v>0</v>
      </c>
      <c r="J26" s="95">
        <f t="shared" si="20"/>
        <v>0</v>
      </c>
      <c r="K26" s="95">
        <f t="shared" si="20"/>
        <v>0</v>
      </c>
      <c r="L26" s="95">
        <f t="shared" si="20"/>
        <v>0</v>
      </c>
      <c r="M26" s="95">
        <f t="shared" si="20"/>
        <v>0</v>
      </c>
      <c r="N26" s="90">
        <f>+SUM(C26:M26)</f>
        <v>-74618</v>
      </c>
      <c r="O26" s="2"/>
      <c r="P26" s="2"/>
      <c r="Q26" s="2"/>
      <c r="Y26" s="87" t="s">
        <v>90</v>
      </c>
      <c r="AO26" s="87" t="s">
        <v>91</v>
      </c>
      <c r="AP26" s="87" t="s">
        <v>90</v>
      </c>
    </row>
    <row r="27" spans="1:43">
      <c r="A27" s="86">
        <v>21</v>
      </c>
      <c r="B27" s="87" t="s">
        <v>94</v>
      </c>
      <c r="C27" s="97">
        <f>C26/C7</f>
        <v>-8.6765116279069771E-2</v>
      </c>
      <c r="D27" s="97" t="e">
        <f t="shared" ref="D27:N27" si="21">D26/D7</f>
        <v>#DIV/0!</v>
      </c>
      <c r="E27" s="97" t="e">
        <f t="shared" si="21"/>
        <v>#DIV/0!</v>
      </c>
      <c r="F27" s="97" t="e">
        <f t="shared" si="21"/>
        <v>#DIV/0!</v>
      </c>
      <c r="G27" s="97" t="e">
        <f t="shared" si="21"/>
        <v>#DIV/0!</v>
      </c>
      <c r="H27" s="97" t="e">
        <f t="shared" si="21"/>
        <v>#DIV/0!</v>
      </c>
      <c r="I27" s="97" t="e">
        <f t="shared" si="21"/>
        <v>#DIV/0!</v>
      </c>
      <c r="J27" s="97" t="e">
        <f t="shared" si="21"/>
        <v>#DIV/0!</v>
      </c>
      <c r="K27" s="97" t="e">
        <f t="shared" si="21"/>
        <v>#DIV/0!</v>
      </c>
      <c r="L27" s="97" t="e">
        <f t="shared" si="21"/>
        <v>#DIV/0!</v>
      </c>
      <c r="M27" s="97" t="e">
        <f t="shared" si="21"/>
        <v>#DIV/0!</v>
      </c>
      <c r="N27" s="97">
        <f t="shared" si="21"/>
        <v>-8.6765116279069771E-2</v>
      </c>
      <c r="O27" s="2"/>
      <c r="P27" s="2"/>
      <c r="Q27" s="2"/>
      <c r="Y27" s="87" t="s">
        <v>94</v>
      </c>
      <c r="AO27" s="87" t="s">
        <v>93</v>
      </c>
      <c r="AP27" s="87" t="s">
        <v>94</v>
      </c>
    </row>
    <row r="28" spans="1:43">
      <c r="O28" s="2"/>
      <c r="P28" s="2"/>
      <c r="Q28" s="2"/>
      <c r="Y28" s="87"/>
    </row>
    <row r="29" spans="1:43">
      <c r="A29" s="84" t="s">
        <v>95</v>
      </c>
      <c r="N29" s="85" t="s">
        <v>149</v>
      </c>
      <c r="O29" s="2"/>
      <c r="P29" s="2"/>
      <c r="Q29" s="2"/>
      <c r="Y29" s="87"/>
      <c r="AO29" s="84" t="s">
        <v>95</v>
      </c>
    </row>
    <row r="30" spans="1:43">
      <c r="A30" s="87" t="s">
        <v>96</v>
      </c>
      <c r="B30" s="91" t="s">
        <v>97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2"/>
      <c r="P30" s="2"/>
      <c r="Q30" s="2"/>
      <c r="S30" s="2"/>
      <c r="Y30" s="91" t="s">
        <v>97</v>
      </c>
      <c r="AO30" s="87" t="s">
        <v>98</v>
      </c>
      <c r="AP30" s="91" t="s">
        <v>97</v>
      </c>
    </row>
    <row r="31" spans="1:43">
      <c r="A31" s="86">
        <v>1</v>
      </c>
      <c r="B31" s="93" t="s">
        <v>99</v>
      </c>
      <c r="C31" s="98">
        <f>销量!C8</f>
        <v>1720</v>
      </c>
      <c r="D31" s="98">
        <f>销量!D8</f>
        <v>0</v>
      </c>
      <c r="E31" s="98">
        <f>销量!E8</f>
        <v>0</v>
      </c>
      <c r="F31" s="98">
        <f>销量!F8</f>
        <v>0</v>
      </c>
      <c r="G31" s="98">
        <f>销量!G8</f>
        <v>0</v>
      </c>
      <c r="H31" s="98">
        <f>销量!H8</f>
        <v>0</v>
      </c>
      <c r="I31" s="98">
        <f>销量!I8</f>
        <v>0</v>
      </c>
      <c r="J31" s="98">
        <f>销量!J8</f>
        <v>0</v>
      </c>
      <c r="K31" s="98">
        <f>销量!K8</f>
        <v>0</v>
      </c>
      <c r="L31" s="98">
        <f>销量!L8</f>
        <v>0</v>
      </c>
      <c r="M31" s="98">
        <f>销量!M8</f>
        <v>0</v>
      </c>
      <c r="N31" s="95"/>
      <c r="O31" s="2"/>
      <c r="P31" s="2"/>
      <c r="Q31" s="2"/>
      <c r="S31" s="2"/>
      <c r="Y31" s="87" t="s">
        <v>99</v>
      </c>
      <c r="AO31" s="87" t="s">
        <v>54</v>
      </c>
      <c r="AP31" s="87" t="s">
        <v>99</v>
      </c>
    </row>
    <row r="32" spans="1:43">
      <c r="A32" s="86">
        <v>2</v>
      </c>
      <c r="B32" s="87" t="s">
        <v>150</v>
      </c>
      <c r="C32" s="90">
        <f t="shared" ref="C32:M32" si="22">C31*1</f>
        <v>1720</v>
      </c>
      <c r="D32" s="90">
        <f t="shared" ref="D32:F32" si="23">D31*1</f>
        <v>0</v>
      </c>
      <c r="E32" s="90">
        <f t="shared" si="23"/>
        <v>0</v>
      </c>
      <c r="F32" s="90">
        <f t="shared" si="23"/>
        <v>0</v>
      </c>
      <c r="G32" s="90">
        <f t="shared" si="22"/>
        <v>0</v>
      </c>
      <c r="H32" s="90">
        <f t="shared" si="22"/>
        <v>0</v>
      </c>
      <c r="I32" s="90">
        <f t="shared" si="22"/>
        <v>0</v>
      </c>
      <c r="J32" s="90">
        <f t="shared" si="22"/>
        <v>0</v>
      </c>
      <c r="K32" s="90">
        <f t="shared" si="22"/>
        <v>0</v>
      </c>
      <c r="L32" s="90">
        <f t="shared" si="22"/>
        <v>0</v>
      </c>
      <c r="M32" s="90">
        <f t="shared" si="22"/>
        <v>0</v>
      </c>
      <c r="N32" s="95"/>
      <c r="O32" s="2"/>
      <c r="P32" s="2"/>
      <c r="Q32" s="2"/>
      <c r="R32" s="2"/>
      <c r="S32" s="2"/>
      <c r="T32" s="2"/>
      <c r="U32" s="2"/>
      <c r="AO32" s="87"/>
      <c r="AP32" s="87"/>
    </row>
    <row r="33" spans="1:42">
      <c r="A33" s="86">
        <v>3</v>
      </c>
      <c r="B33" s="93" t="s">
        <v>100</v>
      </c>
      <c r="C33" s="90">
        <f>材料成本!D12</f>
        <v>1202.1400000000001</v>
      </c>
      <c r="D33" s="90">
        <f>材料成本!E12</f>
        <v>0</v>
      </c>
      <c r="E33" s="90">
        <f>材料成本!F12</f>
        <v>0</v>
      </c>
      <c r="F33" s="90">
        <f>材料成本!G12</f>
        <v>0</v>
      </c>
      <c r="G33" s="90">
        <f>材料成本!H12</f>
        <v>0</v>
      </c>
      <c r="H33" s="90">
        <f>材料成本!I12</f>
        <v>0</v>
      </c>
      <c r="I33" s="90">
        <f>材料成本!J12</f>
        <v>0</v>
      </c>
      <c r="J33" s="90">
        <f>材料成本!K12</f>
        <v>0</v>
      </c>
      <c r="K33" s="90">
        <f>材料成本!L12</f>
        <v>0</v>
      </c>
      <c r="L33" s="90">
        <f>材料成本!M12</f>
        <v>0</v>
      </c>
      <c r="M33" s="90">
        <f>材料成本!N12</f>
        <v>0</v>
      </c>
      <c r="N33" s="95"/>
      <c r="P33" s="2"/>
      <c r="Q33" s="2"/>
      <c r="R33" s="2"/>
      <c r="S33" s="2"/>
      <c r="T33" s="2"/>
      <c r="U33" s="2"/>
      <c r="Y33" s="87" t="s">
        <v>100</v>
      </c>
      <c r="AO33" s="87" t="s">
        <v>56</v>
      </c>
      <c r="AP33" s="87" t="s">
        <v>100</v>
      </c>
    </row>
    <row r="34" spans="1:42" ht="17.25" customHeight="1">
      <c r="A34" s="86">
        <v>4</v>
      </c>
      <c r="B34" s="87" t="s">
        <v>102</v>
      </c>
      <c r="C34" s="99">
        <f>C32-C33</f>
        <v>517.8599999999999</v>
      </c>
      <c r="D34" s="99">
        <f t="shared" ref="D34:M34" si="24">D32-D33</f>
        <v>0</v>
      </c>
      <c r="E34" s="99">
        <f t="shared" si="24"/>
        <v>0</v>
      </c>
      <c r="F34" s="99">
        <f t="shared" si="24"/>
        <v>0</v>
      </c>
      <c r="G34" s="99">
        <f t="shared" si="24"/>
        <v>0</v>
      </c>
      <c r="H34" s="99">
        <f t="shared" si="24"/>
        <v>0</v>
      </c>
      <c r="I34" s="99">
        <f t="shared" si="24"/>
        <v>0</v>
      </c>
      <c r="J34" s="99">
        <f t="shared" si="24"/>
        <v>0</v>
      </c>
      <c r="K34" s="99">
        <f t="shared" si="24"/>
        <v>0</v>
      </c>
      <c r="L34" s="99">
        <f t="shared" si="24"/>
        <v>0</v>
      </c>
      <c r="M34" s="99">
        <f t="shared" si="24"/>
        <v>0</v>
      </c>
      <c r="N34" s="95"/>
      <c r="P34" s="2"/>
      <c r="Q34" s="2"/>
      <c r="R34" s="2"/>
      <c r="S34" s="2"/>
      <c r="T34" s="2"/>
      <c r="U34" s="2"/>
      <c r="Y34" s="87" t="s">
        <v>102</v>
      </c>
      <c r="AO34" s="87" t="s">
        <v>101</v>
      </c>
      <c r="AP34" s="87" t="s">
        <v>102</v>
      </c>
    </row>
    <row r="35" spans="1:42">
      <c r="A35" s="87" t="s">
        <v>98</v>
      </c>
      <c r="B35" s="91" t="s">
        <v>8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2"/>
      <c r="P35" s="2"/>
      <c r="Q35" s="2"/>
      <c r="R35" s="2"/>
      <c r="S35" s="2"/>
      <c r="T35" s="2"/>
      <c r="U35" s="2"/>
      <c r="V35" s="2"/>
      <c r="W35" s="2"/>
      <c r="X35" s="2"/>
      <c r="Y35" s="91" t="s">
        <v>8</v>
      </c>
      <c r="AO35" s="87" t="s">
        <v>104</v>
      </c>
      <c r="AP35" s="91" t="s">
        <v>8</v>
      </c>
    </row>
    <row r="36" spans="1:42">
      <c r="A36" s="86">
        <v>1</v>
      </c>
      <c r="B36" s="87" t="s">
        <v>105</v>
      </c>
      <c r="C36" s="94">
        <f>标准成本!D4</f>
        <v>74.132000000000005</v>
      </c>
      <c r="D36" s="94">
        <f>标准成本!D16</f>
        <v>0</v>
      </c>
      <c r="E36" s="94">
        <f>标准成本!D29</f>
        <v>0</v>
      </c>
      <c r="F36" s="94">
        <f>标准成本!D42</f>
        <v>0</v>
      </c>
      <c r="G36" s="94">
        <f>标准成本!D55</f>
        <v>0</v>
      </c>
      <c r="H36" s="94">
        <f>标准成本!D68</f>
        <v>0</v>
      </c>
      <c r="I36" s="94">
        <f>标准成本!D81</f>
        <v>0</v>
      </c>
      <c r="J36" s="94">
        <f>标准成本!D94</f>
        <v>0</v>
      </c>
      <c r="K36" s="94">
        <f>标准成本!D107</f>
        <v>0</v>
      </c>
      <c r="L36" s="94">
        <f>标准成本!D120</f>
        <v>0</v>
      </c>
      <c r="M36" s="94">
        <f>标准成本!D133</f>
        <v>0</v>
      </c>
      <c r="N36" s="98"/>
      <c r="O36" s="2"/>
      <c r="P36" s="2"/>
      <c r="Q36" s="2"/>
      <c r="R36" s="2"/>
      <c r="S36" s="2"/>
      <c r="T36" s="2"/>
      <c r="U36" s="2"/>
      <c r="V36" s="2"/>
      <c r="W36" s="2"/>
      <c r="X36" s="2"/>
      <c r="Y36" s="87" t="s">
        <v>105</v>
      </c>
      <c r="AO36" s="87" t="s">
        <v>101</v>
      </c>
      <c r="AP36" s="87" t="s">
        <v>105</v>
      </c>
    </row>
    <row r="37" spans="1:42">
      <c r="A37" s="86">
        <v>2</v>
      </c>
      <c r="B37" s="87" t="s">
        <v>106</v>
      </c>
      <c r="C37" s="94">
        <f>标准成本!D6</f>
        <v>37.323999999999998</v>
      </c>
      <c r="D37" s="94">
        <f>标准成本!D18</f>
        <v>0</v>
      </c>
      <c r="E37" s="94">
        <f>标准成本!D31</f>
        <v>0</v>
      </c>
      <c r="F37" s="94">
        <f>标准成本!D44</f>
        <v>0</v>
      </c>
      <c r="G37" s="94">
        <f>标准成本!D57</f>
        <v>0</v>
      </c>
      <c r="H37" s="94">
        <f>标准成本!D70</f>
        <v>0</v>
      </c>
      <c r="I37" s="94">
        <f>标准成本!D83</f>
        <v>0</v>
      </c>
      <c r="J37" s="94">
        <f>标准成本!D96</f>
        <v>0</v>
      </c>
      <c r="K37" s="94">
        <f>标准成本!D109</f>
        <v>0</v>
      </c>
      <c r="L37" s="94">
        <f>标准成本!D122</f>
        <v>0</v>
      </c>
      <c r="M37" s="94">
        <f>标准成本!D135</f>
        <v>0</v>
      </c>
      <c r="N37" s="98"/>
      <c r="O37" s="2"/>
      <c r="P37" s="2"/>
      <c r="Q37" s="2"/>
      <c r="R37" s="2"/>
      <c r="S37" s="2"/>
      <c r="T37" s="2"/>
      <c r="U37" s="2"/>
      <c r="V37" s="2"/>
      <c r="W37" s="2"/>
      <c r="X37" s="2"/>
      <c r="Y37" s="87" t="s">
        <v>106</v>
      </c>
      <c r="AO37" s="87" t="s">
        <v>59</v>
      </c>
      <c r="AP37" s="87" t="s">
        <v>106</v>
      </c>
    </row>
    <row r="38" spans="1:42">
      <c r="A38" s="86">
        <v>3</v>
      </c>
      <c r="B38" s="87" t="s">
        <v>107</v>
      </c>
      <c r="C38" s="94">
        <f>标准成本!D10</f>
        <v>75.679999999999993</v>
      </c>
      <c r="D38" s="94">
        <f>标准成本!D22</f>
        <v>0</v>
      </c>
      <c r="E38" s="94">
        <f>标准成本!D35</f>
        <v>0</v>
      </c>
      <c r="F38" s="94">
        <f>标准成本!D48</f>
        <v>0</v>
      </c>
      <c r="G38" s="94">
        <f>标准成本!D61</f>
        <v>0</v>
      </c>
      <c r="H38" s="94">
        <f>标准成本!D74</f>
        <v>0</v>
      </c>
      <c r="I38" s="94">
        <f>标准成本!D87</f>
        <v>0</v>
      </c>
      <c r="J38" s="94">
        <f>标准成本!D100</f>
        <v>0</v>
      </c>
      <c r="K38" s="94">
        <f>标准成本!D113</f>
        <v>0</v>
      </c>
      <c r="L38" s="94">
        <f>标准成本!D126</f>
        <v>0</v>
      </c>
      <c r="M38" s="94">
        <f>标准成本!D139</f>
        <v>0</v>
      </c>
      <c r="N38" s="98"/>
      <c r="O38" s="2"/>
      <c r="P38" s="2"/>
      <c r="Q38" s="2"/>
      <c r="R38" s="2"/>
      <c r="S38" s="2"/>
      <c r="T38" s="2"/>
      <c r="U38" s="2"/>
      <c r="V38" s="2"/>
      <c r="W38" s="2"/>
      <c r="X38" s="2"/>
      <c r="Y38" s="87" t="s">
        <v>107</v>
      </c>
      <c r="AO38" s="87" t="s">
        <v>65</v>
      </c>
      <c r="AP38" s="87" t="s">
        <v>107</v>
      </c>
    </row>
    <row r="39" spans="1:42">
      <c r="A39" s="87" t="s">
        <v>104</v>
      </c>
      <c r="B39" s="91" t="s">
        <v>109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Y39" s="91" t="s">
        <v>109</v>
      </c>
      <c r="AO39" s="87" t="s">
        <v>108</v>
      </c>
      <c r="AP39" s="91" t="s">
        <v>109</v>
      </c>
    </row>
    <row r="40" spans="1:42">
      <c r="A40" s="86">
        <v>1</v>
      </c>
      <c r="B40" s="87" t="s">
        <v>111</v>
      </c>
      <c r="C40" s="95">
        <f>C34-C36-C37-C38</f>
        <v>330.72399999999988</v>
      </c>
      <c r="D40" s="95">
        <f t="shared" ref="D40:G40" si="25">D34-D36-D37-D38</f>
        <v>0</v>
      </c>
      <c r="E40" s="95">
        <f t="shared" si="25"/>
        <v>0</v>
      </c>
      <c r="F40" s="95">
        <f t="shared" si="25"/>
        <v>0</v>
      </c>
      <c r="G40" s="95">
        <f t="shared" si="25"/>
        <v>0</v>
      </c>
      <c r="H40" s="95">
        <f t="shared" ref="H40:M40" si="26">H34-H36-H37-H38</f>
        <v>0</v>
      </c>
      <c r="I40" s="95">
        <f t="shared" si="26"/>
        <v>0</v>
      </c>
      <c r="J40" s="95">
        <f t="shared" si="26"/>
        <v>0</v>
      </c>
      <c r="K40" s="95">
        <f t="shared" si="26"/>
        <v>0</v>
      </c>
      <c r="L40" s="95">
        <f t="shared" si="26"/>
        <v>0</v>
      </c>
      <c r="M40" s="95">
        <f t="shared" si="26"/>
        <v>0</v>
      </c>
      <c r="N40" s="95"/>
      <c r="Y40" s="87" t="s">
        <v>111</v>
      </c>
      <c r="AO40" s="87" t="s">
        <v>54</v>
      </c>
      <c r="AP40" s="87" t="s">
        <v>111</v>
      </c>
    </row>
    <row r="41" spans="1:42">
      <c r="A41" s="86">
        <v>2</v>
      </c>
      <c r="B41" s="87" t="s">
        <v>112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Y41" s="87" t="s">
        <v>112</v>
      </c>
      <c r="AO41" s="87" t="s">
        <v>56</v>
      </c>
      <c r="AP41" s="87" t="s">
        <v>112</v>
      </c>
    </row>
    <row r="42" spans="1:42">
      <c r="A42" s="87" t="s">
        <v>108</v>
      </c>
      <c r="B42" s="91" t="s">
        <v>114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Y42" s="91" t="s">
        <v>114</v>
      </c>
      <c r="AO42" s="87" t="s">
        <v>113</v>
      </c>
      <c r="AP42" s="91" t="s">
        <v>114</v>
      </c>
    </row>
    <row r="43" spans="1:42">
      <c r="A43" s="86">
        <v>1</v>
      </c>
      <c r="B43" s="96" t="s">
        <v>115</v>
      </c>
      <c r="C43" s="94">
        <f>标准成本!D5</f>
        <v>70.52</v>
      </c>
      <c r="D43" s="94">
        <f>标准成本!D17</f>
        <v>0</v>
      </c>
      <c r="E43" s="94">
        <f>标准成本!D30</f>
        <v>0</v>
      </c>
      <c r="F43" s="94">
        <f>标准成本!D43</f>
        <v>0</v>
      </c>
      <c r="G43" s="94">
        <f>标准成本!D56</f>
        <v>0</v>
      </c>
      <c r="H43" s="94">
        <f>标准成本!D69</f>
        <v>0</v>
      </c>
      <c r="I43" s="94">
        <f>标准成本!D82</f>
        <v>0</v>
      </c>
      <c r="J43" s="94">
        <f>标准成本!D95</f>
        <v>0</v>
      </c>
      <c r="K43" s="94">
        <f>标准成本!D108</f>
        <v>0</v>
      </c>
      <c r="L43" s="94">
        <f>标准成本!D121</f>
        <v>0</v>
      </c>
      <c r="M43" s="94">
        <f>标准成本!D134</f>
        <v>0</v>
      </c>
      <c r="N43" s="95"/>
      <c r="Y43" s="87" t="s">
        <v>115</v>
      </c>
      <c r="AO43" s="87" t="s">
        <v>54</v>
      </c>
      <c r="AP43" s="87" t="s">
        <v>115</v>
      </c>
    </row>
    <row r="44" spans="1:42">
      <c r="A44" s="86">
        <v>2</v>
      </c>
      <c r="B44" s="96" t="s">
        <v>116</v>
      </c>
      <c r="C44" s="94">
        <f>标准成本!D9</f>
        <v>12.040000000000001</v>
      </c>
      <c r="D44" s="94">
        <f>标准成本!D21</f>
        <v>0</v>
      </c>
      <c r="E44" s="94">
        <f>标准成本!D34</f>
        <v>0</v>
      </c>
      <c r="F44" s="94">
        <f>标准成本!D47</f>
        <v>0</v>
      </c>
      <c r="G44" s="94">
        <f>标准成本!D60</f>
        <v>0</v>
      </c>
      <c r="H44" s="94">
        <f>标准成本!D73</f>
        <v>0</v>
      </c>
      <c r="I44" s="94">
        <f>标准成本!D86</f>
        <v>0</v>
      </c>
      <c r="J44" s="94">
        <f>标准成本!D99</f>
        <v>0</v>
      </c>
      <c r="K44" s="94">
        <f>标准成本!D112</f>
        <v>0</v>
      </c>
      <c r="L44" s="94">
        <f>标准成本!D125</f>
        <v>0</v>
      </c>
      <c r="M44" s="94">
        <f>标准成本!D138</f>
        <v>0</v>
      </c>
      <c r="N44" s="95"/>
      <c r="Y44" s="87" t="s">
        <v>116</v>
      </c>
      <c r="AO44" s="87" t="s">
        <v>56</v>
      </c>
      <c r="AP44" s="87" t="s">
        <v>116</v>
      </c>
    </row>
    <row r="45" spans="1:42">
      <c r="A45" s="86">
        <v>3</v>
      </c>
      <c r="B45" s="96" t="s">
        <v>117</v>
      </c>
      <c r="C45" s="94">
        <f>标准成本!D8</f>
        <v>58.480000000000004</v>
      </c>
      <c r="D45" s="94">
        <f>标准成本!D20</f>
        <v>0</v>
      </c>
      <c r="E45" s="94">
        <f>标准成本!D33</f>
        <v>0</v>
      </c>
      <c r="F45" s="94">
        <f>标准成本!D46</f>
        <v>0</v>
      </c>
      <c r="G45" s="94">
        <f>标准成本!D59</f>
        <v>0</v>
      </c>
      <c r="H45" s="94">
        <f>标准成本!D72</f>
        <v>0</v>
      </c>
      <c r="I45" s="94">
        <f>标准成本!D85</f>
        <v>0</v>
      </c>
      <c r="J45" s="94">
        <f>标准成本!D98</f>
        <v>0</v>
      </c>
      <c r="K45" s="94">
        <f>标准成本!D111</f>
        <v>0</v>
      </c>
      <c r="L45" s="94">
        <f>标准成本!D124</f>
        <v>0</v>
      </c>
      <c r="M45" s="94">
        <f>标准成本!D137</f>
        <v>0</v>
      </c>
      <c r="N45" s="95"/>
      <c r="Y45" s="87" t="s">
        <v>117</v>
      </c>
      <c r="AO45" s="87" t="s">
        <v>101</v>
      </c>
      <c r="AP45" s="87" t="s">
        <v>117</v>
      </c>
    </row>
    <row r="46" spans="1:42" s="83" customFormat="1">
      <c r="A46" s="86">
        <v>4</v>
      </c>
      <c r="B46" s="96" t="s">
        <v>118</v>
      </c>
      <c r="C46" s="100">
        <f>C21/C6</f>
        <v>61.6</v>
      </c>
      <c r="D46" s="100" t="e">
        <f>D21/D6</f>
        <v>#DIV/0!</v>
      </c>
      <c r="E46" s="100" t="e">
        <f>E21/E6</f>
        <v>#DIV/0!</v>
      </c>
      <c r="F46" s="100" t="e">
        <f>F21/F6</f>
        <v>#DIV/0!</v>
      </c>
      <c r="G46" s="100" t="e">
        <f>G21/G6</f>
        <v>#DIV/0!</v>
      </c>
      <c r="H46" s="100" t="e">
        <f t="shared" ref="H46:M46" si="27">H21/H6</f>
        <v>#DIV/0!</v>
      </c>
      <c r="I46" s="100" t="e">
        <f t="shared" si="27"/>
        <v>#DIV/0!</v>
      </c>
      <c r="J46" s="100" t="e">
        <f t="shared" si="27"/>
        <v>#DIV/0!</v>
      </c>
      <c r="K46" s="100" t="e">
        <f t="shared" si="27"/>
        <v>#DIV/0!</v>
      </c>
      <c r="L46" s="100" t="e">
        <f t="shared" si="27"/>
        <v>#DIV/0!</v>
      </c>
      <c r="M46" s="100" t="e">
        <f t="shared" si="27"/>
        <v>#DIV/0!</v>
      </c>
      <c r="N46" s="100"/>
      <c r="Y46" s="96" t="s">
        <v>120</v>
      </c>
      <c r="AO46" s="96" t="s">
        <v>62</v>
      </c>
      <c r="AP46" s="96" t="s">
        <v>120</v>
      </c>
    </row>
    <row r="47" spans="1:42" s="83" customFormat="1">
      <c r="A47" s="86">
        <v>5</v>
      </c>
      <c r="B47" s="96" t="s">
        <v>120</v>
      </c>
      <c r="C47" s="100">
        <f>标准成本!D11</f>
        <v>51.6</v>
      </c>
      <c r="D47" s="100">
        <f>标准成本!D23</f>
        <v>0</v>
      </c>
      <c r="E47" s="100">
        <f>标准成本!D36</f>
        <v>0</v>
      </c>
      <c r="F47" s="100">
        <f>标准成本!D49</f>
        <v>0</v>
      </c>
      <c r="G47" s="100">
        <f>标准成本!D62</f>
        <v>0</v>
      </c>
      <c r="H47" s="100">
        <f>标准成本!D75</f>
        <v>0</v>
      </c>
      <c r="I47" s="100">
        <f>标准成本!D88</f>
        <v>0</v>
      </c>
      <c r="J47" s="100">
        <f>标准成本!D101</f>
        <v>0</v>
      </c>
      <c r="K47" s="100">
        <f>标准成本!D114</f>
        <v>0</v>
      </c>
      <c r="L47" s="100">
        <f>标准成本!D127</f>
        <v>0</v>
      </c>
      <c r="M47" s="100">
        <f>标准成本!D140</f>
        <v>0</v>
      </c>
      <c r="N47" s="100"/>
      <c r="Y47" s="96" t="s">
        <v>120</v>
      </c>
      <c r="AO47" s="96" t="s">
        <v>62</v>
      </c>
      <c r="AP47" s="96" t="s">
        <v>120</v>
      </c>
    </row>
    <row r="48" spans="1:42">
      <c r="A48" s="87" t="s">
        <v>113</v>
      </c>
      <c r="B48" s="91" t="s">
        <v>131</v>
      </c>
      <c r="C48" s="95">
        <f>C40-C43-C44-C45-C47-C46</f>
        <v>76.483999999999924</v>
      </c>
      <c r="D48" s="95" t="e">
        <f>D40-D43-D44-D45-D47-D46</f>
        <v>#DIV/0!</v>
      </c>
      <c r="E48" s="95" t="e">
        <f t="shared" ref="E48:M48" si="28">E40-E43-E44-E45-E47-E46</f>
        <v>#DIV/0!</v>
      </c>
      <c r="F48" s="95" t="e">
        <f t="shared" si="28"/>
        <v>#DIV/0!</v>
      </c>
      <c r="G48" s="95" t="e">
        <f t="shared" si="28"/>
        <v>#DIV/0!</v>
      </c>
      <c r="H48" s="95" t="e">
        <f t="shared" si="28"/>
        <v>#DIV/0!</v>
      </c>
      <c r="I48" s="95" t="e">
        <f t="shared" si="28"/>
        <v>#DIV/0!</v>
      </c>
      <c r="J48" s="95" t="e">
        <f t="shared" si="28"/>
        <v>#DIV/0!</v>
      </c>
      <c r="K48" s="95" t="e">
        <f t="shared" si="28"/>
        <v>#DIV/0!</v>
      </c>
      <c r="L48" s="95" t="e">
        <f t="shared" si="28"/>
        <v>#DIV/0!</v>
      </c>
      <c r="M48" s="95" t="e">
        <f t="shared" si="28"/>
        <v>#DIV/0!</v>
      </c>
      <c r="N48" s="95"/>
      <c r="Y48" s="91" t="s">
        <v>131</v>
      </c>
      <c r="AO48" s="87" t="s">
        <v>130</v>
      </c>
      <c r="AP48" s="91" t="s">
        <v>131</v>
      </c>
    </row>
    <row r="51" spans="2:19"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</row>
    <row r="54" spans="2:19">
      <c r="B54" s="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2"/>
      <c r="P54" s="2"/>
      <c r="Q54" s="2"/>
      <c r="R54" s="2"/>
      <c r="S54" s="2"/>
    </row>
    <row r="55" spans="2:19">
      <c r="B55" s="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2"/>
      <c r="P55" s="2"/>
      <c r="Q55" s="2"/>
      <c r="R55" s="2"/>
      <c r="S55" s="2"/>
    </row>
    <row r="56" spans="2:19">
      <c r="B56" s="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2"/>
      <c r="P56" s="2"/>
      <c r="Q56" s="2"/>
      <c r="R56" s="2"/>
      <c r="S56" s="2"/>
    </row>
    <row r="57" spans="2:19">
      <c r="B57" s="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2"/>
      <c r="P57" s="2"/>
      <c r="Q57" s="2"/>
      <c r="R57" s="2"/>
      <c r="S57" s="2"/>
    </row>
    <row r="58" spans="2:19">
      <c r="B58" s="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2"/>
      <c r="P58" s="2"/>
      <c r="Q58" s="2"/>
      <c r="R58" s="2"/>
      <c r="S58" s="2"/>
    </row>
    <row r="59" spans="2:19">
      <c r="B59" s="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2"/>
      <c r="P59" s="2"/>
      <c r="Q59" s="2"/>
      <c r="R59" s="2"/>
      <c r="S59" s="2"/>
    </row>
    <row r="60" spans="2:19">
      <c r="B60" s="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2"/>
      <c r="P60" s="2"/>
      <c r="Q60" s="2"/>
      <c r="R60" s="2"/>
      <c r="S60" s="2"/>
    </row>
    <row r="61" spans="2:19">
      <c r="B61" s="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2"/>
      <c r="P61" s="2"/>
      <c r="Q61" s="2"/>
      <c r="R61" s="2"/>
      <c r="S61" s="2"/>
    </row>
    <row r="62" spans="2:19">
      <c r="B62" s="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2"/>
      <c r="P62" s="2"/>
      <c r="Q62" s="2"/>
      <c r="R62" s="2"/>
      <c r="S62" s="2"/>
    </row>
    <row r="63" spans="2:19">
      <c r="B63" s="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2"/>
      <c r="P63" s="2"/>
      <c r="Q63" s="2"/>
      <c r="R63" s="2"/>
      <c r="S63" s="2"/>
    </row>
    <row r="64" spans="2:19">
      <c r="B64" s="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2"/>
      <c r="P64" s="2"/>
      <c r="Q64" s="2"/>
      <c r="R64" s="2"/>
      <c r="S64" s="2"/>
    </row>
    <row r="65" spans="2:19">
      <c r="B65" s="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2"/>
      <c r="P65" s="2"/>
      <c r="Q65" s="2"/>
      <c r="R65" s="2"/>
      <c r="S65" s="2"/>
    </row>
    <row r="66" spans="2:19">
      <c r="B66" s="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2"/>
      <c r="P66" s="2"/>
      <c r="Q66" s="2"/>
      <c r="R66" s="2"/>
      <c r="S66" s="2"/>
    </row>
    <row r="67" spans="2:19">
      <c r="B67" s="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2"/>
    </row>
    <row r="68" spans="2:19">
      <c r="B68" s="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2"/>
    </row>
    <row r="69" spans="2:19">
      <c r="B69" s="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2"/>
    </row>
    <row r="70" spans="2:19">
      <c r="B70" s="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2"/>
    </row>
    <row r="71" spans="2:19">
      <c r="B71" s="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2"/>
    </row>
    <row r="72" spans="2:19">
      <c r="B72" s="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2"/>
    </row>
    <row r="73" spans="2:19">
      <c r="B73" s="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2"/>
    </row>
    <row r="74" spans="2:19">
      <c r="B74" s="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2"/>
    </row>
  </sheetData>
  <mergeCells count="8">
    <mergeCell ref="A4:B4"/>
    <mergeCell ref="A5:B5"/>
    <mergeCell ref="N3:N5"/>
    <mergeCell ref="A1:B1"/>
    <mergeCell ref="C1:N1"/>
    <mergeCell ref="A2:B2"/>
    <mergeCell ref="C2:N2"/>
    <mergeCell ref="A3:B3"/>
  </mergeCells>
  <phoneticPr fontId="40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13" man="1"/>
  </rowBreaks>
  <ignoredErrors>
    <ignoredError sqref="N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4"/>
  <sheetViews>
    <sheetView zoomScale="85" zoomScaleNormal="85" workbookViewId="0">
      <pane xSplit="2" ySplit="7" topLeftCell="C20" activePane="bottomRight" state="frozen"/>
      <selection pane="topRight"/>
      <selection pane="bottomLeft"/>
      <selection pane="bottomRight" activeCell="A25" sqref="A25:XFD25"/>
    </sheetView>
  </sheetViews>
  <sheetFormatPr defaultColWidth="9" defaultRowHeight="16.5"/>
  <cols>
    <col min="1" max="1" width="5.125" style="84" customWidth="1"/>
    <col min="2" max="2" width="17.5" style="84" customWidth="1"/>
    <col min="3" max="3" width="15.5" style="85" bestFit="1" customWidth="1"/>
    <col min="4" max="7" width="12" style="85" customWidth="1"/>
    <col min="8" max="8" width="7.5" style="85" customWidth="1"/>
    <col min="9" max="13" width="12" style="85" customWidth="1"/>
    <col min="14" max="14" width="18.75" style="85" customWidth="1"/>
    <col min="15" max="15" width="12.375" style="84" customWidth="1"/>
    <col min="16" max="16" width="10.125" style="84" customWidth="1"/>
    <col min="17" max="23" width="9" style="84" customWidth="1"/>
    <col min="24" max="40" width="9" style="84"/>
    <col min="41" max="41" width="4.375" style="84" customWidth="1"/>
    <col min="42" max="42" width="13.875" style="84" customWidth="1"/>
    <col min="43" max="16384" width="9" style="84"/>
  </cols>
  <sheetData>
    <row r="1" spans="1:43">
      <c r="A1" s="197" t="s">
        <v>141</v>
      </c>
      <c r="B1" s="197"/>
      <c r="C1" s="201" t="s">
        <v>253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3"/>
    </row>
    <row r="2" spans="1:43">
      <c r="A2" s="197" t="s">
        <v>142</v>
      </c>
      <c r="B2" s="197"/>
      <c r="C2" s="204" t="str">
        <f>'2023年'!C2:N2</f>
        <v>一汽解放青岛汽车有限公司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1:43" ht="33">
      <c r="A3" s="197" t="s">
        <v>143</v>
      </c>
      <c r="B3" s="197"/>
      <c r="C3" s="12" t="str">
        <f>'2023年'!C3</f>
        <v>驾驶员座总成</v>
      </c>
      <c r="D3" s="12">
        <f>'2023年'!D3</f>
        <v>0</v>
      </c>
      <c r="E3" s="12">
        <f>'2023年'!E3</f>
        <v>0</v>
      </c>
      <c r="F3" s="12">
        <f>'2023年'!F3</f>
        <v>0</v>
      </c>
      <c r="G3" s="12">
        <f>'2023年'!G3</f>
        <v>0</v>
      </c>
      <c r="H3" s="12">
        <f>'2023年'!H3</f>
        <v>0</v>
      </c>
      <c r="I3" s="12">
        <f>'2023年'!I3</f>
        <v>0</v>
      </c>
      <c r="J3" s="12">
        <f>'2023年'!J3</f>
        <v>0</v>
      </c>
      <c r="K3" s="12">
        <f>'2023年'!K3</f>
        <v>0</v>
      </c>
      <c r="L3" s="12">
        <f>'2023年'!L3</f>
        <v>0</v>
      </c>
      <c r="M3" s="12">
        <f>'2023年'!M3</f>
        <v>0</v>
      </c>
      <c r="N3" s="198" t="s">
        <v>50</v>
      </c>
    </row>
    <row r="4" spans="1:43" ht="49.5">
      <c r="A4" s="197" t="s">
        <v>144</v>
      </c>
      <c r="B4" s="197"/>
      <c r="C4" s="12" t="str">
        <f>'2023年'!C4</f>
        <v>6800010GE404</v>
      </c>
      <c r="D4" s="14">
        <f>'2023年'!D4</f>
        <v>0</v>
      </c>
      <c r="E4" s="14">
        <f>'2023年'!E4</f>
        <v>0</v>
      </c>
      <c r="F4" s="14">
        <f>'2023年'!F4</f>
        <v>0</v>
      </c>
      <c r="G4" s="14">
        <f>'2023年'!G4</f>
        <v>0</v>
      </c>
      <c r="H4" s="14">
        <f>'2023年'!H4</f>
        <v>0</v>
      </c>
      <c r="I4" s="14">
        <f>'2023年'!I4</f>
        <v>0</v>
      </c>
      <c r="J4" s="14">
        <f>'2023年'!J4</f>
        <v>0</v>
      </c>
      <c r="K4" s="14">
        <f>'2023年'!K4</f>
        <v>0</v>
      </c>
      <c r="L4" s="14">
        <f>'2023年'!L4</f>
        <v>0</v>
      </c>
      <c r="M4" s="14">
        <f>'2023年'!M4</f>
        <v>0</v>
      </c>
      <c r="N4" s="199"/>
    </row>
    <row r="5" spans="1:43">
      <c r="A5" s="197" t="s">
        <v>145</v>
      </c>
      <c r="B5" s="197"/>
      <c r="C5" s="46">
        <f>'2023年'!C5</f>
        <v>0</v>
      </c>
      <c r="D5" s="46">
        <f>'2023年'!D5</f>
        <v>0</v>
      </c>
      <c r="E5" s="14">
        <f>'2023年'!E5</f>
        <v>0</v>
      </c>
      <c r="F5" s="14">
        <f>'2023年'!F5</f>
        <v>0</v>
      </c>
      <c r="G5" s="46">
        <f>'2023年'!G5</f>
        <v>0</v>
      </c>
      <c r="H5" s="46">
        <f>'2023年'!H5</f>
        <v>0</v>
      </c>
      <c r="I5" s="14">
        <f>'2023年'!I5</f>
        <v>0</v>
      </c>
      <c r="J5" s="14">
        <f>'2023年'!J5</f>
        <v>0</v>
      </c>
      <c r="K5" s="14">
        <f>'2023年'!K5</f>
        <v>0</v>
      </c>
      <c r="L5" s="14">
        <f>'2023年'!L5</f>
        <v>0</v>
      </c>
      <c r="M5" s="14">
        <f>'2023年'!M5</f>
        <v>0</v>
      </c>
      <c r="N5" s="200"/>
      <c r="AQ5" s="84" t="s">
        <v>51</v>
      </c>
    </row>
    <row r="6" spans="1:43" ht="17.25">
      <c r="A6" s="87" t="s">
        <v>17</v>
      </c>
      <c r="B6" s="88" t="s">
        <v>146</v>
      </c>
      <c r="C6" s="89">
        <f>销量!C10</f>
        <v>3000</v>
      </c>
      <c r="D6" s="89">
        <f>销量!D10</f>
        <v>0</v>
      </c>
      <c r="E6" s="89">
        <f>销量!E10</f>
        <v>0</v>
      </c>
      <c r="F6" s="89">
        <f>销量!F10</f>
        <v>0</v>
      </c>
      <c r="G6" s="89">
        <f>销量!G10</f>
        <v>0</v>
      </c>
      <c r="H6" s="89">
        <f>销量!H10</f>
        <v>0</v>
      </c>
      <c r="I6" s="89">
        <f>销量!I10</f>
        <v>0</v>
      </c>
      <c r="J6" s="89">
        <f>销量!J10</f>
        <v>0</v>
      </c>
      <c r="K6" s="89">
        <f>销量!K10</f>
        <v>0</v>
      </c>
      <c r="L6" s="89">
        <f>销量!L10</f>
        <v>0</v>
      </c>
      <c r="M6" s="89">
        <f>销量!M10</f>
        <v>0</v>
      </c>
      <c r="N6" s="90">
        <f t="shared" ref="N6:N15" si="0">+SUM(C6:M6)</f>
        <v>3000</v>
      </c>
      <c r="Y6" s="88" t="s">
        <v>3</v>
      </c>
      <c r="AO6" s="87" t="s">
        <v>17</v>
      </c>
      <c r="AP6" s="88" t="s">
        <v>3</v>
      </c>
      <c r="AQ6" s="84" t="s">
        <v>52</v>
      </c>
    </row>
    <row r="7" spans="1:43">
      <c r="A7" s="86">
        <v>1</v>
      </c>
      <c r="B7" s="88" t="s">
        <v>53</v>
      </c>
      <c r="C7" s="90">
        <f>C6*销量!C8</f>
        <v>5160000</v>
      </c>
      <c r="D7" s="90">
        <f>D6*销量!D8</f>
        <v>0</v>
      </c>
      <c r="E7" s="90">
        <f>E6*销量!E8</f>
        <v>0</v>
      </c>
      <c r="F7" s="90">
        <f>F6*销量!F8</f>
        <v>0</v>
      </c>
      <c r="G7" s="90">
        <f>G6*销量!G8</f>
        <v>0</v>
      </c>
      <c r="H7" s="90">
        <f>H6*销量!H8</f>
        <v>0</v>
      </c>
      <c r="I7" s="90">
        <f>I6*销量!I8</f>
        <v>0</v>
      </c>
      <c r="J7" s="90">
        <f>J6*销量!J8</f>
        <v>0</v>
      </c>
      <c r="K7" s="90">
        <f>K6*销量!K8</f>
        <v>0</v>
      </c>
      <c r="L7" s="90">
        <f>L6*销量!L8</f>
        <v>0</v>
      </c>
      <c r="M7" s="90">
        <f>M6*销量!M8</f>
        <v>0</v>
      </c>
      <c r="N7" s="90">
        <f t="shared" si="0"/>
        <v>5160000</v>
      </c>
      <c r="O7" s="85"/>
      <c r="Y7" s="88" t="s">
        <v>53</v>
      </c>
      <c r="AO7" s="87" t="s">
        <v>54</v>
      </c>
      <c r="AP7" s="88" t="s">
        <v>53</v>
      </c>
      <c r="AQ7" s="84" t="s">
        <v>52</v>
      </c>
    </row>
    <row r="8" spans="1:43">
      <c r="A8" s="86">
        <v>2</v>
      </c>
      <c r="B8" s="86" t="s">
        <v>55</v>
      </c>
      <c r="C8" s="90">
        <f>C7*(1-销量!$Q$7)</f>
        <v>129000.00000000012</v>
      </c>
      <c r="D8" s="90">
        <f>D7*(1-销量!$Q$7)</f>
        <v>0</v>
      </c>
      <c r="E8" s="90">
        <f>E7*(1-销量!$Q$7)</f>
        <v>0</v>
      </c>
      <c r="F8" s="90">
        <f>F7*(1-销量!$Q$7)</f>
        <v>0</v>
      </c>
      <c r="G8" s="90">
        <f>G7*(1-销量!$Q$7)</f>
        <v>0</v>
      </c>
      <c r="H8" s="90">
        <f>H7*(1-销量!$Q$7)</f>
        <v>0</v>
      </c>
      <c r="I8" s="90">
        <f>I7*(1-销量!$Q$7)</f>
        <v>0</v>
      </c>
      <c r="J8" s="90">
        <f>J7*(1-销量!$Q$7)</f>
        <v>0</v>
      </c>
      <c r="K8" s="90">
        <f>K7*(1-销量!$Q$7)</f>
        <v>0</v>
      </c>
      <c r="L8" s="90">
        <f>L7*(1-销量!$Q$7)</f>
        <v>0</v>
      </c>
      <c r="M8" s="90">
        <f>M7*(1-销量!$Q$7)</f>
        <v>0</v>
      </c>
      <c r="N8" s="90">
        <f t="shared" si="0"/>
        <v>129000.00000000012</v>
      </c>
      <c r="O8" s="103"/>
      <c r="Y8" s="86" t="s">
        <v>57</v>
      </c>
      <c r="AO8" s="87" t="s">
        <v>56</v>
      </c>
      <c r="AP8" s="86" t="s">
        <v>57</v>
      </c>
      <c r="AQ8" s="84" t="s">
        <v>52</v>
      </c>
    </row>
    <row r="9" spans="1:43">
      <c r="A9" s="86">
        <v>3</v>
      </c>
      <c r="B9" s="88" t="s">
        <v>58</v>
      </c>
      <c r="C9" s="90">
        <f t="shared" ref="C9:M9" si="1">+C7-C8</f>
        <v>5031000</v>
      </c>
      <c r="D9" s="90">
        <f t="shared" si="1"/>
        <v>0</v>
      </c>
      <c r="E9" s="90">
        <f t="shared" si="1"/>
        <v>0</v>
      </c>
      <c r="F9" s="90">
        <f t="shared" si="1"/>
        <v>0</v>
      </c>
      <c r="G9" s="90">
        <f t="shared" si="1"/>
        <v>0</v>
      </c>
      <c r="H9" s="90">
        <f t="shared" si="1"/>
        <v>0</v>
      </c>
      <c r="I9" s="90">
        <f t="shared" si="1"/>
        <v>0</v>
      </c>
      <c r="J9" s="90">
        <f t="shared" si="1"/>
        <v>0</v>
      </c>
      <c r="K9" s="90">
        <f t="shared" si="1"/>
        <v>0</v>
      </c>
      <c r="L9" s="90">
        <f t="shared" si="1"/>
        <v>0</v>
      </c>
      <c r="M9" s="90">
        <f t="shared" si="1"/>
        <v>0</v>
      </c>
      <c r="N9" s="90">
        <f t="shared" si="0"/>
        <v>5031000</v>
      </c>
      <c r="Y9" s="88" t="s">
        <v>58</v>
      </c>
      <c r="AO9" s="87" t="s">
        <v>59</v>
      </c>
      <c r="AP9" s="88" t="s">
        <v>58</v>
      </c>
      <c r="AQ9" s="84" t="s">
        <v>60</v>
      </c>
    </row>
    <row r="10" spans="1:43">
      <c r="A10" s="86">
        <v>4</v>
      </c>
      <c r="B10" s="87" t="s">
        <v>61</v>
      </c>
      <c r="C10" s="90">
        <f t="shared" ref="C10:M10" si="2">C6*C33</f>
        <v>3516259.5000000005</v>
      </c>
      <c r="D10" s="90">
        <f t="shared" si="2"/>
        <v>0</v>
      </c>
      <c r="E10" s="90">
        <f t="shared" si="2"/>
        <v>0</v>
      </c>
      <c r="F10" s="90">
        <f t="shared" si="2"/>
        <v>0</v>
      </c>
      <c r="G10" s="90">
        <f t="shared" si="2"/>
        <v>0</v>
      </c>
      <c r="H10" s="90">
        <f t="shared" si="2"/>
        <v>0</v>
      </c>
      <c r="I10" s="90">
        <f t="shared" si="2"/>
        <v>0</v>
      </c>
      <c r="J10" s="90">
        <f t="shared" si="2"/>
        <v>0</v>
      </c>
      <c r="K10" s="90">
        <f t="shared" si="2"/>
        <v>0</v>
      </c>
      <c r="L10" s="90">
        <f t="shared" si="2"/>
        <v>0</v>
      </c>
      <c r="M10" s="90">
        <f t="shared" si="2"/>
        <v>0</v>
      </c>
      <c r="N10" s="90">
        <f t="shared" si="0"/>
        <v>3516259.5000000005</v>
      </c>
      <c r="Y10" s="87" t="s">
        <v>61</v>
      </c>
      <c r="AO10" s="87" t="s">
        <v>62</v>
      </c>
      <c r="AP10" s="87" t="s">
        <v>61</v>
      </c>
      <c r="AQ10" s="84" t="s">
        <v>63</v>
      </c>
    </row>
    <row r="11" spans="1:43">
      <c r="A11" s="86">
        <v>5</v>
      </c>
      <c r="B11" s="87" t="s">
        <v>64</v>
      </c>
      <c r="C11" s="90">
        <f t="shared" ref="C11:M11" si="3">+C6*C36</f>
        <v>222396.00000000003</v>
      </c>
      <c r="D11" s="90">
        <f t="shared" si="3"/>
        <v>0</v>
      </c>
      <c r="E11" s="90">
        <f t="shared" si="3"/>
        <v>0</v>
      </c>
      <c r="F11" s="90">
        <f t="shared" si="3"/>
        <v>0</v>
      </c>
      <c r="G11" s="90">
        <f t="shared" si="3"/>
        <v>0</v>
      </c>
      <c r="H11" s="90">
        <f t="shared" si="3"/>
        <v>0</v>
      </c>
      <c r="I11" s="90">
        <f t="shared" si="3"/>
        <v>0</v>
      </c>
      <c r="J11" s="90">
        <f t="shared" si="3"/>
        <v>0</v>
      </c>
      <c r="K11" s="90">
        <f t="shared" si="3"/>
        <v>0</v>
      </c>
      <c r="L11" s="90">
        <f t="shared" si="3"/>
        <v>0</v>
      </c>
      <c r="M11" s="90">
        <f t="shared" si="3"/>
        <v>0</v>
      </c>
      <c r="N11" s="90">
        <f t="shared" si="0"/>
        <v>222396.00000000003</v>
      </c>
      <c r="Y11" s="87" t="s">
        <v>64</v>
      </c>
      <c r="AO11" s="87" t="s">
        <v>65</v>
      </c>
      <c r="AP11" s="87" t="s">
        <v>64</v>
      </c>
    </row>
    <row r="12" spans="1:43">
      <c r="A12" s="86">
        <v>6</v>
      </c>
      <c r="B12" s="87" t="s">
        <v>66</v>
      </c>
      <c r="C12" s="90">
        <f t="shared" ref="C12:M12" si="4">+C6*C37</f>
        <v>111972</v>
      </c>
      <c r="D12" s="90">
        <f t="shared" si="4"/>
        <v>0</v>
      </c>
      <c r="E12" s="90">
        <f t="shared" si="4"/>
        <v>0</v>
      </c>
      <c r="F12" s="90">
        <f t="shared" si="4"/>
        <v>0</v>
      </c>
      <c r="G12" s="90">
        <f t="shared" si="4"/>
        <v>0</v>
      </c>
      <c r="H12" s="90">
        <f t="shared" si="4"/>
        <v>0</v>
      </c>
      <c r="I12" s="90">
        <f t="shared" si="4"/>
        <v>0</v>
      </c>
      <c r="J12" s="90">
        <f t="shared" si="4"/>
        <v>0</v>
      </c>
      <c r="K12" s="90">
        <f t="shared" si="4"/>
        <v>0</v>
      </c>
      <c r="L12" s="90">
        <f t="shared" si="4"/>
        <v>0</v>
      </c>
      <c r="M12" s="90">
        <f t="shared" si="4"/>
        <v>0</v>
      </c>
      <c r="N12" s="90">
        <f t="shared" si="0"/>
        <v>111972</v>
      </c>
      <c r="Y12" s="87" t="s">
        <v>66</v>
      </c>
      <c r="AO12" s="87" t="s">
        <v>67</v>
      </c>
      <c r="AP12" s="87" t="s">
        <v>66</v>
      </c>
    </row>
    <row r="13" spans="1:43">
      <c r="A13" s="86">
        <v>7</v>
      </c>
      <c r="B13" s="87" t="s">
        <v>68</v>
      </c>
      <c r="C13" s="90">
        <f t="shared" ref="C13:M13" si="5">+C6*C38</f>
        <v>227039.99999999997</v>
      </c>
      <c r="D13" s="90">
        <f t="shared" si="5"/>
        <v>0</v>
      </c>
      <c r="E13" s="90">
        <f t="shared" si="5"/>
        <v>0</v>
      </c>
      <c r="F13" s="90">
        <f t="shared" si="5"/>
        <v>0</v>
      </c>
      <c r="G13" s="90">
        <f t="shared" si="5"/>
        <v>0</v>
      </c>
      <c r="H13" s="90">
        <f t="shared" si="5"/>
        <v>0</v>
      </c>
      <c r="I13" s="90">
        <f t="shared" si="5"/>
        <v>0</v>
      </c>
      <c r="J13" s="90">
        <f t="shared" si="5"/>
        <v>0</v>
      </c>
      <c r="K13" s="90">
        <f t="shared" si="5"/>
        <v>0</v>
      </c>
      <c r="L13" s="90">
        <f t="shared" si="5"/>
        <v>0</v>
      </c>
      <c r="M13" s="90">
        <f t="shared" si="5"/>
        <v>0</v>
      </c>
      <c r="N13" s="90">
        <f t="shared" si="0"/>
        <v>227039.99999999997</v>
      </c>
      <c r="Y13" s="87" t="s">
        <v>68</v>
      </c>
      <c r="AO13" s="87" t="s">
        <v>69</v>
      </c>
      <c r="AP13" s="87" t="s">
        <v>68</v>
      </c>
      <c r="AQ13" s="84" t="s">
        <v>52</v>
      </c>
    </row>
    <row r="14" spans="1:43">
      <c r="A14" s="86">
        <v>8</v>
      </c>
      <c r="B14" s="91" t="s">
        <v>70</v>
      </c>
      <c r="C14" s="90">
        <f t="shared" ref="C14:M14" si="6">SUM(C11:C13)</f>
        <v>561408</v>
      </c>
      <c r="D14" s="90">
        <f t="shared" si="6"/>
        <v>0</v>
      </c>
      <c r="E14" s="90">
        <f t="shared" si="6"/>
        <v>0</v>
      </c>
      <c r="F14" s="90">
        <f t="shared" si="6"/>
        <v>0</v>
      </c>
      <c r="G14" s="90">
        <f t="shared" si="6"/>
        <v>0</v>
      </c>
      <c r="H14" s="90">
        <f t="shared" si="6"/>
        <v>0</v>
      </c>
      <c r="I14" s="90">
        <f t="shared" si="6"/>
        <v>0</v>
      </c>
      <c r="J14" s="90">
        <f t="shared" si="6"/>
        <v>0</v>
      </c>
      <c r="K14" s="90">
        <f t="shared" si="6"/>
        <v>0</v>
      </c>
      <c r="L14" s="90">
        <f t="shared" si="6"/>
        <v>0</v>
      </c>
      <c r="M14" s="90">
        <f t="shared" si="6"/>
        <v>0</v>
      </c>
      <c r="N14" s="90">
        <f t="shared" si="0"/>
        <v>561408</v>
      </c>
      <c r="Y14" s="91" t="s">
        <v>70</v>
      </c>
      <c r="AO14" s="87" t="s">
        <v>71</v>
      </c>
      <c r="AP14" s="91" t="s">
        <v>70</v>
      </c>
    </row>
    <row r="15" spans="1:43">
      <c r="A15" s="86">
        <v>9</v>
      </c>
      <c r="B15" s="91" t="s">
        <v>72</v>
      </c>
      <c r="C15" s="90">
        <f>+C9-C10-C14</f>
        <v>953332.49999999953</v>
      </c>
      <c r="D15" s="90">
        <f t="shared" ref="D15:M15" si="7">+D9-D10-D14</f>
        <v>0</v>
      </c>
      <c r="E15" s="90">
        <f t="shared" si="7"/>
        <v>0</v>
      </c>
      <c r="F15" s="90">
        <f t="shared" si="7"/>
        <v>0</v>
      </c>
      <c r="G15" s="90">
        <f t="shared" si="7"/>
        <v>0</v>
      </c>
      <c r="H15" s="90">
        <f t="shared" si="7"/>
        <v>0</v>
      </c>
      <c r="I15" s="90">
        <f t="shared" si="7"/>
        <v>0</v>
      </c>
      <c r="J15" s="90">
        <f t="shared" si="7"/>
        <v>0</v>
      </c>
      <c r="K15" s="90">
        <f t="shared" si="7"/>
        <v>0</v>
      </c>
      <c r="L15" s="90">
        <f t="shared" si="7"/>
        <v>0</v>
      </c>
      <c r="M15" s="90">
        <f t="shared" si="7"/>
        <v>0</v>
      </c>
      <c r="N15" s="90">
        <f t="shared" si="0"/>
        <v>953332.49999999953</v>
      </c>
      <c r="Y15" s="91" t="s">
        <v>72</v>
      </c>
      <c r="AO15" s="87" t="s">
        <v>73</v>
      </c>
      <c r="AP15" s="91" t="s">
        <v>72</v>
      </c>
    </row>
    <row r="16" spans="1:43">
      <c r="A16" s="86">
        <v>10</v>
      </c>
      <c r="B16" s="87" t="s">
        <v>74</v>
      </c>
      <c r="C16" s="92">
        <f>+C15/C9</f>
        <v>0.18949165175909352</v>
      </c>
      <c r="D16" s="92" t="e">
        <f t="shared" ref="D16:N16" si="8">+D15/D9</f>
        <v>#DIV/0!</v>
      </c>
      <c r="E16" s="92" t="e">
        <f t="shared" si="8"/>
        <v>#DIV/0!</v>
      </c>
      <c r="F16" s="92" t="e">
        <f t="shared" si="8"/>
        <v>#DIV/0!</v>
      </c>
      <c r="G16" s="92" t="e">
        <f t="shared" si="8"/>
        <v>#DIV/0!</v>
      </c>
      <c r="H16" s="92" t="e">
        <f t="shared" si="8"/>
        <v>#DIV/0!</v>
      </c>
      <c r="I16" s="92" t="e">
        <f t="shared" si="8"/>
        <v>#DIV/0!</v>
      </c>
      <c r="J16" s="92" t="e">
        <f t="shared" si="8"/>
        <v>#DIV/0!</v>
      </c>
      <c r="K16" s="92" t="e">
        <f t="shared" si="8"/>
        <v>#DIV/0!</v>
      </c>
      <c r="L16" s="92" t="e">
        <f t="shared" si="8"/>
        <v>#DIV/0!</v>
      </c>
      <c r="M16" s="92" t="e">
        <f t="shared" si="8"/>
        <v>#DIV/0!</v>
      </c>
      <c r="N16" s="92">
        <f t="shared" si="8"/>
        <v>0.18949165175909352</v>
      </c>
      <c r="Y16" s="87" t="s">
        <v>74</v>
      </c>
      <c r="AO16" s="87" t="s">
        <v>75</v>
      </c>
      <c r="AP16" s="87" t="s">
        <v>74</v>
      </c>
    </row>
    <row r="17" spans="1:43">
      <c r="A17" s="86">
        <v>11</v>
      </c>
      <c r="B17" s="87" t="s">
        <v>76</v>
      </c>
      <c r="C17" s="90">
        <f t="shared" ref="C17:M17" si="9">C6*C43+C18</f>
        <v>324420</v>
      </c>
      <c r="D17" s="90">
        <f t="shared" si="9"/>
        <v>0</v>
      </c>
      <c r="E17" s="90">
        <f t="shared" si="9"/>
        <v>0</v>
      </c>
      <c r="F17" s="90">
        <f t="shared" si="9"/>
        <v>0</v>
      </c>
      <c r="G17" s="90">
        <f t="shared" si="9"/>
        <v>0</v>
      </c>
      <c r="H17" s="90">
        <f t="shared" si="9"/>
        <v>0</v>
      </c>
      <c r="I17" s="90">
        <f t="shared" si="9"/>
        <v>0</v>
      </c>
      <c r="J17" s="90">
        <f t="shared" si="9"/>
        <v>0</v>
      </c>
      <c r="K17" s="90">
        <f t="shared" si="9"/>
        <v>0</v>
      </c>
      <c r="L17" s="90">
        <f t="shared" si="9"/>
        <v>0</v>
      </c>
      <c r="M17" s="90">
        <f t="shared" si="9"/>
        <v>0</v>
      </c>
      <c r="N17" s="90">
        <f t="shared" ref="N17:N20" si="10">+SUM(C17:M17)</f>
        <v>324420</v>
      </c>
      <c r="O17" s="103"/>
      <c r="Y17" s="87" t="s">
        <v>76</v>
      </c>
      <c r="AO17" s="87" t="s">
        <v>77</v>
      </c>
      <c r="AP17" s="87" t="s">
        <v>76</v>
      </c>
    </row>
    <row r="18" spans="1:43" s="82" customFormat="1">
      <c r="A18" s="86">
        <v>12</v>
      </c>
      <c r="B18" s="93" t="s">
        <v>147</v>
      </c>
      <c r="C18" s="94">
        <f t="shared" ref="C18:M18" si="11">$N$18/$N$6*C6</f>
        <v>112859.99999999999</v>
      </c>
      <c r="D18" s="94">
        <f t="shared" si="11"/>
        <v>0</v>
      </c>
      <c r="E18" s="94">
        <f t="shared" si="11"/>
        <v>0</v>
      </c>
      <c r="F18" s="94">
        <f t="shared" si="11"/>
        <v>0</v>
      </c>
      <c r="G18" s="94">
        <f t="shared" si="11"/>
        <v>0</v>
      </c>
      <c r="H18" s="94">
        <f t="shared" si="11"/>
        <v>0</v>
      </c>
      <c r="I18" s="94">
        <f t="shared" si="11"/>
        <v>0</v>
      </c>
      <c r="J18" s="94">
        <f t="shared" si="11"/>
        <v>0</v>
      </c>
      <c r="K18" s="94">
        <f t="shared" si="11"/>
        <v>0</v>
      </c>
      <c r="L18" s="94">
        <f t="shared" si="11"/>
        <v>0</v>
      </c>
      <c r="M18" s="94">
        <f t="shared" si="11"/>
        <v>0</v>
      </c>
      <c r="N18" s="90">
        <f>项目投资!E26</f>
        <v>112860</v>
      </c>
      <c r="O18" s="105" t="s">
        <v>148</v>
      </c>
      <c r="P18" s="105"/>
      <c r="Q18" s="105"/>
    </row>
    <row r="19" spans="1:43">
      <c r="A19" s="86">
        <v>13</v>
      </c>
      <c r="B19" s="87" t="s">
        <v>78</v>
      </c>
      <c r="C19" s="90">
        <f t="shared" ref="C19:M19" si="12">C6*C44</f>
        <v>36120</v>
      </c>
      <c r="D19" s="90">
        <f t="shared" si="12"/>
        <v>0</v>
      </c>
      <c r="E19" s="90">
        <f t="shared" si="12"/>
        <v>0</v>
      </c>
      <c r="F19" s="90">
        <f t="shared" si="12"/>
        <v>0</v>
      </c>
      <c r="G19" s="90">
        <f t="shared" si="12"/>
        <v>0</v>
      </c>
      <c r="H19" s="90">
        <f t="shared" si="12"/>
        <v>0</v>
      </c>
      <c r="I19" s="90">
        <f t="shared" si="12"/>
        <v>0</v>
      </c>
      <c r="J19" s="90">
        <f t="shared" si="12"/>
        <v>0</v>
      </c>
      <c r="K19" s="90">
        <f t="shared" si="12"/>
        <v>0</v>
      </c>
      <c r="L19" s="90">
        <f t="shared" si="12"/>
        <v>0</v>
      </c>
      <c r="M19" s="90">
        <f t="shared" si="12"/>
        <v>0</v>
      </c>
      <c r="N19" s="90">
        <f t="shared" si="10"/>
        <v>36120</v>
      </c>
      <c r="O19" s="82"/>
      <c r="Y19" s="87" t="s">
        <v>78</v>
      </c>
      <c r="AO19" s="87" t="s">
        <v>79</v>
      </c>
      <c r="AP19" s="87" t="s">
        <v>78</v>
      </c>
      <c r="AQ19" s="84" t="s">
        <v>52</v>
      </c>
    </row>
    <row r="20" spans="1:43">
      <c r="A20" s="86">
        <v>14</v>
      </c>
      <c r="B20" s="87" t="s">
        <v>80</v>
      </c>
      <c r="C20" s="90">
        <f t="shared" ref="C20:M20" si="13">C6*C45</f>
        <v>175440</v>
      </c>
      <c r="D20" s="90">
        <f t="shared" si="13"/>
        <v>0</v>
      </c>
      <c r="E20" s="90">
        <f t="shared" si="13"/>
        <v>0</v>
      </c>
      <c r="F20" s="90">
        <f t="shared" si="13"/>
        <v>0</v>
      </c>
      <c r="G20" s="90">
        <f t="shared" si="13"/>
        <v>0</v>
      </c>
      <c r="H20" s="90">
        <f t="shared" si="13"/>
        <v>0</v>
      </c>
      <c r="I20" s="90">
        <f t="shared" si="13"/>
        <v>0</v>
      </c>
      <c r="J20" s="90">
        <f t="shared" si="13"/>
        <v>0</v>
      </c>
      <c r="K20" s="90">
        <f t="shared" si="13"/>
        <v>0</v>
      </c>
      <c r="L20" s="90">
        <f t="shared" si="13"/>
        <v>0</v>
      </c>
      <c r="M20" s="90">
        <f t="shared" si="13"/>
        <v>0</v>
      </c>
      <c r="N20" s="90">
        <f t="shared" si="10"/>
        <v>175440</v>
      </c>
      <c r="Y20" s="87" t="s">
        <v>80</v>
      </c>
      <c r="AO20" s="87" t="s">
        <v>81</v>
      </c>
      <c r="AP20" s="87" t="s">
        <v>80</v>
      </c>
    </row>
    <row r="21" spans="1:43">
      <c r="A21" s="86">
        <v>15</v>
      </c>
      <c r="B21" s="87" t="s">
        <v>82</v>
      </c>
      <c r="C21" s="95">
        <f>$N$21/$N$6*C6</f>
        <v>30800.000000000004</v>
      </c>
      <c r="D21" s="95">
        <f t="shared" ref="D21:M21" si="14">$N$21/$N$6*D6</f>
        <v>0</v>
      </c>
      <c r="E21" s="95">
        <f t="shared" si="14"/>
        <v>0</v>
      </c>
      <c r="F21" s="95">
        <f t="shared" si="14"/>
        <v>0</v>
      </c>
      <c r="G21" s="95">
        <f t="shared" si="14"/>
        <v>0</v>
      </c>
      <c r="H21" s="95">
        <f t="shared" si="14"/>
        <v>0</v>
      </c>
      <c r="I21" s="95">
        <f t="shared" si="14"/>
        <v>0</v>
      </c>
      <c r="J21" s="95">
        <f t="shared" si="14"/>
        <v>0</v>
      </c>
      <c r="K21" s="95">
        <f t="shared" si="14"/>
        <v>0</v>
      </c>
      <c r="L21" s="95">
        <f t="shared" si="14"/>
        <v>0</v>
      </c>
      <c r="M21" s="95">
        <f t="shared" si="14"/>
        <v>0</v>
      </c>
      <c r="N21" s="90">
        <f>项目投资!E27</f>
        <v>30800</v>
      </c>
      <c r="Y21" s="87" t="s">
        <v>82</v>
      </c>
      <c r="AO21" s="87"/>
      <c r="AP21" s="87"/>
    </row>
    <row r="22" spans="1:43">
      <c r="A22" s="86">
        <v>16</v>
      </c>
      <c r="B22" s="87" t="s">
        <v>83</v>
      </c>
      <c r="C22" s="90">
        <f t="shared" ref="C22:M22" si="15">C6*C47</f>
        <v>154800</v>
      </c>
      <c r="D22" s="90">
        <f t="shared" si="15"/>
        <v>0</v>
      </c>
      <c r="E22" s="90">
        <f t="shared" si="15"/>
        <v>0</v>
      </c>
      <c r="F22" s="90">
        <f t="shared" si="15"/>
        <v>0</v>
      </c>
      <c r="G22" s="90">
        <f t="shared" si="15"/>
        <v>0</v>
      </c>
      <c r="H22" s="90">
        <f t="shared" si="15"/>
        <v>0</v>
      </c>
      <c r="I22" s="90">
        <f t="shared" si="15"/>
        <v>0</v>
      </c>
      <c r="J22" s="90">
        <f t="shared" si="15"/>
        <v>0</v>
      </c>
      <c r="K22" s="90">
        <f t="shared" si="15"/>
        <v>0</v>
      </c>
      <c r="L22" s="90">
        <f t="shared" si="15"/>
        <v>0</v>
      </c>
      <c r="M22" s="90">
        <f t="shared" si="15"/>
        <v>0</v>
      </c>
      <c r="N22" s="90">
        <f>+SUM(C22:M22)</f>
        <v>154800</v>
      </c>
      <c r="Y22" s="87" t="s">
        <v>83</v>
      </c>
      <c r="AO22" s="87" t="s">
        <v>84</v>
      </c>
      <c r="AP22" s="87" t="s">
        <v>83</v>
      </c>
    </row>
    <row r="23" spans="1:43">
      <c r="A23" s="86">
        <v>17</v>
      </c>
      <c r="B23" s="91" t="s">
        <v>85</v>
      </c>
      <c r="C23" s="95">
        <f t="shared" ref="C23:N23" si="16">+C22+C21+C20+C19+C17</f>
        <v>721580</v>
      </c>
      <c r="D23" s="95">
        <f t="shared" si="16"/>
        <v>0</v>
      </c>
      <c r="E23" s="95">
        <f t="shared" si="16"/>
        <v>0</v>
      </c>
      <c r="F23" s="95">
        <f t="shared" si="16"/>
        <v>0</v>
      </c>
      <c r="G23" s="95">
        <f t="shared" si="16"/>
        <v>0</v>
      </c>
      <c r="H23" s="95">
        <f t="shared" si="16"/>
        <v>0</v>
      </c>
      <c r="I23" s="95">
        <f t="shared" si="16"/>
        <v>0</v>
      </c>
      <c r="J23" s="95">
        <f t="shared" si="16"/>
        <v>0</v>
      </c>
      <c r="K23" s="95">
        <f t="shared" si="16"/>
        <v>0</v>
      </c>
      <c r="L23" s="95">
        <f t="shared" si="16"/>
        <v>0</v>
      </c>
      <c r="M23" s="95">
        <f t="shared" si="16"/>
        <v>0</v>
      </c>
      <c r="N23" s="95">
        <f t="shared" si="16"/>
        <v>721580</v>
      </c>
      <c r="Y23" s="91" t="s">
        <v>85</v>
      </c>
      <c r="AO23" s="87" t="s">
        <v>86</v>
      </c>
      <c r="AP23" s="91" t="s">
        <v>85</v>
      </c>
    </row>
    <row r="24" spans="1:43">
      <c r="A24" s="86">
        <v>18</v>
      </c>
      <c r="B24" s="96" t="s">
        <v>87</v>
      </c>
      <c r="C24" s="95">
        <f t="shared" ref="C24:N24" si="17">+C15-C23</f>
        <v>231752.49999999953</v>
      </c>
      <c r="D24" s="95">
        <f t="shared" si="17"/>
        <v>0</v>
      </c>
      <c r="E24" s="95">
        <f t="shared" si="17"/>
        <v>0</v>
      </c>
      <c r="F24" s="95">
        <f t="shared" si="17"/>
        <v>0</v>
      </c>
      <c r="G24" s="95">
        <f t="shared" si="17"/>
        <v>0</v>
      </c>
      <c r="H24" s="95">
        <f t="shared" si="17"/>
        <v>0</v>
      </c>
      <c r="I24" s="95">
        <f t="shared" si="17"/>
        <v>0</v>
      </c>
      <c r="J24" s="95">
        <f t="shared" si="17"/>
        <v>0</v>
      </c>
      <c r="K24" s="95">
        <f t="shared" si="17"/>
        <v>0</v>
      </c>
      <c r="L24" s="95">
        <f t="shared" si="17"/>
        <v>0</v>
      </c>
      <c r="M24" s="95">
        <f t="shared" si="17"/>
        <v>0</v>
      </c>
      <c r="N24" s="95">
        <f t="shared" si="17"/>
        <v>231752.49999999953</v>
      </c>
      <c r="P24" s="106"/>
      <c r="Y24" s="87" t="s">
        <v>87</v>
      </c>
      <c r="AO24" s="87" t="s">
        <v>88</v>
      </c>
      <c r="AP24" s="87" t="s">
        <v>87</v>
      </c>
    </row>
    <row r="25" spans="1:43">
      <c r="A25" s="190">
        <v>19</v>
      </c>
      <c r="B25" s="87" t="s">
        <v>284</v>
      </c>
      <c r="C25" s="95">
        <f>IF(C24&lt;0,0,C24*0.15)</f>
        <v>34762.874999999927</v>
      </c>
      <c r="D25" s="95">
        <f t="shared" ref="D25:N25" si="18">IF(D24&lt;0,0,D24*0.15)</f>
        <v>0</v>
      </c>
      <c r="E25" s="95">
        <f t="shared" si="18"/>
        <v>0</v>
      </c>
      <c r="F25" s="95">
        <f t="shared" si="18"/>
        <v>0</v>
      </c>
      <c r="G25" s="95">
        <f t="shared" si="18"/>
        <v>0</v>
      </c>
      <c r="H25" s="95">
        <f t="shared" si="18"/>
        <v>0</v>
      </c>
      <c r="I25" s="95">
        <f t="shared" si="18"/>
        <v>0</v>
      </c>
      <c r="J25" s="95">
        <f t="shared" si="18"/>
        <v>0</v>
      </c>
      <c r="K25" s="95">
        <f t="shared" si="18"/>
        <v>0</v>
      </c>
      <c r="L25" s="95">
        <f t="shared" si="18"/>
        <v>0</v>
      </c>
      <c r="M25" s="95">
        <f t="shared" si="18"/>
        <v>0</v>
      </c>
      <c r="N25" s="95">
        <f t="shared" si="18"/>
        <v>34762.874999999927</v>
      </c>
      <c r="O25" s="2"/>
      <c r="P25" s="2"/>
      <c r="Q25" s="2"/>
      <c r="Y25" s="87" t="s">
        <v>34</v>
      </c>
      <c r="AO25" s="87" t="s">
        <v>89</v>
      </c>
      <c r="AP25" s="87" t="s">
        <v>34</v>
      </c>
    </row>
    <row r="26" spans="1:43">
      <c r="A26" s="86">
        <v>20</v>
      </c>
      <c r="B26" s="87" t="s">
        <v>90</v>
      </c>
      <c r="C26" s="95">
        <f t="shared" ref="C26:M26" si="19">C24-C25</f>
        <v>196989.62499999959</v>
      </c>
      <c r="D26" s="95">
        <f t="shared" si="19"/>
        <v>0</v>
      </c>
      <c r="E26" s="95">
        <f t="shared" si="19"/>
        <v>0</v>
      </c>
      <c r="F26" s="95">
        <f t="shared" si="19"/>
        <v>0</v>
      </c>
      <c r="G26" s="95">
        <f t="shared" si="19"/>
        <v>0</v>
      </c>
      <c r="H26" s="95">
        <f t="shared" si="19"/>
        <v>0</v>
      </c>
      <c r="I26" s="95">
        <f t="shared" si="19"/>
        <v>0</v>
      </c>
      <c r="J26" s="95">
        <f t="shared" si="19"/>
        <v>0</v>
      </c>
      <c r="K26" s="95">
        <f t="shared" si="19"/>
        <v>0</v>
      </c>
      <c r="L26" s="95">
        <f t="shared" si="19"/>
        <v>0</v>
      </c>
      <c r="M26" s="95">
        <f t="shared" si="19"/>
        <v>0</v>
      </c>
      <c r="N26" s="90">
        <f>+SUM(C26:M26)</f>
        <v>196989.62499999959</v>
      </c>
      <c r="O26" s="2"/>
      <c r="P26" s="2"/>
      <c r="Q26" s="2"/>
      <c r="Y26" s="87" t="s">
        <v>90</v>
      </c>
      <c r="AO26" s="87" t="s">
        <v>91</v>
      </c>
      <c r="AP26" s="87" t="s">
        <v>90</v>
      </c>
    </row>
    <row r="27" spans="1:43">
      <c r="A27" s="86">
        <v>21</v>
      </c>
      <c r="B27" s="87" t="s">
        <v>94</v>
      </c>
      <c r="C27" s="97">
        <f t="shared" ref="C27:N27" si="20">C26/C7</f>
        <v>3.8176283914728604E-2</v>
      </c>
      <c r="D27" s="97" t="e">
        <f t="shared" si="20"/>
        <v>#DIV/0!</v>
      </c>
      <c r="E27" s="97" t="e">
        <f t="shared" si="20"/>
        <v>#DIV/0!</v>
      </c>
      <c r="F27" s="97" t="e">
        <f t="shared" si="20"/>
        <v>#DIV/0!</v>
      </c>
      <c r="G27" s="97" t="e">
        <f t="shared" si="20"/>
        <v>#DIV/0!</v>
      </c>
      <c r="H27" s="97" t="e">
        <f t="shared" si="20"/>
        <v>#DIV/0!</v>
      </c>
      <c r="I27" s="97" t="e">
        <f t="shared" si="20"/>
        <v>#DIV/0!</v>
      </c>
      <c r="J27" s="97" t="e">
        <f t="shared" si="20"/>
        <v>#DIV/0!</v>
      </c>
      <c r="K27" s="97" t="e">
        <f t="shared" si="20"/>
        <v>#DIV/0!</v>
      </c>
      <c r="L27" s="97" t="e">
        <f t="shared" si="20"/>
        <v>#DIV/0!</v>
      </c>
      <c r="M27" s="97" t="e">
        <f t="shared" si="20"/>
        <v>#DIV/0!</v>
      </c>
      <c r="N27" s="107">
        <f t="shared" si="20"/>
        <v>3.8176283914728604E-2</v>
      </c>
      <c r="O27" s="2"/>
      <c r="P27" s="2"/>
      <c r="Q27" s="2"/>
      <c r="Y27" s="87" t="s">
        <v>94</v>
      </c>
      <c r="AO27" s="87" t="s">
        <v>93</v>
      </c>
      <c r="AP27" s="87" t="s">
        <v>94</v>
      </c>
    </row>
    <row r="28" spans="1:43">
      <c r="O28" s="2"/>
      <c r="P28" s="2"/>
      <c r="Q28" s="2"/>
      <c r="Y28" s="87"/>
    </row>
    <row r="29" spans="1:43">
      <c r="A29" s="84" t="s">
        <v>95</v>
      </c>
      <c r="N29" s="85" t="s">
        <v>149</v>
      </c>
      <c r="O29" s="2"/>
      <c r="P29" s="2"/>
      <c r="Q29" s="2"/>
      <c r="Y29" s="87"/>
      <c r="AO29" s="84" t="s">
        <v>95</v>
      </c>
    </row>
    <row r="30" spans="1:43">
      <c r="A30" s="87" t="s">
        <v>96</v>
      </c>
      <c r="B30" s="91" t="s">
        <v>97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2"/>
      <c r="P30" s="2"/>
      <c r="Q30" s="2"/>
      <c r="S30" s="2"/>
      <c r="Y30" s="91" t="s">
        <v>97</v>
      </c>
      <c r="AO30" s="87" t="s">
        <v>98</v>
      </c>
      <c r="AP30" s="91" t="s">
        <v>97</v>
      </c>
    </row>
    <row r="31" spans="1:43">
      <c r="A31" s="86">
        <v>1</v>
      </c>
      <c r="B31" s="93" t="s">
        <v>99</v>
      </c>
      <c r="C31" s="98">
        <f>销量!C8</f>
        <v>1720</v>
      </c>
      <c r="D31" s="98">
        <f>销量!D8</f>
        <v>0</v>
      </c>
      <c r="E31" s="98">
        <f>销量!E8</f>
        <v>0</v>
      </c>
      <c r="F31" s="98">
        <f>销量!F8</f>
        <v>0</v>
      </c>
      <c r="G31" s="98">
        <f>销量!G8</f>
        <v>0</v>
      </c>
      <c r="H31" s="98">
        <f>销量!H8</f>
        <v>0</v>
      </c>
      <c r="I31" s="98">
        <f>销量!I8</f>
        <v>0</v>
      </c>
      <c r="J31" s="98">
        <f>销量!J8</f>
        <v>0</v>
      </c>
      <c r="K31" s="98">
        <f>销量!K8</f>
        <v>0</v>
      </c>
      <c r="L31" s="98">
        <f>销量!L8</f>
        <v>0</v>
      </c>
      <c r="M31" s="98">
        <f>销量!M8</f>
        <v>0</v>
      </c>
      <c r="N31" s="95"/>
      <c r="O31" s="2"/>
      <c r="P31" s="2"/>
      <c r="Q31" s="2"/>
      <c r="S31" s="2"/>
      <c r="Y31" s="87" t="s">
        <v>99</v>
      </c>
      <c r="AO31" s="87" t="s">
        <v>54</v>
      </c>
      <c r="AP31" s="87" t="s">
        <v>99</v>
      </c>
    </row>
    <row r="32" spans="1:43">
      <c r="A32" s="86">
        <v>2</v>
      </c>
      <c r="B32" s="87" t="s">
        <v>150</v>
      </c>
      <c r="C32" s="90">
        <f t="shared" ref="C32:M32" si="21">C31*1</f>
        <v>1720</v>
      </c>
      <c r="D32" s="90">
        <f t="shared" si="21"/>
        <v>0</v>
      </c>
      <c r="E32" s="90">
        <f t="shared" si="21"/>
        <v>0</v>
      </c>
      <c r="F32" s="90">
        <f t="shared" si="21"/>
        <v>0</v>
      </c>
      <c r="G32" s="90">
        <f t="shared" si="21"/>
        <v>0</v>
      </c>
      <c r="H32" s="90">
        <f t="shared" si="21"/>
        <v>0</v>
      </c>
      <c r="I32" s="90">
        <f t="shared" si="21"/>
        <v>0</v>
      </c>
      <c r="J32" s="90">
        <f t="shared" si="21"/>
        <v>0</v>
      </c>
      <c r="K32" s="90">
        <f t="shared" si="21"/>
        <v>0</v>
      </c>
      <c r="L32" s="90">
        <f t="shared" si="21"/>
        <v>0</v>
      </c>
      <c r="M32" s="90">
        <f t="shared" si="21"/>
        <v>0</v>
      </c>
      <c r="N32" s="95"/>
      <c r="O32" s="2"/>
      <c r="P32" s="2"/>
      <c r="Q32" s="2"/>
      <c r="R32" s="2"/>
      <c r="S32" s="2"/>
      <c r="T32" s="2"/>
      <c r="U32" s="2"/>
      <c r="AO32" s="87"/>
      <c r="AP32" s="87"/>
    </row>
    <row r="33" spans="1:42">
      <c r="A33" s="86">
        <v>3</v>
      </c>
      <c r="B33" s="93" t="s">
        <v>100</v>
      </c>
      <c r="C33" s="90">
        <f>材料成本!D13</f>
        <v>1172.0865000000001</v>
      </c>
      <c r="D33" s="90">
        <f>材料成本!E13</f>
        <v>0</v>
      </c>
      <c r="E33" s="90">
        <f>材料成本!F13</f>
        <v>0</v>
      </c>
      <c r="F33" s="90">
        <f>材料成本!G13</f>
        <v>0</v>
      </c>
      <c r="G33" s="90">
        <f>材料成本!H13</f>
        <v>0</v>
      </c>
      <c r="H33" s="90">
        <f>材料成本!I13</f>
        <v>0</v>
      </c>
      <c r="I33" s="90">
        <f>材料成本!J13</f>
        <v>0</v>
      </c>
      <c r="J33" s="90">
        <f>材料成本!K13</f>
        <v>0</v>
      </c>
      <c r="K33" s="90">
        <f>材料成本!L13</f>
        <v>0</v>
      </c>
      <c r="L33" s="90">
        <f>材料成本!M13</f>
        <v>0</v>
      </c>
      <c r="M33" s="90">
        <f>材料成本!N13</f>
        <v>0</v>
      </c>
      <c r="N33" s="95"/>
      <c r="P33" s="2"/>
      <c r="Q33" s="2"/>
      <c r="R33" s="2"/>
      <c r="S33" s="2"/>
      <c r="T33" s="2"/>
      <c r="U33" s="2"/>
      <c r="Y33" s="87" t="s">
        <v>100</v>
      </c>
      <c r="AO33" s="87" t="s">
        <v>56</v>
      </c>
      <c r="AP33" s="87" t="s">
        <v>100</v>
      </c>
    </row>
    <row r="34" spans="1:42" ht="17.25" customHeight="1">
      <c r="A34" s="86">
        <v>4</v>
      </c>
      <c r="B34" s="87" t="s">
        <v>102</v>
      </c>
      <c r="C34" s="99">
        <f t="shared" ref="C34:M34" si="22">C32-C33</f>
        <v>547.91349999999989</v>
      </c>
      <c r="D34" s="99">
        <f t="shared" si="22"/>
        <v>0</v>
      </c>
      <c r="E34" s="99">
        <f t="shared" si="22"/>
        <v>0</v>
      </c>
      <c r="F34" s="99">
        <f t="shared" si="22"/>
        <v>0</v>
      </c>
      <c r="G34" s="99">
        <f t="shared" si="22"/>
        <v>0</v>
      </c>
      <c r="H34" s="99">
        <f t="shared" si="22"/>
        <v>0</v>
      </c>
      <c r="I34" s="99">
        <f t="shared" si="22"/>
        <v>0</v>
      </c>
      <c r="J34" s="99">
        <f t="shared" si="22"/>
        <v>0</v>
      </c>
      <c r="K34" s="99">
        <f t="shared" si="22"/>
        <v>0</v>
      </c>
      <c r="L34" s="99">
        <f t="shared" si="22"/>
        <v>0</v>
      </c>
      <c r="M34" s="99">
        <f t="shared" si="22"/>
        <v>0</v>
      </c>
      <c r="N34" s="95"/>
      <c r="P34" s="2"/>
      <c r="Q34" s="2"/>
      <c r="R34" s="2"/>
      <c r="S34" s="2"/>
      <c r="T34" s="2"/>
      <c r="U34" s="2"/>
      <c r="Y34" s="87" t="s">
        <v>102</v>
      </c>
      <c r="AO34" s="87" t="s">
        <v>101</v>
      </c>
      <c r="AP34" s="87" t="s">
        <v>102</v>
      </c>
    </row>
    <row r="35" spans="1:42">
      <c r="A35" s="87" t="s">
        <v>98</v>
      </c>
      <c r="B35" s="91" t="s">
        <v>8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2"/>
      <c r="P35" s="2"/>
      <c r="Q35" s="2"/>
      <c r="R35" s="2"/>
      <c r="S35" s="2"/>
      <c r="T35" s="2"/>
      <c r="U35" s="2"/>
      <c r="V35" s="2"/>
      <c r="W35" s="2"/>
      <c r="X35" s="2"/>
      <c r="Y35" s="91" t="s">
        <v>8</v>
      </c>
      <c r="AO35" s="87" t="s">
        <v>104</v>
      </c>
      <c r="AP35" s="91" t="s">
        <v>8</v>
      </c>
    </row>
    <row r="36" spans="1:42">
      <c r="A36" s="86">
        <v>1</v>
      </c>
      <c r="B36" s="87" t="s">
        <v>105</v>
      </c>
      <c r="C36" s="94">
        <f>标准成本!D4</f>
        <v>74.132000000000005</v>
      </c>
      <c r="D36" s="94">
        <f>标准成本!D16</f>
        <v>0</v>
      </c>
      <c r="E36" s="94">
        <f>标准成本!D29</f>
        <v>0</v>
      </c>
      <c r="F36" s="94">
        <f>标准成本!D42</f>
        <v>0</v>
      </c>
      <c r="G36" s="94">
        <f>标准成本!D55</f>
        <v>0</v>
      </c>
      <c r="H36" s="94">
        <f>标准成本!D68</f>
        <v>0</v>
      </c>
      <c r="I36" s="94">
        <f>标准成本!D81</f>
        <v>0</v>
      </c>
      <c r="J36" s="94">
        <f>标准成本!D94</f>
        <v>0</v>
      </c>
      <c r="K36" s="94">
        <f>标准成本!D107</f>
        <v>0</v>
      </c>
      <c r="L36" s="94">
        <f>标准成本!D120</f>
        <v>0</v>
      </c>
      <c r="M36" s="94">
        <f>标准成本!D133</f>
        <v>0</v>
      </c>
      <c r="N36" s="98"/>
      <c r="O36" s="2"/>
      <c r="P36" s="2"/>
      <c r="Q36" s="2"/>
      <c r="R36" s="2"/>
      <c r="S36" s="2"/>
      <c r="T36" s="2"/>
      <c r="U36" s="2"/>
      <c r="V36" s="2"/>
      <c r="W36" s="2"/>
      <c r="X36" s="2"/>
      <c r="Y36" s="87" t="s">
        <v>105</v>
      </c>
      <c r="AO36" s="87" t="s">
        <v>101</v>
      </c>
      <c r="AP36" s="87" t="s">
        <v>105</v>
      </c>
    </row>
    <row r="37" spans="1:42">
      <c r="A37" s="86">
        <v>2</v>
      </c>
      <c r="B37" s="87" t="s">
        <v>106</v>
      </c>
      <c r="C37" s="94">
        <f>标准成本!D6</f>
        <v>37.323999999999998</v>
      </c>
      <c r="D37" s="94">
        <f>标准成本!D18</f>
        <v>0</v>
      </c>
      <c r="E37" s="94">
        <f>标准成本!D31</f>
        <v>0</v>
      </c>
      <c r="F37" s="94">
        <f>标准成本!D44</f>
        <v>0</v>
      </c>
      <c r="G37" s="94">
        <f>标准成本!D57</f>
        <v>0</v>
      </c>
      <c r="H37" s="94">
        <f>标准成本!D70</f>
        <v>0</v>
      </c>
      <c r="I37" s="94">
        <f>标准成本!D83</f>
        <v>0</v>
      </c>
      <c r="J37" s="94">
        <f>标准成本!D96</f>
        <v>0</v>
      </c>
      <c r="K37" s="94">
        <f>标准成本!D109</f>
        <v>0</v>
      </c>
      <c r="L37" s="94">
        <f>标准成本!D122</f>
        <v>0</v>
      </c>
      <c r="M37" s="94">
        <f>标准成本!D135</f>
        <v>0</v>
      </c>
      <c r="N37" s="98"/>
      <c r="O37" s="2"/>
      <c r="P37" s="2"/>
      <c r="Q37" s="2"/>
      <c r="R37" s="2"/>
      <c r="S37" s="2"/>
      <c r="T37" s="2"/>
      <c r="U37" s="2"/>
      <c r="V37" s="2"/>
      <c r="W37" s="2"/>
      <c r="X37" s="2"/>
      <c r="Y37" s="87" t="s">
        <v>106</v>
      </c>
      <c r="AO37" s="87" t="s">
        <v>59</v>
      </c>
      <c r="AP37" s="87" t="s">
        <v>106</v>
      </c>
    </row>
    <row r="38" spans="1:42">
      <c r="A38" s="86">
        <v>3</v>
      </c>
      <c r="B38" s="87" t="s">
        <v>107</v>
      </c>
      <c r="C38" s="94">
        <f>标准成本!D10</f>
        <v>75.679999999999993</v>
      </c>
      <c r="D38" s="94">
        <f>标准成本!D22</f>
        <v>0</v>
      </c>
      <c r="E38" s="94">
        <f>标准成本!D35</f>
        <v>0</v>
      </c>
      <c r="F38" s="94">
        <f>标准成本!D48</f>
        <v>0</v>
      </c>
      <c r="G38" s="94">
        <f>标准成本!D61</f>
        <v>0</v>
      </c>
      <c r="H38" s="94">
        <f>标准成本!D74</f>
        <v>0</v>
      </c>
      <c r="I38" s="94">
        <f>标准成本!D87</f>
        <v>0</v>
      </c>
      <c r="J38" s="94">
        <f>标准成本!D100</f>
        <v>0</v>
      </c>
      <c r="K38" s="94">
        <f>标准成本!D113</f>
        <v>0</v>
      </c>
      <c r="L38" s="94">
        <f>标准成本!D126</f>
        <v>0</v>
      </c>
      <c r="M38" s="94">
        <f>标准成本!D139</f>
        <v>0</v>
      </c>
      <c r="N38" s="98"/>
      <c r="O38" s="2"/>
      <c r="P38" s="2"/>
      <c r="Q38" s="2"/>
      <c r="R38" s="2"/>
      <c r="S38" s="2"/>
      <c r="T38" s="2"/>
      <c r="U38" s="2"/>
      <c r="V38" s="2"/>
      <c r="W38" s="2"/>
      <c r="X38" s="2"/>
      <c r="Y38" s="87" t="s">
        <v>107</v>
      </c>
      <c r="AO38" s="87" t="s">
        <v>65</v>
      </c>
      <c r="AP38" s="87" t="s">
        <v>107</v>
      </c>
    </row>
    <row r="39" spans="1:42">
      <c r="A39" s="87" t="s">
        <v>104</v>
      </c>
      <c r="B39" s="91" t="s">
        <v>109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Y39" s="91" t="s">
        <v>109</v>
      </c>
      <c r="AO39" s="87" t="s">
        <v>108</v>
      </c>
      <c r="AP39" s="91" t="s">
        <v>109</v>
      </c>
    </row>
    <row r="40" spans="1:42">
      <c r="A40" s="86">
        <v>1</v>
      </c>
      <c r="B40" s="87" t="s">
        <v>111</v>
      </c>
      <c r="C40" s="95">
        <f t="shared" ref="C40:M40" si="23">C34-C36-C37-C38</f>
        <v>360.77749999999986</v>
      </c>
      <c r="D40" s="95">
        <f t="shared" si="23"/>
        <v>0</v>
      </c>
      <c r="E40" s="95">
        <f t="shared" si="23"/>
        <v>0</v>
      </c>
      <c r="F40" s="95">
        <f t="shared" si="23"/>
        <v>0</v>
      </c>
      <c r="G40" s="95">
        <f t="shared" si="23"/>
        <v>0</v>
      </c>
      <c r="H40" s="95">
        <f t="shared" si="23"/>
        <v>0</v>
      </c>
      <c r="I40" s="95">
        <f t="shared" si="23"/>
        <v>0</v>
      </c>
      <c r="J40" s="95">
        <f t="shared" si="23"/>
        <v>0</v>
      </c>
      <c r="K40" s="95">
        <f t="shared" si="23"/>
        <v>0</v>
      </c>
      <c r="L40" s="95">
        <f t="shared" si="23"/>
        <v>0</v>
      </c>
      <c r="M40" s="95">
        <f t="shared" si="23"/>
        <v>0</v>
      </c>
      <c r="N40" s="95"/>
      <c r="Y40" s="87" t="s">
        <v>111</v>
      </c>
      <c r="AO40" s="87" t="s">
        <v>54</v>
      </c>
      <c r="AP40" s="87" t="s">
        <v>111</v>
      </c>
    </row>
    <row r="41" spans="1:42">
      <c r="A41" s="86">
        <v>2</v>
      </c>
      <c r="B41" s="87" t="s">
        <v>112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Y41" s="87" t="s">
        <v>112</v>
      </c>
      <c r="AO41" s="87" t="s">
        <v>56</v>
      </c>
      <c r="AP41" s="87" t="s">
        <v>112</v>
      </c>
    </row>
    <row r="42" spans="1:42">
      <c r="A42" s="87" t="s">
        <v>108</v>
      </c>
      <c r="B42" s="91" t="s">
        <v>114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Y42" s="91" t="s">
        <v>114</v>
      </c>
      <c r="AO42" s="87" t="s">
        <v>113</v>
      </c>
      <c r="AP42" s="91" t="s">
        <v>114</v>
      </c>
    </row>
    <row r="43" spans="1:42">
      <c r="A43" s="86">
        <v>1</v>
      </c>
      <c r="B43" s="96" t="s">
        <v>115</v>
      </c>
      <c r="C43" s="94">
        <f>标准成本!D5</f>
        <v>70.52</v>
      </c>
      <c r="D43" s="94">
        <f>标准成本!D17</f>
        <v>0</v>
      </c>
      <c r="E43" s="94">
        <f>标准成本!D30</f>
        <v>0</v>
      </c>
      <c r="F43" s="94">
        <f>标准成本!D43</f>
        <v>0</v>
      </c>
      <c r="G43" s="94">
        <f>标准成本!D56</f>
        <v>0</v>
      </c>
      <c r="H43" s="94">
        <f>标准成本!D69</f>
        <v>0</v>
      </c>
      <c r="I43" s="94">
        <f>标准成本!D82</f>
        <v>0</v>
      </c>
      <c r="J43" s="94">
        <f>标准成本!D95</f>
        <v>0</v>
      </c>
      <c r="K43" s="94">
        <f>标准成本!D108</f>
        <v>0</v>
      </c>
      <c r="L43" s="94">
        <f>标准成本!D121</f>
        <v>0</v>
      </c>
      <c r="M43" s="94">
        <f>标准成本!D134</f>
        <v>0</v>
      </c>
      <c r="N43" s="95"/>
      <c r="Y43" s="87" t="s">
        <v>115</v>
      </c>
      <c r="AO43" s="87" t="s">
        <v>54</v>
      </c>
      <c r="AP43" s="87" t="s">
        <v>115</v>
      </c>
    </row>
    <row r="44" spans="1:42">
      <c r="A44" s="86">
        <v>2</v>
      </c>
      <c r="B44" s="96" t="s">
        <v>116</v>
      </c>
      <c r="C44" s="94">
        <f>标准成本!D9</f>
        <v>12.040000000000001</v>
      </c>
      <c r="D44" s="94">
        <f>标准成本!D21</f>
        <v>0</v>
      </c>
      <c r="E44" s="94">
        <f>标准成本!D34</f>
        <v>0</v>
      </c>
      <c r="F44" s="94">
        <f>标准成本!D47</f>
        <v>0</v>
      </c>
      <c r="G44" s="94">
        <f>标准成本!D60</f>
        <v>0</v>
      </c>
      <c r="H44" s="94">
        <f>标准成本!D73</f>
        <v>0</v>
      </c>
      <c r="I44" s="94">
        <f>标准成本!D86</f>
        <v>0</v>
      </c>
      <c r="J44" s="94">
        <f>标准成本!D99</f>
        <v>0</v>
      </c>
      <c r="K44" s="94">
        <f>标准成本!D112</f>
        <v>0</v>
      </c>
      <c r="L44" s="94">
        <f>标准成本!D125</f>
        <v>0</v>
      </c>
      <c r="M44" s="94">
        <f>标准成本!D138</f>
        <v>0</v>
      </c>
      <c r="N44" s="95"/>
      <c r="Y44" s="87" t="s">
        <v>116</v>
      </c>
      <c r="AO44" s="87" t="s">
        <v>56</v>
      </c>
      <c r="AP44" s="87" t="s">
        <v>116</v>
      </c>
    </row>
    <row r="45" spans="1:42">
      <c r="A45" s="86">
        <v>3</v>
      </c>
      <c r="B45" s="96" t="s">
        <v>117</v>
      </c>
      <c r="C45" s="94">
        <f>标准成本!D8</f>
        <v>58.480000000000004</v>
      </c>
      <c r="D45" s="94">
        <f>标准成本!D20</f>
        <v>0</v>
      </c>
      <c r="E45" s="94">
        <f>标准成本!D33</f>
        <v>0</v>
      </c>
      <c r="F45" s="94">
        <f>标准成本!D46</f>
        <v>0</v>
      </c>
      <c r="G45" s="94">
        <f>标准成本!D59</f>
        <v>0</v>
      </c>
      <c r="H45" s="94">
        <f>标准成本!D72</f>
        <v>0</v>
      </c>
      <c r="I45" s="94">
        <f>标准成本!D85</f>
        <v>0</v>
      </c>
      <c r="J45" s="94">
        <f>标准成本!D98</f>
        <v>0</v>
      </c>
      <c r="K45" s="94">
        <f>标准成本!D111</f>
        <v>0</v>
      </c>
      <c r="L45" s="94">
        <f>标准成本!D124</f>
        <v>0</v>
      </c>
      <c r="M45" s="94">
        <f>标准成本!D137</f>
        <v>0</v>
      </c>
      <c r="N45" s="95"/>
      <c r="Y45" s="87" t="s">
        <v>117</v>
      </c>
      <c r="AO45" s="87" t="s">
        <v>101</v>
      </c>
      <c r="AP45" s="87" t="s">
        <v>117</v>
      </c>
    </row>
    <row r="46" spans="1:42" s="83" customFormat="1">
      <c r="A46" s="86">
        <v>4</v>
      </c>
      <c r="B46" s="96" t="s">
        <v>118</v>
      </c>
      <c r="C46" s="100">
        <f>C21/C6</f>
        <v>10.266666666666667</v>
      </c>
      <c r="D46" s="100" t="e">
        <f t="shared" ref="D46:M46" si="24">D21/D6</f>
        <v>#DIV/0!</v>
      </c>
      <c r="E46" s="100" t="e">
        <f t="shared" si="24"/>
        <v>#DIV/0!</v>
      </c>
      <c r="F46" s="100" t="e">
        <f t="shared" si="24"/>
        <v>#DIV/0!</v>
      </c>
      <c r="G46" s="100" t="e">
        <f t="shared" si="24"/>
        <v>#DIV/0!</v>
      </c>
      <c r="H46" s="100" t="e">
        <f t="shared" si="24"/>
        <v>#DIV/0!</v>
      </c>
      <c r="I46" s="100" t="e">
        <f t="shared" si="24"/>
        <v>#DIV/0!</v>
      </c>
      <c r="J46" s="100" t="e">
        <f t="shared" si="24"/>
        <v>#DIV/0!</v>
      </c>
      <c r="K46" s="100" t="e">
        <f t="shared" si="24"/>
        <v>#DIV/0!</v>
      </c>
      <c r="L46" s="100" t="e">
        <f t="shared" si="24"/>
        <v>#DIV/0!</v>
      </c>
      <c r="M46" s="100" t="e">
        <f t="shared" si="24"/>
        <v>#DIV/0!</v>
      </c>
      <c r="N46" s="100"/>
      <c r="Y46" s="96" t="s">
        <v>120</v>
      </c>
      <c r="AO46" s="96" t="s">
        <v>62</v>
      </c>
      <c r="AP46" s="96" t="s">
        <v>120</v>
      </c>
    </row>
    <row r="47" spans="1:42" s="83" customFormat="1">
      <c r="A47" s="86">
        <v>5</v>
      </c>
      <c r="B47" s="96" t="s">
        <v>120</v>
      </c>
      <c r="C47" s="100">
        <f>标准成本!D11</f>
        <v>51.6</v>
      </c>
      <c r="D47" s="100">
        <f>标准成本!D23</f>
        <v>0</v>
      </c>
      <c r="E47" s="100">
        <f>标准成本!D36</f>
        <v>0</v>
      </c>
      <c r="F47" s="100">
        <f>标准成本!D49</f>
        <v>0</v>
      </c>
      <c r="G47" s="100">
        <f>标准成本!D62</f>
        <v>0</v>
      </c>
      <c r="H47" s="100">
        <f>标准成本!D75</f>
        <v>0</v>
      </c>
      <c r="I47" s="100">
        <f>标准成本!D88</f>
        <v>0</v>
      </c>
      <c r="J47" s="100">
        <f>标准成本!D101</f>
        <v>0</v>
      </c>
      <c r="K47" s="100">
        <f>标准成本!D114</f>
        <v>0</v>
      </c>
      <c r="L47" s="100">
        <f>标准成本!D127</f>
        <v>0</v>
      </c>
      <c r="M47" s="100">
        <f>标准成本!D140</f>
        <v>0</v>
      </c>
      <c r="N47" s="100"/>
      <c r="Y47" s="96" t="s">
        <v>120</v>
      </c>
      <c r="AO47" s="96" t="s">
        <v>62</v>
      </c>
      <c r="AP47" s="96" t="s">
        <v>120</v>
      </c>
    </row>
    <row r="48" spans="1:42">
      <c r="A48" s="87" t="s">
        <v>113</v>
      </c>
      <c r="B48" s="91" t="s">
        <v>131</v>
      </c>
      <c r="C48" s="95">
        <f>C40-C43-C44-C45-C47-C46</f>
        <v>157.87083333333317</v>
      </c>
      <c r="D48" s="95" t="e">
        <f t="shared" ref="D48:M48" si="25">D40-D43-D44-D45-D47-D46</f>
        <v>#DIV/0!</v>
      </c>
      <c r="E48" s="95" t="e">
        <f t="shared" si="25"/>
        <v>#DIV/0!</v>
      </c>
      <c r="F48" s="95" t="e">
        <f t="shared" si="25"/>
        <v>#DIV/0!</v>
      </c>
      <c r="G48" s="95" t="e">
        <f t="shared" si="25"/>
        <v>#DIV/0!</v>
      </c>
      <c r="H48" s="95" t="e">
        <f t="shared" si="25"/>
        <v>#DIV/0!</v>
      </c>
      <c r="I48" s="95" t="e">
        <f t="shared" si="25"/>
        <v>#DIV/0!</v>
      </c>
      <c r="J48" s="95" t="e">
        <f t="shared" si="25"/>
        <v>#DIV/0!</v>
      </c>
      <c r="K48" s="95" t="e">
        <f t="shared" si="25"/>
        <v>#DIV/0!</v>
      </c>
      <c r="L48" s="95" t="e">
        <f t="shared" si="25"/>
        <v>#DIV/0!</v>
      </c>
      <c r="M48" s="95" t="e">
        <f t="shared" si="25"/>
        <v>#DIV/0!</v>
      </c>
      <c r="N48" s="95"/>
      <c r="Y48" s="91" t="s">
        <v>131</v>
      </c>
      <c r="AO48" s="87" t="s">
        <v>130</v>
      </c>
      <c r="AP48" s="91" t="s">
        <v>131</v>
      </c>
    </row>
    <row r="51" spans="2:19"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</row>
    <row r="54" spans="2:19">
      <c r="B54" s="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2"/>
      <c r="P54" s="2"/>
      <c r="Q54" s="2"/>
      <c r="R54" s="2"/>
      <c r="S54" s="2"/>
    </row>
    <row r="55" spans="2:19">
      <c r="B55" s="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2"/>
      <c r="P55" s="2"/>
      <c r="Q55" s="2"/>
      <c r="R55" s="2"/>
      <c r="S55" s="2"/>
    </row>
    <row r="56" spans="2:19">
      <c r="B56" s="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2"/>
      <c r="P56" s="2"/>
      <c r="Q56" s="2"/>
      <c r="R56" s="2"/>
      <c r="S56" s="2"/>
    </row>
    <row r="57" spans="2:19">
      <c r="B57" s="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2"/>
      <c r="P57" s="2"/>
      <c r="Q57" s="2"/>
      <c r="R57" s="2"/>
      <c r="S57" s="2"/>
    </row>
    <row r="58" spans="2:19">
      <c r="B58" s="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2"/>
      <c r="P58" s="2"/>
      <c r="Q58" s="2"/>
      <c r="R58" s="2"/>
      <c r="S58" s="2"/>
    </row>
    <row r="59" spans="2:19">
      <c r="B59" s="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2"/>
      <c r="P59" s="2"/>
      <c r="Q59" s="2"/>
      <c r="R59" s="2"/>
      <c r="S59" s="2"/>
    </row>
    <row r="60" spans="2:19">
      <c r="B60" s="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2"/>
      <c r="P60" s="2"/>
      <c r="Q60" s="2"/>
      <c r="R60" s="2"/>
      <c r="S60" s="2"/>
    </row>
    <row r="61" spans="2:19">
      <c r="B61" s="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2"/>
      <c r="P61" s="2"/>
      <c r="Q61" s="2"/>
      <c r="R61" s="2"/>
      <c r="S61" s="2"/>
    </row>
    <row r="62" spans="2:19">
      <c r="B62" s="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2"/>
      <c r="P62" s="2"/>
      <c r="Q62" s="2"/>
      <c r="R62" s="2"/>
      <c r="S62" s="2"/>
    </row>
    <row r="63" spans="2:19">
      <c r="B63" s="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2"/>
      <c r="P63" s="2"/>
      <c r="Q63" s="2"/>
      <c r="R63" s="2"/>
      <c r="S63" s="2"/>
    </row>
    <row r="64" spans="2:19">
      <c r="B64" s="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2"/>
      <c r="P64" s="2"/>
      <c r="Q64" s="2"/>
      <c r="R64" s="2"/>
      <c r="S64" s="2"/>
    </row>
    <row r="65" spans="2:19">
      <c r="B65" s="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2"/>
      <c r="P65" s="2"/>
      <c r="Q65" s="2"/>
      <c r="R65" s="2"/>
      <c r="S65" s="2"/>
    </row>
    <row r="66" spans="2:19">
      <c r="B66" s="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2"/>
      <c r="P66" s="2"/>
      <c r="Q66" s="2"/>
      <c r="R66" s="2"/>
      <c r="S66" s="2"/>
    </row>
    <row r="67" spans="2:19">
      <c r="B67" s="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2"/>
    </row>
    <row r="68" spans="2:19">
      <c r="B68" s="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2"/>
    </row>
    <row r="69" spans="2:19">
      <c r="B69" s="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2"/>
    </row>
    <row r="70" spans="2:19">
      <c r="B70" s="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2"/>
    </row>
    <row r="71" spans="2:19">
      <c r="B71" s="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2"/>
    </row>
    <row r="72" spans="2:19">
      <c r="B72" s="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2"/>
    </row>
    <row r="73" spans="2:19">
      <c r="B73" s="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2"/>
    </row>
    <row r="74" spans="2:19">
      <c r="B74" s="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2"/>
    </row>
  </sheetData>
  <mergeCells count="8">
    <mergeCell ref="A4:B4"/>
    <mergeCell ref="A5:B5"/>
    <mergeCell ref="N3:N5"/>
    <mergeCell ref="A1:B1"/>
    <mergeCell ref="C1:N1"/>
    <mergeCell ref="A2:B2"/>
    <mergeCell ref="C2:N2"/>
    <mergeCell ref="A3:B3"/>
  </mergeCells>
  <phoneticPr fontId="40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4"/>
  <sheetViews>
    <sheetView zoomScale="85" zoomScaleNormal="85" workbookViewId="0">
      <pane xSplit="2" ySplit="7" topLeftCell="C15" activePane="bottomRight" state="frozen"/>
      <selection pane="topRight"/>
      <selection pane="bottomLeft"/>
      <selection pane="bottomRight" activeCell="A25" sqref="A25:XFD25"/>
    </sheetView>
  </sheetViews>
  <sheetFormatPr defaultColWidth="9" defaultRowHeight="16.5"/>
  <cols>
    <col min="1" max="1" width="5.125" style="84" customWidth="1"/>
    <col min="2" max="2" width="17.5" style="84" customWidth="1"/>
    <col min="3" max="13" width="11.75" style="85" customWidth="1"/>
    <col min="14" max="14" width="18.75" style="85" customWidth="1"/>
    <col min="15" max="15" width="12.375" style="84" customWidth="1"/>
    <col min="16" max="16" width="10.125" style="84" customWidth="1"/>
    <col min="17" max="23" width="9" style="84" customWidth="1"/>
    <col min="24" max="40" width="9" style="84"/>
    <col min="41" max="41" width="4.375" style="84" customWidth="1"/>
    <col min="42" max="42" width="13.875" style="84" customWidth="1"/>
    <col min="43" max="16384" width="9" style="84"/>
  </cols>
  <sheetData>
    <row r="1" spans="1:43">
      <c r="A1" s="197" t="s">
        <v>141</v>
      </c>
      <c r="B1" s="197"/>
      <c r="C1" s="201" t="s">
        <v>252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3"/>
    </row>
    <row r="2" spans="1:43">
      <c r="A2" s="197" t="s">
        <v>142</v>
      </c>
      <c r="B2" s="197"/>
      <c r="C2" s="204" t="str">
        <f>'2023年'!$C$2</f>
        <v>一汽解放青岛汽车有限公司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1:43" ht="33">
      <c r="A3" s="197" t="s">
        <v>143</v>
      </c>
      <c r="B3" s="197"/>
      <c r="C3" s="12" t="str">
        <f>'2023年'!C3</f>
        <v>驾驶员座总成</v>
      </c>
      <c r="D3" s="12">
        <f>'2023年'!D3</f>
        <v>0</v>
      </c>
      <c r="E3" s="12">
        <f>'2023年'!E3</f>
        <v>0</v>
      </c>
      <c r="F3" s="12">
        <f>'2023年'!F3</f>
        <v>0</v>
      </c>
      <c r="G3" s="12">
        <f>'2023年'!G3</f>
        <v>0</v>
      </c>
      <c r="H3" s="12">
        <f>'2023年'!H3</f>
        <v>0</v>
      </c>
      <c r="I3" s="12">
        <f>'2023年'!I3</f>
        <v>0</v>
      </c>
      <c r="J3" s="12">
        <f>'2023年'!J3</f>
        <v>0</v>
      </c>
      <c r="K3" s="12">
        <f>'2023年'!K3</f>
        <v>0</v>
      </c>
      <c r="L3" s="12">
        <f>'2023年'!L3</f>
        <v>0</v>
      </c>
      <c r="M3" s="12">
        <f>'2023年'!M3</f>
        <v>0</v>
      </c>
      <c r="N3" s="198" t="s">
        <v>50</v>
      </c>
    </row>
    <row r="4" spans="1:43" ht="33">
      <c r="A4" s="197" t="s">
        <v>144</v>
      </c>
      <c r="B4" s="197"/>
      <c r="C4" s="12" t="str">
        <f>'2023年'!C4</f>
        <v>6800010GE404</v>
      </c>
      <c r="D4" s="14">
        <f>'2023年'!D4</f>
        <v>0</v>
      </c>
      <c r="E4" s="14">
        <f>'2023年'!E4</f>
        <v>0</v>
      </c>
      <c r="F4" s="14">
        <f>'2023年'!F4</f>
        <v>0</v>
      </c>
      <c r="G4" s="14">
        <f>'2023年'!G4</f>
        <v>0</v>
      </c>
      <c r="H4" s="14">
        <f>'2023年'!H4</f>
        <v>0</v>
      </c>
      <c r="I4" s="14">
        <f>'2023年'!I4</f>
        <v>0</v>
      </c>
      <c r="J4" s="14">
        <f>'2023年'!J4</f>
        <v>0</v>
      </c>
      <c r="K4" s="14">
        <f>'2023年'!K4</f>
        <v>0</v>
      </c>
      <c r="L4" s="14">
        <f>'2023年'!L4</f>
        <v>0</v>
      </c>
      <c r="M4" s="14">
        <f>'2023年'!M4</f>
        <v>0</v>
      </c>
      <c r="N4" s="199"/>
    </row>
    <row r="5" spans="1:43">
      <c r="A5" s="197" t="s">
        <v>145</v>
      </c>
      <c r="B5" s="197"/>
      <c r="C5" s="46">
        <f>'2023年'!C5</f>
        <v>0</v>
      </c>
      <c r="D5" s="46">
        <f>'2023年'!D5</f>
        <v>0</v>
      </c>
      <c r="E5" s="14">
        <f>'2023年'!E5</f>
        <v>0</v>
      </c>
      <c r="F5" s="14">
        <f>'2023年'!F5</f>
        <v>0</v>
      </c>
      <c r="G5" s="46">
        <f>'2023年'!G5</f>
        <v>0</v>
      </c>
      <c r="H5" s="46">
        <f>'2023年'!H5</f>
        <v>0</v>
      </c>
      <c r="I5" s="14">
        <f>'2023年'!I5</f>
        <v>0</v>
      </c>
      <c r="J5" s="14">
        <f>'2023年'!J5</f>
        <v>0</v>
      </c>
      <c r="K5" s="14">
        <f>'2023年'!K5</f>
        <v>0</v>
      </c>
      <c r="L5" s="14">
        <f>'2023年'!L5</f>
        <v>0</v>
      </c>
      <c r="M5" s="14">
        <f>'2023年'!M5</f>
        <v>0</v>
      </c>
      <c r="N5" s="200"/>
      <c r="AQ5" s="84" t="s">
        <v>51</v>
      </c>
    </row>
    <row r="6" spans="1:43" ht="17.25">
      <c r="A6" s="87" t="s">
        <v>17</v>
      </c>
      <c r="B6" s="88" t="s">
        <v>146</v>
      </c>
      <c r="C6" s="89">
        <f>销量!C11</f>
        <v>3000</v>
      </c>
      <c r="D6" s="89">
        <f>销量!D11</f>
        <v>0</v>
      </c>
      <c r="E6" s="89">
        <f>销量!E11</f>
        <v>0</v>
      </c>
      <c r="F6" s="89">
        <f>销量!F11</f>
        <v>0</v>
      </c>
      <c r="G6" s="89">
        <f>销量!G11</f>
        <v>0</v>
      </c>
      <c r="H6" s="89">
        <f>销量!H11</f>
        <v>0</v>
      </c>
      <c r="I6" s="89">
        <f>销量!I11</f>
        <v>0</v>
      </c>
      <c r="J6" s="89">
        <f>销量!J11</f>
        <v>0</v>
      </c>
      <c r="K6" s="89">
        <f>销量!K11</f>
        <v>0</v>
      </c>
      <c r="L6" s="89">
        <f>销量!L11</f>
        <v>0</v>
      </c>
      <c r="M6" s="89">
        <f>销量!M11</f>
        <v>0</v>
      </c>
      <c r="N6" s="90">
        <f t="shared" ref="N6:N15" si="0">+SUM(C6:M6)</f>
        <v>3000</v>
      </c>
      <c r="Y6" s="88" t="s">
        <v>3</v>
      </c>
      <c r="AO6" s="87" t="s">
        <v>17</v>
      </c>
      <c r="AP6" s="88" t="s">
        <v>3</v>
      </c>
      <c r="AQ6" s="84" t="s">
        <v>52</v>
      </c>
    </row>
    <row r="7" spans="1:43">
      <c r="A7" s="86">
        <v>1</v>
      </c>
      <c r="B7" s="88" t="s">
        <v>53</v>
      </c>
      <c r="C7" s="90">
        <f>C6*销量!C8</f>
        <v>5160000</v>
      </c>
      <c r="D7" s="90">
        <f>D6*销量!D8</f>
        <v>0</v>
      </c>
      <c r="E7" s="90">
        <f>E6*销量!E8</f>
        <v>0</v>
      </c>
      <c r="F7" s="90">
        <f>F6*销量!F8</f>
        <v>0</v>
      </c>
      <c r="G7" s="90">
        <f>G6*销量!G8</f>
        <v>0</v>
      </c>
      <c r="H7" s="90">
        <f>H6*销量!H8</f>
        <v>0</v>
      </c>
      <c r="I7" s="90">
        <f>I6*销量!I8</f>
        <v>0</v>
      </c>
      <c r="J7" s="90">
        <f>J6*销量!J8</f>
        <v>0</v>
      </c>
      <c r="K7" s="90">
        <f>K6*销量!K8</f>
        <v>0</v>
      </c>
      <c r="L7" s="90">
        <f>L6*销量!L8</f>
        <v>0</v>
      </c>
      <c r="M7" s="90">
        <f>M6*销量!M8</f>
        <v>0</v>
      </c>
      <c r="N7" s="90">
        <f t="shared" si="0"/>
        <v>5160000</v>
      </c>
      <c r="O7" s="85"/>
      <c r="Y7" s="88" t="s">
        <v>53</v>
      </c>
      <c r="AO7" s="87" t="s">
        <v>54</v>
      </c>
      <c r="AP7" s="88" t="s">
        <v>53</v>
      </c>
      <c r="AQ7" s="84" t="s">
        <v>52</v>
      </c>
    </row>
    <row r="8" spans="1:43">
      <c r="A8" s="86">
        <v>2</v>
      </c>
      <c r="B8" s="86" t="s">
        <v>55</v>
      </c>
      <c r="C8" s="90">
        <f>C7*(1-销量!$Q$8)</f>
        <v>254774.99999999974</v>
      </c>
      <c r="D8" s="90">
        <f>D7*(1-销量!$Q$8)</f>
        <v>0</v>
      </c>
      <c r="E8" s="90">
        <f>E7*(1-销量!$Q$8)</f>
        <v>0</v>
      </c>
      <c r="F8" s="90">
        <f>F7*(1-销量!$Q$8)</f>
        <v>0</v>
      </c>
      <c r="G8" s="90">
        <f>G7*(1-销量!$Q$8)</f>
        <v>0</v>
      </c>
      <c r="H8" s="90">
        <f>H7*(1-销量!$Q$8)</f>
        <v>0</v>
      </c>
      <c r="I8" s="90">
        <f>I7*(1-销量!$Q$8)</f>
        <v>0</v>
      </c>
      <c r="J8" s="90">
        <f>J7*(1-销量!$Q$8)</f>
        <v>0</v>
      </c>
      <c r="K8" s="90">
        <f>K7*(1-销量!$Q$8)</f>
        <v>0</v>
      </c>
      <c r="L8" s="90">
        <f>L7*(1-销量!$Q$8)</f>
        <v>0</v>
      </c>
      <c r="M8" s="90">
        <f>M7*(1-销量!$Q$8)</f>
        <v>0</v>
      </c>
      <c r="N8" s="90">
        <f t="shared" si="0"/>
        <v>254774.99999999974</v>
      </c>
      <c r="O8" s="103"/>
      <c r="Y8" s="86" t="s">
        <v>57</v>
      </c>
      <c r="AO8" s="87" t="s">
        <v>56</v>
      </c>
      <c r="AP8" s="86" t="s">
        <v>57</v>
      </c>
      <c r="AQ8" s="84" t="s">
        <v>52</v>
      </c>
    </row>
    <row r="9" spans="1:43">
      <c r="A9" s="86">
        <v>3</v>
      </c>
      <c r="B9" s="88" t="s">
        <v>58</v>
      </c>
      <c r="C9" s="90">
        <f t="shared" ref="C9:M9" si="1">+C7-C8</f>
        <v>4905225</v>
      </c>
      <c r="D9" s="90">
        <f t="shared" si="1"/>
        <v>0</v>
      </c>
      <c r="E9" s="90">
        <f t="shared" si="1"/>
        <v>0</v>
      </c>
      <c r="F9" s="90">
        <f t="shared" si="1"/>
        <v>0</v>
      </c>
      <c r="G9" s="90">
        <f t="shared" si="1"/>
        <v>0</v>
      </c>
      <c r="H9" s="90">
        <f t="shared" si="1"/>
        <v>0</v>
      </c>
      <c r="I9" s="90">
        <f t="shared" si="1"/>
        <v>0</v>
      </c>
      <c r="J9" s="90">
        <f t="shared" si="1"/>
        <v>0</v>
      </c>
      <c r="K9" s="90">
        <f t="shared" si="1"/>
        <v>0</v>
      </c>
      <c r="L9" s="90">
        <f t="shared" si="1"/>
        <v>0</v>
      </c>
      <c r="M9" s="90">
        <f t="shared" si="1"/>
        <v>0</v>
      </c>
      <c r="N9" s="90">
        <f t="shared" si="0"/>
        <v>4905225</v>
      </c>
      <c r="Y9" s="88" t="s">
        <v>58</v>
      </c>
      <c r="AO9" s="87" t="s">
        <v>59</v>
      </c>
      <c r="AP9" s="88" t="s">
        <v>58</v>
      </c>
      <c r="AQ9" s="84" t="s">
        <v>60</v>
      </c>
    </row>
    <row r="10" spans="1:43">
      <c r="A10" s="86">
        <v>4</v>
      </c>
      <c r="B10" s="87" t="s">
        <v>61</v>
      </c>
      <c r="C10" s="90">
        <f t="shared" ref="C10:M10" si="2">C6*C33</f>
        <v>3428353.0125000002</v>
      </c>
      <c r="D10" s="90">
        <f t="shared" si="2"/>
        <v>0</v>
      </c>
      <c r="E10" s="90">
        <f t="shared" si="2"/>
        <v>0</v>
      </c>
      <c r="F10" s="90">
        <f t="shared" si="2"/>
        <v>0</v>
      </c>
      <c r="G10" s="90">
        <f t="shared" si="2"/>
        <v>0</v>
      </c>
      <c r="H10" s="90">
        <f t="shared" si="2"/>
        <v>0</v>
      </c>
      <c r="I10" s="90">
        <f t="shared" si="2"/>
        <v>0</v>
      </c>
      <c r="J10" s="90">
        <f t="shared" si="2"/>
        <v>0</v>
      </c>
      <c r="K10" s="90">
        <f t="shared" si="2"/>
        <v>0</v>
      </c>
      <c r="L10" s="90">
        <f t="shared" si="2"/>
        <v>0</v>
      </c>
      <c r="M10" s="90">
        <f t="shared" si="2"/>
        <v>0</v>
      </c>
      <c r="N10" s="90">
        <f t="shared" si="0"/>
        <v>3428353.0125000002</v>
      </c>
      <c r="Y10" s="87" t="s">
        <v>61</v>
      </c>
      <c r="AO10" s="87" t="s">
        <v>62</v>
      </c>
      <c r="AP10" s="87" t="s">
        <v>61</v>
      </c>
      <c r="AQ10" s="84" t="s">
        <v>63</v>
      </c>
    </row>
    <row r="11" spans="1:43">
      <c r="A11" s="86">
        <v>5</v>
      </c>
      <c r="B11" s="87" t="s">
        <v>64</v>
      </c>
      <c r="C11" s="90">
        <f t="shared" ref="C11:M11" si="3">+C6*C36</f>
        <v>222396.00000000003</v>
      </c>
      <c r="D11" s="90">
        <f t="shared" si="3"/>
        <v>0</v>
      </c>
      <c r="E11" s="90">
        <f t="shared" si="3"/>
        <v>0</v>
      </c>
      <c r="F11" s="90">
        <f t="shared" si="3"/>
        <v>0</v>
      </c>
      <c r="G11" s="90">
        <f t="shared" si="3"/>
        <v>0</v>
      </c>
      <c r="H11" s="90">
        <f t="shared" si="3"/>
        <v>0</v>
      </c>
      <c r="I11" s="90">
        <f t="shared" si="3"/>
        <v>0</v>
      </c>
      <c r="J11" s="90">
        <f t="shared" si="3"/>
        <v>0</v>
      </c>
      <c r="K11" s="90">
        <f t="shared" si="3"/>
        <v>0</v>
      </c>
      <c r="L11" s="90">
        <f t="shared" si="3"/>
        <v>0</v>
      </c>
      <c r="M11" s="90">
        <f t="shared" si="3"/>
        <v>0</v>
      </c>
      <c r="N11" s="90">
        <f t="shared" si="0"/>
        <v>222396.00000000003</v>
      </c>
      <c r="Y11" s="87" t="s">
        <v>64</v>
      </c>
      <c r="AO11" s="87" t="s">
        <v>65</v>
      </c>
      <c r="AP11" s="87" t="s">
        <v>64</v>
      </c>
    </row>
    <row r="12" spans="1:43">
      <c r="A12" s="86">
        <v>6</v>
      </c>
      <c r="B12" s="87" t="s">
        <v>66</v>
      </c>
      <c r="C12" s="90">
        <f t="shared" ref="C12:M12" si="4">+C6*C37</f>
        <v>111972</v>
      </c>
      <c r="D12" s="90">
        <f t="shared" si="4"/>
        <v>0</v>
      </c>
      <c r="E12" s="90">
        <f t="shared" si="4"/>
        <v>0</v>
      </c>
      <c r="F12" s="90">
        <f t="shared" si="4"/>
        <v>0</v>
      </c>
      <c r="G12" s="90">
        <f t="shared" si="4"/>
        <v>0</v>
      </c>
      <c r="H12" s="90">
        <f t="shared" si="4"/>
        <v>0</v>
      </c>
      <c r="I12" s="90">
        <f t="shared" si="4"/>
        <v>0</v>
      </c>
      <c r="J12" s="90">
        <f t="shared" si="4"/>
        <v>0</v>
      </c>
      <c r="K12" s="90">
        <f t="shared" si="4"/>
        <v>0</v>
      </c>
      <c r="L12" s="90">
        <f t="shared" si="4"/>
        <v>0</v>
      </c>
      <c r="M12" s="90">
        <f t="shared" si="4"/>
        <v>0</v>
      </c>
      <c r="N12" s="90">
        <f t="shared" si="0"/>
        <v>111972</v>
      </c>
      <c r="Y12" s="87" t="s">
        <v>66</v>
      </c>
      <c r="AO12" s="87" t="s">
        <v>67</v>
      </c>
      <c r="AP12" s="87" t="s">
        <v>66</v>
      </c>
    </row>
    <row r="13" spans="1:43">
      <c r="A13" s="86">
        <v>7</v>
      </c>
      <c r="B13" s="87" t="s">
        <v>68</v>
      </c>
      <c r="C13" s="90">
        <f t="shared" ref="C13:M13" si="5">+C6*C38</f>
        <v>227039.99999999997</v>
      </c>
      <c r="D13" s="90">
        <f t="shared" si="5"/>
        <v>0</v>
      </c>
      <c r="E13" s="90">
        <f t="shared" si="5"/>
        <v>0</v>
      </c>
      <c r="F13" s="90">
        <f t="shared" si="5"/>
        <v>0</v>
      </c>
      <c r="G13" s="90">
        <f t="shared" si="5"/>
        <v>0</v>
      </c>
      <c r="H13" s="90">
        <f t="shared" si="5"/>
        <v>0</v>
      </c>
      <c r="I13" s="90">
        <f t="shared" si="5"/>
        <v>0</v>
      </c>
      <c r="J13" s="90">
        <f t="shared" si="5"/>
        <v>0</v>
      </c>
      <c r="K13" s="90">
        <f t="shared" si="5"/>
        <v>0</v>
      </c>
      <c r="L13" s="90">
        <f t="shared" si="5"/>
        <v>0</v>
      </c>
      <c r="M13" s="90">
        <f t="shared" si="5"/>
        <v>0</v>
      </c>
      <c r="N13" s="90">
        <f t="shared" si="0"/>
        <v>227039.99999999997</v>
      </c>
      <c r="Y13" s="87" t="s">
        <v>68</v>
      </c>
      <c r="AO13" s="87" t="s">
        <v>69</v>
      </c>
      <c r="AP13" s="87" t="s">
        <v>68</v>
      </c>
      <c r="AQ13" s="84" t="s">
        <v>52</v>
      </c>
    </row>
    <row r="14" spans="1:43">
      <c r="A14" s="86">
        <v>8</v>
      </c>
      <c r="B14" s="91" t="s">
        <v>70</v>
      </c>
      <c r="C14" s="90">
        <f t="shared" ref="C14:M14" si="6">SUM(C11:C13)</f>
        <v>561408</v>
      </c>
      <c r="D14" s="90">
        <f t="shared" si="6"/>
        <v>0</v>
      </c>
      <c r="E14" s="90">
        <f t="shared" si="6"/>
        <v>0</v>
      </c>
      <c r="F14" s="90">
        <f t="shared" si="6"/>
        <v>0</v>
      </c>
      <c r="G14" s="90">
        <f t="shared" si="6"/>
        <v>0</v>
      </c>
      <c r="H14" s="90">
        <f t="shared" si="6"/>
        <v>0</v>
      </c>
      <c r="I14" s="90">
        <f t="shared" si="6"/>
        <v>0</v>
      </c>
      <c r="J14" s="90">
        <f t="shared" si="6"/>
        <v>0</v>
      </c>
      <c r="K14" s="90">
        <f t="shared" si="6"/>
        <v>0</v>
      </c>
      <c r="L14" s="90">
        <f t="shared" si="6"/>
        <v>0</v>
      </c>
      <c r="M14" s="90">
        <f t="shared" si="6"/>
        <v>0</v>
      </c>
      <c r="N14" s="90">
        <f t="shared" si="0"/>
        <v>561408</v>
      </c>
      <c r="Y14" s="91" t="s">
        <v>70</v>
      </c>
      <c r="AO14" s="87" t="s">
        <v>71</v>
      </c>
      <c r="AP14" s="91" t="s">
        <v>70</v>
      </c>
    </row>
    <row r="15" spans="1:43">
      <c r="A15" s="86">
        <v>9</v>
      </c>
      <c r="B15" s="91" t="s">
        <v>72</v>
      </c>
      <c r="C15" s="90">
        <f t="shared" ref="C15:M15" si="7">+C9-C10-C14</f>
        <v>915463.98749999981</v>
      </c>
      <c r="D15" s="90">
        <f t="shared" si="7"/>
        <v>0</v>
      </c>
      <c r="E15" s="90">
        <f t="shared" si="7"/>
        <v>0</v>
      </c>
      <c r="F15" s="90">
        <f t="shared" si="7"/>
        <v>0</v>
      </c>
      <c r="G15" s="90">
        <f t="shared" si="7"/>
        <v>0</v>
      </c>
      <c r="H15" s="90">
        <f t="shared" si="7"/>
        <v>0</v>
      </c>
      <c r="I15" s="90">
        <f t="shared" si="7"/>
        <v>0</v>
      </c>
      <c r="J15" s="90">
        <f t="shared" si="7"/>
        <v>0</v>
      </c>
      <c r="K15" s="90">
        <f t="shared" si="7"/>
        <v>0</v>
      </c>
      <c r="L15" s="90">
        <f t="shared" si="7"/>
        <v>0</v>
      </c>
      <c r="M15" s="90">
        <f t="shared" si="7"/>
        <v>0</v>
      </c>
      <c r="N15" s="90">
        <f t="shared" si="0"/>
        <v>915463.98749999981</v>
      </c>
      <c r="Y15" s="91" t="s">
        <v>72</v>
      </c>
      <c r="AO15" s="87" t="s">
        <v>73</v>
      </c>
      <c r="AP15" s="91" t="s">
        <v>72</v>
      </c>
    </row>
    <row r="16" spans="1:43">
      <c r="A16" s="86">
        <v>10</v>
      </c>
      <c r="B16" s="87" t="s">
        <v>74</v>
      </c>
      <c r="C16" s="92">
        <f t="shared" ref="C16:N16" si="8">+C15/C9</f>
        <v>0.18663037628243348</v>
      </c>
      <c r="D16" s="92" t="e">
        <f t="shared" si="8"/>
        <v>#DIV/0!</v>
      </c>
      <c r="E16" s="92" t="e">
        <f t="shared" si="8"/>
        <v>#DIV/0!</v>
      </c>
      <c r="F16" s="92" t="e">
        <f t="shared" si="8"/>
        <v>#DIV/0!</v>
      </c>
      <c r="G16" s="92" t="e">
        <f t="shared" si="8"/>
        <v>#DIV/0!</v>
      </c>
      <c r="H16" s="92" t="e">
        <f t="shared" si="8"/>
        <v>#DIV/0!</v>
      </c>
      <c r="I16" s="92" t="e">
        <f t="shared" si="8"/>
        <v>#DIV/0!</v>
      </c>
      <c r="J16" s="92" t="e">
        <f t="shared" si="8"/>
        <v>#DIV/0!</v>
      </c>
      <c r="K16" s="92" t="e">
        <f t="shared" si="8"/>
        <v>#DIV/0!</v>
      </c>
      <c r="L16" s="92" t="e">
        <f t="shared" si="8"/>
        <v>#DIV/0!</v>
      </c>
      <c r="M16" s="92" t="e">
        <f t="shared" si="8"/>
        <v>#DIV/0!</v>
      </c>
      <c r="N16" s="92">
        <f t="shared" si="8"/>
        <v>0.18663037628243348</v>
      </c>
      <c r="O16" s="104"/>
      <c r="P16" s="104"/>
      <c r="Q16" s="104"/>
      <c r="Y16" s="87" t="s">
        <v>74</v>
      </c>
      <c r="AO16" s="87" t="s">
        <v>75</v>
      </c>
      <c r="AP16" s="87" t="s">
        <v>74</v>
      </c>
    </row>
    <row r="17" spans="1:43">
      <c r="A17" s="86">
        <v>11</v>
      </c>
      <c r="B17" s="87" t="s">
        <v>76</v>
      </c>
      <c r="C17" s="90">
        <f t="shared" ref="C17:M17" si="9">C6*C43+C18</f>
        <v>324420</v>
      </c>
      <c r="D17" s="90">
        <f t="shared" si="9"/>
        <v>0</v>
      </c>
      <c r="E17" s="90">
        <f t="shared" si="9"/>
        <v>0</v>
      </c>
      <c r="F17" s="90">
        <f t="shared" si="9"/>
        <v>0</v>
      </c>
      <c r="G17" s="90">
        <f t="shared" si="9"/>
        <v>0</v>
      </c>
      <c r="H17" s="90">
        <f t="shared" si="9"/>
        <v>0</v>
      </c>
      <c r="I17" s="90">
        <f t="shared" si="9"/>
        <v>0</v>
      </c>
      <c r="J17" s="90">
        <f t="shared" si="9"/>
        <v>0</v>
      </c>
      <c r="K17" s="90">
        <f t="shared" si="9"/>
        <v>0</v>
      </c>
      <c r="L17" s="90">
        <f t="shared" si="9"/>
        <v>0</v>
      </c>
      <c r="M17" s="90">
        <f t="shared" si="9"/>
        <v>0</v>
      </c>
      <c r="N17" s="90">
        <f t="shared" ref="N17:N20" si="10">+SUM(C17:M17)</f>
        <v>324420</v>
      </c>
      <c r="O17" s="103"/>
      <c r="Y17" s="87" t="s">
        <v>76</v>
      </c>
      <c r="AO17" s="87" t="s">
        <v>77</v>
      </c>
      <c r="AP17" s="87" t="s">
        <v>76</v>
      </c>
    </row>
    <row r="18" spans="1:43" s="82" customFormat="1">
      <c r="A18" s="86">
        <v>12</v>
      </c>
      <c r="B18" s="93" t="s">
        <v>147</v>
      </c>
      <c r="C18" s="94">
        <f t="shared" ref="C18:M18" si="11">$N$18/$N$6*C6</f>
        <v>112859.99999999999</v>
      </c>
      <c r="D18" s="94">
        <f t="shared" si="11"/>
        <v>0</v>
      </c>
      <c r="E18" s="94">
        <f t="shared" si="11"/>
        <v>0</v>
      </c>
      <c r="F18" s="94">
        <f t="shared" si="11"/>
        <v>0</v>
      </c>
      <c r="G18" s="94">
        <f t="shared" si="11"/>
        <v>0</v>
      </c>
      <c r="H18" s="94">
        <f t="shared" si="11"/>
        <v>0</v>
      </c>
      <c r="I18" s="94">
        <f t="shared" si="11"/>
        <v>0</v>
      </c>
      <c r="J18" s="94">
        <f t="shared" si="11"/>
        <v>0</v>
      </c>
      <c r="K18" s="94">
        <f t="shared" si="11"/>
        <v>0</v>
      </c>
      <c r="L18" s="94">
        <f t="shared" si="11"/>
        <v>0</v>
      </c>
      <c r="M18" s="94">
        <f t="shared" si="11"/>
        <v>0</v>
      </c>
      <c r="N18" s="90">
        <f>项目投资!F26</f>
        <v>112860</v>
      </c>
      <c r="O18" s="105" t="s">
        <v>148</v>
      </c>
      <c r="P18" s="105"/>
      <c r="Q18" s="105"/>
    </row>
    <row r="19" spans="1:43">
      <c r="A19" s="86">
        <v>13</v>
      </c>
      <c r="B19" s="87" t="s">
        <v>78</v>
      </c>
      <c r="C19" s="90">
        <f t="shared" ref="C19:M19" si="12">C6*C44</f>
        <v>36120</v>
      </c>
      <c r="D19" s="90">
        <f t="shared" si="12"/>
        <v>0</v>
      </c>
      <c r="E19" s="90">
        <f t="shared" si="12"/>
        <v>0</v>
      </c>
      <c r="F19" s="90">
        <f t="shared" si="12"/>
        <v>0</v>
      </c>
      <c r="G19" s="90">
        <f t="shared" si="12"/>
        <v>0</v>
      </c>
      <c r="H19" s="90">
        <f t="shared" si="12"/>
        <v>0</v>
      </c>
      <c r="I19" s="90">
        <f t="shared" si="12"/>
        <v>0</v>
      </c>
      <c r="J19" s="90">
        <f t="shared" si="12"/>
        <v>0</v>
      </c>
      <c r="K19" s="90">
        <f t="shared" si="12"/>
        <v>0</v>
      </c>
      <c r="L19" s="90">
        <f t="shared" si="12"/>
        <v>0</v>
      </c>
      <c r="M19" s="90">
        <f t="shared" si="12"/>
        <v>0</v>
      </c>
      <c r="N19" s="90">
        <f t="shared" si="10"/>
        <v>36120</v>
      </c>
      <c r="O19" s="82"/>
      <c r="Y19" s="87" t="s">
        <v>78</v>
      </c>
      <c r="AO19" s="87" t="s">
        <v>79</v>
      </c>
      <c r="AP19" s="87" t="s">
        <v>78</v>
      </c>
      <c r="AQ19" s="84" t="s">
        <v>52</v>
      </c>
    </row>
    <row r="20" spans="1:43">
      <c r="A20" s="86">
        <v>14</v>
      </c>
      <c r="B20" s="87" t="s">
        <v>80</v>
      </c>
      <c r="C20" s="90">
        <f t="shared" ref="C20:M20" si="13">C6*C45</f>
        <v>175440</v>
      </c>
      <c r="D20" s="90">
        <f t="shared" si="13"/>
        <v>0</v>
      </c>
      <c r="E20" s="90">
        <f t="shared" si="13"/>
        <v>0</v>
      </c>
      <c r="F20" s="90">
        <f t="shared" si="13"/>
        <v>0</v>
      </c>
      <c r="G20" s="90">
        <f t="shared" si="13"/>
        <v>0</v>
      </c>
      <c r="H20" s="90">
        <f t="shared" si="13"/>
        <v>0</v>
      </c>
      <c r="I20" s="90">
        <f t="shared" si="13"/>
        <v>0</v>
      </c>
      <c r="J20" s="90">
        <f t="shared" si="13"/>
        <v>0</v>
      </c>
      <c r="K20" s="90">
        <f t="shared" si="13"/>
        <v>0</v>
      </c>
      <c r="L20" s="90">
        <f t="shared" si="13"/>
        <v>0</v>
      </c>
      <c r="M20" s="90">
        <f t="shared" si="13"/>
        <v>0</v>
      </c>
      <c r="N20" s="90">
        <f t="shared" si="10"/>
        <v>175440</v>
      </c>
      <c r="Y20" s="87" t="s">
        <v>80</v>
      </c>
      <c r="AO20" s="87" t="s">
        <v>81</v>
      </c>
      <c r="AP20" s="87" t="s">
        <v>80</v>
      </c>
    </row>
    <row r="21" spans="1:43">
      <c r="A21" s="86">
        <v>15</v>
      </c>
      <c r="B21" s="87" t="s">
        <v>82</v>
      </c>
      <c r="C21" s="95">
        <f t="shared" ref="C21:M21" si="14">$N$21/$N$6*C6</f>
        <v>30800.000000000004</v>
      </c>
      <c r="D21" s="95">
        <f t="shared" si="14"/>
        <v>0</v>
      </c>
      <c r="E21" s="95">
        <f t="shared" si="14"/>
        <v>0</v>
      </c>
      <c r="F21" s="95">
        <f t="shared" si="14"/>
        <v>0</v>
      </c>
      <c r="G21" s="95">
        <f t="shared" si="14"/>
        <v>0</v>
      </c>
      <c r="H21" s="95">
        <f t="shared" si="14"/>
        <v>0</v>
      </c>
      <c r="I21" s="95">
        <f t="shared" si="14"/>
        <v>0</v>
      </c>
      <c r="J21" s="95">
        <f t="shared" si="14"/>
        <v>0</v>
      </c>
      <c r="K21" s="95">
        <f t="shared" si="14"/>
        <v>0</v>
      </c>
      <c r="L21" s="95">
        <f t="shared" si="14"/>
        <v>0</v>
      </c>
      <c r="M21" s="95">
        <f t="shared" si="14"/>
        <v>0</v>
      </c>
      <c r="N21" s="90">
        <f>项目投资!F27</f>
        <v>30800</v>
      </c>
      <c r="Y21" s="87" t="s">
        <v>82</v>
      </c>
      <c r="AO21" s="87"/>
      <c r="AP21" s="87"/>
    </row>
    <row r="22" spans="1:43">
      <c r="A22" s="86">
        <v>16</v>
      </c>
      <c r="B22" s="87" t="s">
        <v>83</v>
      </c>
      <c r="C22" s="90">
        <f t="shared" ref="C22:M22" si="15">C6*C47</f>
        <v>154800</v>
      </c>
      <c r="D22" s="90">
        <f t="shared" si="15"/>
        <v>0</v>
      </c>
      <c r="E22" s="90">
        <f t="shared" si="15"/>
        <v>0</v>
      </c>
      <c r="F22" s="90">
        <f t="shared" si="15"/>
        <v>0</v>
      </c>
      <c r="G22" s="90">
        <f t="shared" si="15"/>
        <v>0</v>
      </c>
      <c r="H22" s="90">
        <f t="shared" si="15"/>
        <v>0</v>
      </c>
      <c r="I22" s="90">
        <f t="shared" si="15"/>
        <v>0</v>
      </c>
      <c r="J22" s="90">
        <f t="shared" si="15"/>
        <v>0</v>
      </c>
      <c r="K22" s="90">
        <f t="shared" si="15"/>
        <v>0</v>
      </c>
      <c r="L22" s="90">
        <f t="shared" si="15"/>
        <v>0</v>
      </c>
      <c r="M22" s="90">
        <f t="shared" si="15"/>
        <v>0</v>
      </c>
      <c r="N22" s="90">
        <f>+SUM(C22:M22)</f>
        <v>154800</v>
      </c>
      <c r="Y22" s="87" t="s">
        <v>83</v>
      </c>
      <c r="AO22" s="87" t="s">
        <v>84</v>
      </c>
      <c r="AP22" s="87" t="s">
        <v>83</v>
      </c>
    </row>
    <row r="23" spans="1:43">
      <c r="A23" s="86">
        <v>17</v>
      </c>
      <c r="B23" s="91" t="s">
        <v>85</v>
      </c>
      <c r="C23" s="95">
        <f t="shared" ref="C23:N23" si="16">+C22+C21+C20+C19+C17</f>
        <v>721580</v>
      </c>
      <c r="D23" s="95">
        <f t="shared" si="16"/>
        <v>0</v>
      </c>
      <c r="E23" s="95">
        <f t="shared" si="16"/>
        <v>0</v>
      </c>
      <c r="F23" s="95">
        <f t="shared" si="16"/>
        <v>0</v>
      </c>
      <c r="G23" s="95">
        <f t="shared" si="16"/>
        <v>0</v>
      </c>
      <c r="H23" s="95">
        <f t="shared" si="16"/>
        <v>0</v>
      </c>
      <c r="I23" s="95">
        <f t="shared" si="16"/>
        <v>0</v>
      </c>
      <c r="J23" s="95">
        <f t="shared" si="16"/>
        <v>0</v>
      </c>
      <c r="K23" s="95">
        <f t="shared" si="16"/>
        <v>0</v>
      </c>
      <c r="L23" s="95">
        <f t="shared" si="16"/>
        <v>0</v>
      </c>
      <c r="M23" s="95">
        <f t="shared" si="16"/>
        <v>0</v>
      </c>
      <c r="N23" s="95">
        <f t="shared" si="16"/>
        <v>721580</v>
      </c>
      <c r="Y23" s="91" t="s">
        <v>85</v>
      </c>
      <c r="AO23" s="87" t="s">
        <v>86</v>
      </c>
      <c r="AP23" s="91" t="s">
        <v>85</v>
      </c>
    </row>
    <row r="24" spans="1:43">
      <c r="A24" s="86">
        <v>18</v>
      </c>
      <c r="B24" s="96" t="s">
        <v>87</v>
      </c>
      <c r="C24" s="95">
        <f t="shared" ref="C24:N24" si="17">+C15-C23</f>
        <v>193883.98749999981</v>
      </c>
      <c r="D24" s="95">
        <f t="shared" si="17"/>
        <v>0</v>
      </c>
      <c r="E24" s="95">
        <f t="shared" si="17"/>
        <v>0</v>
      </c>
      <c r="F24" s="95">
        <f t="shared" si="17"/>
        <v>0</v>
      </c>
      <c r="G24" s="95">
        <f t="shared" si="17"/>
        <v>0</v>
      </c>
      <c r="H24" s="95">
        <f t="shared" si="17"/>
        <v>0</v>
      </c>
      <c r="I24" s="95">
        <f t="shared" si="17"/>
        <v>0</v>
      </c>
      <c r="J24" s="95">
        <f t="shared" si="17"/>
        <v>0</v>
      </c>
      <c r="K24" s="95">
        <f t="shared" si="17"/>
        <v>0</v>
      </c>
      <c r="L24" s="95">
        <f t="shared" si="17"/>
        <v>0</v>
      </c>
      <c r="M24" s="95">
        <f t="shared" si="17"/>
        <v>0</v>
      </c>
      <c r="N24" s="95">
        <f t="shared" si="17"/>
        <v>193883.98749999981</v>
      </c>
      <c r="P24" s="106"/>
      <c r="Y24" s="87" t="s">
        <v>87</v>
      </c>
      <c r="AO24" s="87" t="s">
        <v>88</v>
      </c>
      <c r="AP24" s="87" t="s">
        <v>87</v>
      </c>
    </row>
    <row r="25" spans="1:43">
      <c r="A25" s="190">
        <v>19</v>
      </c>
      <c r="B25" s="87" t="s">
        <v>284</v>
      </c>
      <c r="C25" s="95">
        <f>IF(C24&lt;0,0,C24*0.15)</f>
        <v>29082.598124999971</v>
      </c>
      <c r="D25" s="95">
        <f t="shared" ref="D25:N25" si="18">IF(D24&lt;0,0,D24*0.15)</f>
        <v>0</v>
      </c>
      <c r="E25" s="95">
        <f t="shared" si="18"/>
        <v>0</v>
      </c>
      <c r="F25" s="95">
        <f t="shared" si="18"/>
        <v>0</v>
      </c>
      <c r="G25" s="95">
        <f t="shared" si="18"/>
        <v>0</v>
      </c>
      <c r="H25" s="95">
        <f t="shared" si="18"/>
        <v>0</v>
      </c>
      <c r="I25" s="95">
        <f t="shared" si="18"/>
        <v>0</v>
      </c>
      <c r="J25" s="95">
        <f t="shared" si="18"/>
        <v>0</v>
      </c>
      <c r="K25" s="95">
        <f t="shared" si="18"/>
        <v>0</v>
      </c>
      <c r="L25" s="95">
        <f t="shared" si="18"/>
        <v>0</v>
      </c>
      <c r="M25" s="95">
        <f t="shared" si="18"/>
        <v>0</v>
      </c>
      <c r="N25" s="95">
        <f t="shared" si="18"/>
        <v>29082.598124999971</v>
      </c>
      <c r="O25" s="2"/>
      <c r="P25" s="2"/>
      <c r="Q25" s="2"/>
      <c r="Y25" s="87" t="s">
        <v>34</v>
      </c>
      <c r="AO25" s="87" t="s">
        <v>89</v>
      </c>
      <c r="AP25" s="87" t="s">
        <v>34</v>
      </c>
    </row>
    <row r="26" spans="1:43">
      <c r="A26" s="86">
        <v>20</v>
      </c>
      <c r="B26" s="87" t="s">
        <v>90</v>
      </c>
      <c r="C26" s="95">
        <f t="shared" ref="C26:M26" si="19">C24-C25</f>
        <v>164801.38937499985</v>
      </c>
      <c r="D26" s="95">
        <f t="shared" si="19"/>
        <v>0</v>
      </c>
      <c r="E26" s="95">
        <f t="shared" si="19"/>
        <v>0</v>
      </c>
      <c r="F26" s="95">
        <f t="shared" si="19"/>
        <v>0</v>
      </c>
      <c r="G26" s="95">
        <f t="shared" si="19"/>
        <v>0</v>
      </c>
      <c r="H26" s="95">
        <f t="shared" si="19"/>
        <v>0</v>
      </c>
      <c r="I26" s="95">
        <f t="shared" si="19"/>
        <v>0</v>
      </c>
      <c r="J26" s="95">
        <f t="shared" si="19"/>
        <v>0</v>
      </c>
      <c r="K26" s="95">
        <f t="shared" si="19"/>
        <v>0</v>
      </c>
      <c r="L26" s="95">
        <f t="shared" si="19"/>
        <v>0</v>
      </c>
      <c r="M26" s="95">
        <f t="shared" si="19"/>
        <v>0</v>
      </c>
      <c r="N26" s="90">
        <f>+SUM(C26:M26)</f>
        <v>164801.38937499985</v>
      </c>
      <c r="O26" s="2"/>
      <c r="P26" s="2"/>
      <c r="Q26" s="2"/>
      <c r="Y26" s="87" t="s">
        <v>90</v>
      </c>
      <c r="AO26" s="87" t="s">
        <v>91</v>
      </c>
      <c r="AP26" s="87" t="s">
        <v>90</v>
      </c>
    </row>
    <row r="27" spans="1:43">
      <c r="A27" s="86">
        <v>21</v>
      </c>
      <c r="B27" s="87" t="s">
        <v>94</v>
      </c>
      <c r="C27" s="97">
        <f t="shared" ref="C27:N27" si="20">C26/C7</f>
        <v>3.1938253754844929E-2</v>
      </c>
      <c r="D27" s="97" t="e">
        <f t="shared" si="20"/>
        <v>#DIV/0!</v>
      </c>
      <c r="E27" s="97" t="e">
        <f t="shared" si="20"/>
        <v>#DIV/0!</v>
      </c>
      <c r="F27" s="97" t="e">
        <f t="shared" si="20"/>
        <v>#DIV/0!</v>
      </c>
      <c r="G27" s="97" t="e">
        <f t="shared" si="20"/>
        <v>#DIV/0!</v>
      </c>
      <c r="H27" s="97" t="e">
        <f t="shared" si="20"/>
        <v>#DIV/0!</v>
      </c>
      <c r="I27" s="97" t="e">
        <f t="shared" si="20"/>
        <v>#DIV/0!</v>
      </c>
      <c r="J27" s="97" t="e">
        <f t="shared" si="20"/>
        <v>#DIV/0!</v>
      </c>
      <c r="K27" s="97" t="e">
        <f t="shared" si="20"/>
        <v>#DIV/0!</v>
      </c>
      <c r="L27" s="97" t="e">
        <f t="shared" si="20"/>
        <v>#DIV/0!</v>
      </c>
      <c r="M27" s="97" t="e">
        <f t="shared" si="20"/>
        <v>#DIV/0!</v>
      </c>
      <c r="N27" s="107">
        <f t="shared" si="20"/>
        <v>3.1938253754844929E-2</v>
      </c>
      <c r="O27" s="2"/>
      <c r="P27" s="2"/>
      <c r="Q27" s="2"/>
      <c r="Y27" s="87" t="s">
        <v>94</v>
      </c>
      <c r="AO27" s="87" t="s">
        <v>93</v>
      </c>
      <c r="AP27" s="87" t="s">
        <v>94</v>
      </c>
    </row>
    <row r="28" spans="1:43">
      <c r="O28" s="2"/>
      <c r="P28" s="2"/>
      <c r="Q28" s="2"/>
      <c r="Y28" s="87"/>
    </row>
    <row r="29" spans="1:43">
      <c r="A29" s="84" t="s">
        <v>95</v>
      </c>
      <c r="N29" s="85" t="s">
        <v>149</v>
      </c>
      <c r="O29" s="2"/>
      <c r="P29" s="2"/>
      <c r="Q29" s="2"/>
      <c r="Y29" s="87"/>
      <c r="AO29" s="84" t="s">
        <v>95</v>
      </c>
    </row>
    <row r="30" spans="1:43">
      <c r="A30" s="87" t="s">
        <v>96</v>
      </c>
      <c r="B30" s="91" t="s">
        <v>97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2"/>
      <c r="P30" s="2"/>
      <c r="Q30" s="2"/>
      <c r="S30" s="2"/>
      <c r="Y30" s="91" t="s">
        <v>97</v>
      </c>
      <c r="AO30" s="87" t="s">
        <v>98</v>
      </c>
      <c r="AP30" s="91" t="s">
        <v>97</v>
      </c>
    </row>
    <row r="31" spans="1:43">
      <c r="A31" s="86">
        <v>1</v>
      </c>
      <c r="B31" s="93" t="s">
        <v>99</v>
      </c>
      <c r="C31" s="98">
        <f>销量!C8</f>
        <v>1720</v>
      </c>
      <c r="D31" s="98">
        <f>销量!D8</f>
        <v>0</v>
      </c>
      <c r="E31" s="98">
        <f>销量!E8</f>
        <v>0</v>
      </c>
      <c r="F31" s="98">
        <f>销量!F8</f>
        <v>0</v>
      </c>
      <c r="G31" s="98">
        <f>销量!G8</f>
        <v>0</v>
      </c>
      <c r="H31" s="98">
        <f>销量!H8</f>
        <v>0</v>
      </c>
      <c r="I31" s="98">
        <f>销量!I8</f>
        <v>0</v>
      </c>
      <c r="J31" s="98">
        <f>销量!J8</f>
        <v>0</v>
      </c>
      <c r="K31" s="98">
        <f>销量!K8</f>
        <v>0</v>
      </c>
      <c r="L31" s="98">
        <f>销量!L8</f>
        <v>0</v>
      </c>
      <c r="M31" s="98">
        <f>销量!M8</f>
        <v>0</v>
      </c>
      <c r="N31" s="95"/>
      <c r="O31" s="2"/>
      <c r="P31" s="2"/>
      <c r="Q31" s="2"/>
      <c r="S31" s="2"/>
      <c r="Y31" s="87" t="s">
        <v>99</v>
      </c>
      <c r="AO31" s="87" t="s">
        <v>54</v>
      </c>
      <c r="AP31" s="87" t="s">
        <v>99</v>
      </c>
    </row>
    <row r="32" spans="1:43">
      <c r="A32" s="86">
        <v>2</v>
      </c>
      <c r="B32" s="87" t="s">
        <v>150</v>
      </c>
      <c r="C32" s="90">
        <f t="shared" ref="C32:M32" si="21">C31*1</f>
        <v>1720</v>
      </c>
      <c r="D32" s="90">
        <f t="shared" si="21"/>
        <v>0</v>
      </c>
      <c r="E32" s="90">
        <f t="shared" si="21"/>
        <v>0</v>
      </c>
      <c r="F32" s="90">
        <f t="shared" si="21"/>
        <v>0</v>
      </c>
      <c r="G32" s="90">
        <f t="shared" si="21"/>
        <v>0</v>
      </c>
      <c r="H32" s="90">
        <f t="shared" si="21"/>
        <v>0</v>
      </c>
      <c r="I32" s="90">
        <f t="shared" si="21"/>
        <v>0</v>
      </c>
      <c r="J32" s="90">
        <f t="shared" si="21"/>
        <v>0</v>
      </c>
      <c r="K32" s="90">
        <f t="shared" si="21"/>
        <v>0</v>
      </c>
      <c r="L32" s="90">
        <f t="shared" si="21"/>
        <v>0</v>
      </c>
      <c r="M32" s="90">
        <f t="shared" si="21"/>
        <v>0</v>
      </c>
      <c r="N32" s="95"/>
      <c r="O32" s="2"/>
      <c r="P32" s="2"/>
      <c r="Q32" s="2"/>
      <c r="R32" s="2"/>
      <c r="S32" s="2"/>
      <c r="T32" s="2"/>
      <c r="U32" s="2"/>
      <c r="AO32" s="87"/>
      <c r="AP32" s="87"/>
    </row>
    <row r="33" spans="1:42">
      <c r="A33" s="86">
        <v>3</v>
      </c>
      <c r="B33" s="93" t="s">
        <v>100</v>
      </c>
      <c r="C33" s="90">
        <f>材料成本!D14</f>
        <v>1142.7843375</v>
      </c>
      <c r="D33" s="90">
        <f>材料成本!E14</f>
        <v>0</v>
      </c>
      <c r="E33" s="90">
        <f>材料成本!F14</f>
        <v>0</v>
      </c>
      <c r="F33" s="90">
        <f>材料成本!G14</f>
        <v>0</v>
      </c>
      <c r="G33" s="90">
        <f>材料成本!H14</f>
        <v>0</v>
      </c>
      <c r="H33" s="90">
        <f>材料成本!I14</f>
        <v>0</v>
      </c>
      <c r="I33" s="90">
        <f>材料成本!J14</f>
        <v>0</v>
      </c>
      <c r="J33" s="90">
        <f>材料成本!K14</f>
        <v>0</v>
      </c>
      <c r="K33" s="90">
        <f>材料成本!L14</f>
        <v>0</v>
      </c>
      <c r="L33" s="90">
        <f>材料成本!M14</f>
        <v>0</v>
      </c>
      <c r="M33" s="90">
        <f>材料成本!N14</f>
        <v>0</v>
      </c>
      <c r="N33" s="95"/>
      <c r="P33" s="2"/>
      <c r="Q33" s="2"/>
      <c r="R33" s="2"/>
      <c r="S33" s="2"/>
      <c r="T33" s="2"/>
      <c r="U33" s="2"/>
      <c r="Y33" s="87" t="s">
        <v>100</v>
      </c>
      <c r="AO33" s="87" t="s">
        <v>56</v>
      </c>
      <c r="AP33" s="87" t="s">
        <v>100</v>
      </c>
    </row>
    <row r="34" spans="1:42" ht="17.25" customHeight="1">
      <c r="A34" s="86">
        <v>4</v>
      </c>
      <c r="B34" s="87" t="s">
        <v>102</v>
      </c>
      <c r="C34" s="99">
        <f t="shared" ref="C34:M34" si="22">C32-C33</f>
        <v>577.21566250000001</v>
      </c>
      <c r="D34" s="99">
        <f t="shared" si="22"/>
        <v>0</v>
      </c>
      <c r="E34" s="99">
        <f t="shared" si="22"/>
        <v>0</v>
      </c>
      <c r="F34" s="99">
        <f t="shared" si="22"/>
        <v>0</v>
      </c>
      <c r="G34" s="99">
        <f t="shared" si="22"/>
        <v>0</v>
      </c>
      <c r="H34" s="99">
        <f t="shared" si="22"/>
        <v>0</v>
      </c>
      <c r="I34" s="99">
        <f t="shared" si="22"/>
        <v>0</v>
      </c>
      <c r="J34" s="99">
        <f t="shared" si="22"/>
        <v>0</v>
      </c>
      <c r="K34" s="99">
        <f t="shared" si="22"/>
        <v>0</v>
      </c>
      <c r="L34" s="99">
        <f t="shared" si="22"/>
        <v>0</v>
      </c>
      <c r="M34" s="99">
        <f t="shared" si="22"/>
        <v>0</v>
      </c>
      <c r="N34" s="95"/>
      <c r="P34" s="2"/>
      <c r="Q34" s="2"/>
      <c r="R34" s="2"/>
      <c r="S34" s="2"/>
      <c r="T34" s="2"/>
      <c r="U34" s="2"/>
      <c r="Y34" s="87" t="s">
        <v>102</v>
      </c>
      <c r="AO34" s="87" t="s">
        <v>101</v>
      </c>
      <c r="AP34" s="87" t="s">
        <v>102</v>
      </c>
    </row>
    <row r="35" spans="1:42">
      <c r="A35" s="87" t="s">
        <v>98</v>
      </c>
      <c r="B35" s="91" t="s">
        <v>8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2"/>
      <c r="P35" s="2"/>
      <c r="Q35" s="2"/>
      <c r="R35" s="2"/>
      <c r="S35" s="2"/>
      <c r="T35" s="2"/>
      <c r="U35" s="2"/>
      <c r="V35" s="2"/>
      <c r="W35" s="2"/>
      <c r="X35" s="2"/>
      <c r="Y35" s="91" t="s">
        <v>8</v>
      </c>
      <c r="AO35" s="87" t="s">
        <v>104</v>
      </c>
      <c r="AP35" s="91" t="s">
        <v>8</v>
      </c>
    </row>
    <row r="36" spans="1:42">
      <c r="A36" s="86">
        <v>1</v>
      </c>
      <c r="B36" s="87" t="s">
        <v>105</v>
      </c>
      <c r="C36" s="94">
        <f>标准成本!D4</f>
        <v>74.132000000000005</v>
      </c>
      <c r="D36" s="94">
        <f>标准成本!D16</f>
        <v>0</v>
      </c>
      <c r="E36" s="94">
        <f>标准成本!D29</f>
        <v>0</v>
      </c>
      <c r="F36" s="94">
        <f>标准成本!D42</f>
        <v>0</v>
      </c>
      <c r="G36" s="94">
        <f>标准成本!D55</f>
        <v>0</v>
      </c>
      <c r="H36" s="94">
        <f>标准成本!D68</f>
        <v>0</v>
      </c>
      <c r="I36" s="94">
        <f>标准成本!D81</f>
        <v>0</v>
      </c>
      <c r="J36" s="94">
        <f>标准成本!D94</f>
        <v>0</v>
      </c>
      <c r="K36" s="94">
        <f>标准成本!D107</f>
        <v>0</v>
      </c>
      <c r="L36" s="94">
        <f>标准成本!D120</f>
        <v>0</v>
      </c>
      <c r="M36" s="94">
        <f>标准成本!D133</f>
        <v>0</v>
      </c>
      <c r="N36" s="98"/>
      <c r="O36" s="2"/>
      <c r="P36" s="2"/>
      <c r="Q36" s="2"/>
      <c r="R36" s="2"/>
      <c r="S36" s="2"/>
      <c r="T36" s="2"/>
      <c r="U36" s="2"/>
      <c r="V36" s="2"/>
      <c r="W36" s="2"/>
      <c r="X36" s="2"/>
      <c r="Y36" s="87" t="s">
        <v>105</v>
      </c>
      <c r="AO36" s="87" t="s">
        <v>101</v>
      </c>
      <c r="AP36" s="87" t="s">
        <v>105</v>
      </c>
    </row>
    <row r="37" spans="1:42">
      <c r="A37" s="86">
        <v>2</v>
      </c>
      <c r="B37" s="87" t="s">
        <v>106</v>
      </c>
      <c r="C37" s="94">
        <f>标准成本!D6</f>
        <v>37.323999999999998</v>
      </c>
      <c r="D37" s="94">
        <f>标准成本!D18</f>
        <v>0</v>
      </c>
      <c r="E37" s="94">
        <f>标准成本!D31</f>
        <v>0</v>
      </c>
      <c r="F37" s="94">
        <f>标准成本!D44</f>
        <v>0</v>
      </c>
      <c r="G37" s="94">
        <f>标准成本!D57</f>
        <v>0</v>
      </c>
      <c r="H37" s="94">
        <f>标准成本!D70</f>
        <v>0</v>
      </c>
      <c r="I37" s="94">
        <f>标准成本!D83</f>
        <v>0</v>
      </c>
      <c r="J37" s="94">
        <f>标准成本!D96</f>
        <v>0</v>
      </c>
      <c r="K37" s="94">
        <f>标准成本!D109</f>
        <v>0</v>
      </c>
      <c r="L37" s="94">
        <f>标准成本!D122</f>
        <v>0</v>
      </c>
      <c r="M37" s="94">
        <f>标准成本!D135</f>
        <v>0</v>
      </c>
      <c r="N37" s="98"/>
      <c r="O37" s="2"/>
      <c r="P37" s="2"/>
      <c r="Q37" s="2"/>
      <c r="R37" s="2"/>
      <c r="S37" s="2"/>
      <c r="T37" s="2"/>
      <c r="U37" s="2"/>
      <c r="V37" s="2"/>
      <c r="W37" s="2"/>
      <c r="X37" s="2"/>
      <c r="Y37" s="87" t="s">
        <v>106</v>
      </c>
      <c r="AO37" s="87" t="s">
        <v>59</v>
      </c>
      <c r="AP37" s="87" t="s">
        <v>106</v>
      </c>
    </row>
    <row r="38" spans="1:42">
      <c r="A38" s="86">
        <v>3</v>
      </c>
      <c r="B38" s="87" t="s">
        <v>107</v>
      </c>
      <c r="C38" s="94">
        <f>标准成本!D10</f>
        <v>75.679999999999993</v>
      </c>
      <c r="D38" s="94">
        <f>标准成本!D22</f>
        <v>0</v>
      </c>
      <c r="E38" s="94">
        <f>标准成本!D35</f>
        <v>0</v>
      </c>
      <c r="F38" s="94">
        <f>标准成本!D48</f>
        <v>0</v>
      </c>
      <c r="G38" s="94">
        <f>标准成本!D61</f>
        <v>0</v>
      </c>
      <c r="H38" s="94">
        <f>标准成本!D74</f>
        <v>0</v>
      </c>
      <c r="I38" s="94">
        <f>标准成本!D87</f>
        <v>0</v>
      </c>
      <c r="J38" s="94">
        <f>标准成本!D100</f>
        <v>0</v>
      </c>
      <c r="K38" s="94">
        <f>标准成本!D113</f>
        <v>0</v>
      </c>
      <c r="L38" s="94">
        <f>标准成本!D126</f>
        <v>0</v>
      </c>
      <c r="M38" s="94">
        <f>标准成本!D139</f>
        <v>0</v>
      </c>
      <c r="N38" s="98"/>
      <c r="O38" s="2"/>
      <c r="P38" s="2"/>
      <c r="Q38" s="2"/>
      <c r="R38" s="2"/>
      <c r="S38" s="2"/>
      <c r="T38" s="2"/>
      <c r="U38" s="2"/>
      <c r="V38" s="2"/>
      <c r="W38" s="2"/>
      <c r="X38" s="2"/>
      <c r="Y38" s="87" t="s">
        <v>107</v>
      </c>
      <c r="AO38" s="87" t="s">
        <v>65</v>
      </c>
      <c r="AP38" s="87" t="s">
        <v>107</v>
      </c>
    </row>
    <row r="39" spans="1:42">
      <c r="A39" s="87" t="s">
        <v>104</v>
      </c>
      <c r="B39" s="91" t="s">
        <v>109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Y39" s="91" t="s">
        <v>109</v>
      </c>
      <c r="AO39" s="87" t="s">
        <v>108</v>
      </c>
      <c r="AP39" s="91" t="s">
        <v>109</v>
      </c>
    </row>
    <row r="40" spans="1:42">
      <c r="A40" s="86">
        <v>1</v>
      </c>
      <c r="B40" s="87" t="s">
        <v>111</v>
      </c>
      <c r="C40" s="95">
        <f t="shared" ref="C40:M40" si="23">C34-C36-C37-C38</f>
        <v>390.07966249999998</v>
      </c>
      <c r="D40" s="95">
        <f t="shared" si="23"/>
        <v>0</v>
      </c>
      <c r="E40" s="95">
        <f t="shared" si="23"/>
        <v>0</v>
      </c>
      <c r="F40" s="95">
        <f t="shared" si="23"/>
        <v>0</v>
      </c>
      <c r="G40" s="95">
        <f t="shared" si="23"/>
        <v>0</v>
      </c>
      <c r="H40" s="95">
        <f t="shared" si="23"/>
        <v>0</v>
      </c>
      <c r="I40" s="95">
        <f t="shared" si="23"/>
        <v>0</v>
      </c>
      <c r="J40" s="95">
        <f t="shared" si="23"/>
        <v>0</v>
      </c>
      <c r="K40" s="95">
        <f t="shared" si="23"/>
        <v>0</v>
      </c>
      <c r="L40" s="95">
        <f t="shared" si="23"/>
        <v>0</v>
      </c>
      <c r="M40" s="95">
        <f t="shared" si="23"/>
        <v>0</v>
      </c>
      <c r="N40" s="95"/>
      <c r="Y40" s="87" t="s">
        <v>111</v>
      </c>
      <c r="AO40" s="87" t="s">
        <v>54</v>
      </c>
      <c r="AP40" s="87" t="s">
        <v>111</v>
      </c>
    </row>
    <row r="41" spans="1:42">
      <c r="A41" s="86">
        <v>2</v>
      </c>
      <c r="B41" s="87" t="s">
        <v>112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Y41" s="87" t="s">
        <v>112</v>
      </c>
      <c r="AO41" s="87" t="s">
        <v>56</v>
      </c>
      <c r="AP41" s="87" t="s">
        <v>112</v>
      </c>
    </row>
    <row r="42" spans="1:42">
      <c r="A42" s="87" t="s">
        <v>108</v>
      </c>
      <c r="B42" s="91" t="s">
        <v>114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Y42" s="91" t="s">
        <v>114</v>
      </c>
      <c r="AO42" s="87" t="s">
        <v>113</v>
      </c>
      <c r="AP42" s="91" t="s">
        <v>114</v>
      </c>
    </row>
    <row r="43" spans="1:42">
      <c r="A43" s="86">
        <v>1</v>
      </c>
      <c r="B43" s="96" t="s">
        <v>115</v>
      </c>
      <c r="C43" s="94">
        <f>标准成本!D5</f>
        <v>70.52</v>
      </c>
      <c r="D43" s="94">
        <f>标准成本!D17</f>
        <v>0</v>
      </c>
      <c r="E43" s="94">
        <f>标准成本!D30</f>
        <v>0</v>
      </c>
      <c r="F43" s="94">
        <f>标准成本!D43</f>
        <v>0</v>
      </c>
      <c r="G43" s="94">
        <f>标准成本!D56</f>
        <v>0</v>
      </c>
      <c r="H43" s="94">
        <f>标准成本!D69</f>
        <v>0</v>
      </c>
      <c r="I43" s="94">
        <f>标准成本!D82</f>
        <v>0</v>
      </c>
      <c r="J43" s="94">
        <f>标准成本!D95</f>
        <v>0</v>
      </c>
      <c r="K43" s="94">
        <f>标准成本!D108</f>
        <v>0</v>
      </c>
      <c r="L43" s="94">
        <f>标准成本!D121</f>
        <v>0</v>
      </c>
      <c r="M43" s="94">
        <f>标准成本!D134</f>
        <v>0</v>
      </c>
      <c r="N43" s="95"/>
      <c r="Y43" s="87" t="s">
        <v>115</v>
      </c>
      <c r="AO43" s="87" t="s">
        <v>54</v>
      </c>
      <c r="AP43" s="87" t="s">
        <v>115</v>
      </c>
    </row>
    <row r="44" spans="1:42">
      <c r="A44" s="86">
        <v>2</v>
      </c>
      <c r="B44" s="96" t="s">
        <v>116</v>
      </c>
      <c r="C44" s="94">
        <f>标准成本!D9</f>
        <v>12.040000000000001</v>
      </c>
      <c r="D44" s="94">
        <f>标准成本!D21</f>
        <v>0</v>
      </c>
      <c r="E44" s="94">
        <f>标准成本!D34</f>
        <v>0</v>
      </c>
      <c r="F44" s="94">
        <f>标准成本!D47</f>
        <v>0</v>
      </c>
      <c r="G44" s="94">
        <f>标准成本!D60</f>
        <v>0</v>
      </c>
      <c r="H44" s="94">
        <f>标准成本!D73</f>
        <v>0</v>
      </c>
      <c r="I44" s="94">
        <f>标准成本!D86</f>
        <v>0</v>
      </c>
      <c r="J44" s="94">
        <f>标准成本!D99</f>
        <v>0</v>
      </c>
      <c r="K44" s="94">
        <f>标准成本!D112</f>
        <v>0</v>
      </c>
      <c r="L44" s="94">
        <f>标准成本!D125</f>
        <v>0</v>
      </c>
      <c r="M44" s="94">
        <f>标准成本!D138</f>
        <v>0</v>
      </c>
      <c r="N44" s="95"/>
      <c r="Y44" s="87" t="s">
        <v>116</v>
      </c>
      <c r="AO44" s="87" t="s">
        <v>56</v>
      </c>
      <c r="AP44" s="87" t="s">
        <v>116</v>
      </c>
    </row>
    <row r="45" spans="1:42">
      <c r="A45" s="86">
        <v>3</v>
      </c>
      <c r="B45" s="96" t="s">
        <v>117</v>
      </c>
      <c r="C45" s="94">
        <f>标准成本!D8</f>
        <v>58.480000000000004</v>
      </c>
      <c r="D45" s="94">
        <f>标准成本!D20</f>
        <v>0</v>
      </c>
      <c r="E45" s="94">
        <f>标准成本!D33</f>
        <v>0</v>
      </c>
      <c r="F45" s="94">
        <f>标准成本!D46</f>
        <v>0</v>
      </c>
      <c r="G45" s="94">
        <f>标准成本!D59</f>
        <v>0</v>
      </c>
      <c r="H45" s="94">
        <f>标准成本!D72</f>
        <v>0</v>
      </c>
      <c r="I45" s="94">
        <f>标准成本!D85</f>
        <v>0</v>
      </c>
      <c r="J45" s="94">
        <f>标准成本!D98</f>
        <v>0</v>
      </c>
      <c r="K45" s="94">
        <f>标准成本!D111</f>
        <v>0</v>
      </c>
      <c r="L45" s="94">
        <f>标准成本!D124</f>
        <v>0</v>
      </c>
      <c r="M45" s="94">
        <f>标准成本!D137</f>
        <v>0</v>
      </c>
      <c r="N45" s="95"/>
      <c r="Y45" s="87" t="s">
        <v>117</v>
      </c>
      <c r="AO45" s="87" t="s">
        <v>101</v>
      </c>
      <c r="AP45" s="87" t="s">
        <v>117</v>
      </c>
    </row>
    <row r="46" spans="1:42" s="83" customFormat="1">
      <c r="A46" s="86">
        <v>4</v>
      </c>
      <c r="B46" s="96" t="s">
        <v>118</v>
      </c>
      <c r="C46" s="100">
        <f t="shared" ref="C46:M46" si="24">C21/C6</f>
        <v>10.266666666666667</v>
      </c>
      <c r="D46" s="100" t="e">
        <f t="shared" si="24"/>
        <v>#DIV/0!</v>
      </c>
      <c r="E46" s="100" t="e">
        <f t="shared" si="24"/>
        <v>#DIV/0!</v>
      </c>
      <c r="F46" s="100" t="e">
        <f t="shared" si="24"/>
        <v>#DIV/0!</v>
      </c>
      <c r="G46" s="100" t="e">
        <f t="shared" si="24"/>
        <v>#DIV/0!</v>
      </c>
      <c r="H46" s="100" t="e">
        <f t="shared" si="24"/>
        <v>#DIV/0!</v>
      </c>
      <c r="I46" s="100" t="e">
        <f t="shared" si="24"/>
        <v>#DIV/0!</v>
      </c>
      <c r="J46" s="100" t="e">
        <f t="shared" si="24"/>
        <v>#DIV/0!</v>
      </c>
      <c r="K46" s="100" t="e">
        <f t="shared" si="24"/>
        <v>#DIV/0!</v>
      </c>
      <c r="L46" s="100" t="e">
        <f t="shared" si="24"/>
        <v>#DIV/0!</v>
      </c>
      <c r="M46" s="100" t="e">
        <f t="shared" si="24"/>
        <v>#DIV/0!</v>
      </c>
      <c r="N46" s="100"/>
      <c r="Y46" s="96" t="s">
        <v>120</v>
      </c>
      <c r="AO46" s="96" t="s">
        <v>62</v>
      </c>
      <c r="AP46" s="96" t="s">
        <v>120</v>
      </c>
    </row>
    <row r="47" spans="1:42" s="83" customFormat="1">
      <c r="A47" s="86">
        <v>5</v>
      </c>
      <c r="B47" s="96" t="s">
        <v>120</v>
      </c>
      <c r="C47" s="100">
        <f>标准成本!D11</f>
        <v>51.6</v>
      </c>
      <c r="D47" s="100">
        <f>标准成本!D23</f>
        <v>0</v>
      </c>
      <c r="E47" s="100">
        <f>标准成本!D36</f>
        <v>0</v>
      </c>
      <c r="F47" s="100">
        <f>标准成本!D49</f>
        <v>0</v>
      </c>
      <c r="G47" s="100">
        <f>标准成本!D62</f>
        <v>0</v>
      </c>
      <c r="H47" s="100">
        <f>标准成本!D75</f>
        <v>0</v>
      </c>
      <c r="I47" s="100">
        <f>标准成本!D88</f>
        <v>0</v>
      </c>
      <c r="J47" s="100">
        <f>标准成本!D101</f>
        <v>0</v>
      </c>
      <c r="K47" s="100">
        <f>标准成本!D114</f>
        <v>0</v>
      </c>
      <c r="L47" s="100">
        <f>标准成本!D127</f>
        <v>0</v>
      </c>
      <c r="M47" s="100">
        <f>标准成本!D140</f>
        <v>0</v>
      </c>
      <c r="N47" s="100"/>
      <c r="Y47" s="96" t="s">
        <v>120</v>
      </c>
      <c r="AO47" s="96" t="s">
        <v>62</v>
      </c>
      <c r="AP47" s="96" t="s">
        <v>120</v>
      </c>
    </row>
    <row r="48" spans="1:42">
      <c r="A48" s="87" t="s">
        <v>113</v>
      </c>
      <c r="B48" s="91" t="s">
        <v>131</v>
      </c>
      <c r="C48" s="95">
        <f t="shared" ref="C48:M48" si="25">C40-C43-C44-C45-C47-C46</f>
        <v>187.17299583333329</v>
      </c>
      <c r="D48" s="95" t="e">
        <f t="shared" si="25"/>
        <v>#DIV/0!</v>
      </c>
      <c r="E48" s="95" t="e">
        <f t="shared" si="25"/>
        <v>#DIV/0!</v>
      </c>
      <c r="F48" s="95" t="e">
        <f t="shared" si="25"/>
        <v>#DIV/0!</v>
      </c>
      <c r="G48" s="95" t="e">
        <f t="shared" si="25"/>
        <v>#DIV/0!</v>
      </c>
      <c r="H48" s="95" t="e">
        <f t="shared" si="25"/>
        <v>#DIV/0!</v>
      </c>
      <c r="I48" s="95" t="e">
        <f t="shared" si="25"/>
        <v>#DIV/0!</v>
      </c>
      <c r="J48" s="95" t="e">
        <f t="shared" si="25"/>
        <v>#DIV/0!</v>
      </c>
      <c r="K48" s="95" t="e">
        <f t="shared" si="25"/>
        <v>#DIV/0!</v>
      </c>
      <c r="L48" s="95" t="e">
        <f t="shared" si="25"/>
        <v>#DIV/0!</v>
      </c>
      <c r="M48" s="95" t="e">
        <f t="shared" si="25"/>
        <v>#DIV/0!</v>
      </c>
      <c r="N48" s="95"/>
      <c r="Y48" s="91" t="s">
        <v>131</v>
      </c>
      <c r="AO48" s="87" t="s">
        <v>130</v>
      </c>
      <c r="AP48" s="91" t="s">
        <v>131</v>
      </c>
    </row>
    <row r="51" spans="2:19"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</row>
    <row r="54" spans="2:19">
      <c r="B54" s="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2"/>
      <c r="P54" s="2"/>
      <c r="Q54" s="2"/>
      <c r="R54" s="2"/>
      <c r="S54" s="2"/>
    </row>
    <row r="55" spans="2:19">
      <c r="B55" s="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2"/>
      <c r="P55" s="2"/>
      <c r="Q55" s="2"/>
      <c r="R55" s="2"/>
      <c r="S55" s="2"/>
    </row>
    <row r="56" spans="2:19">
      <c r="B56" s="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2"/>
      <c r="P56" s="2"/>
      <c r="Q56" s="2"/>
      <c r="R56" s="2"/>
      <c r="S56" s="2"/>
    </row>
    <row r="57" spans="2:19">
      <c r="B57" s="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2"/>
      <c r="P57" s="2"/>
      <c r="Q57" s="2"/>
      <c r="R57" s="2"/>
      <c r="S57" s="2"/>
    </row>
    <row r="58" spans="2:19">
      <c r="B58" s="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2"/>
      <c r="P58" s="2"/>
      <c r="Q58" s="2"/>
      <c r="R58" s="2"/>
      <c r="S58" s="2"/>
    </row>
    <row r="59" spans="2:19">
      <c r="B59" s="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2"/>
      <c r="P59" s="2"/>
      <c r="Q59" s="2"/>
      <c r="R59" s="2"/>
      <c r="S59" s="2"/>
    </row>
    <row r="60" spans="2:19">
      <c r="B60" s="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2"/>
      <c r="P60" s="2"/>
      <c r="Q60" s="2"/>
      <c r="R60" s="2"/>
      <c r="S60" s="2"/>
    </row>
    <row r="61" spans="2:19">
      <c r="B61" s="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2"/>
      <c r="P61" s="2"/>
      <c r="Q61" s="2"/>
      <c r="R61" s="2"/>
      <c r="S61" s="2"/>
    </row>
    <row r="62" spans="2:19">
      <c r="B62" s="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2"/>
      <c r="P62" s="2"/>
      <c r="Q62" s="2"/>
      <c r="R62" s="2"/>
      <c r="S62" s="2"/>
    </row>
    <row r="63" spans="2:19">
      <c r="B63" s="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2"/>
      <c r="P63" s="2"/>
      <c r="Q63" s="2"/>
      <c r="R63" s="2"/>
      <c r="S63" s="2"/>
    </row>
    <row r="64" spans="2:19">
      <c r="B64" s="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2"/>
      <c r="P64" s="2"/>
      <c r="Q64" s="2"/>
      <c r="R64" s="2"/>
      <c r="S64" s="2"/>
    </row>
    <row r="65" spans="2:19">
      <c r="B65" s="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2"/>
      <c r="P65" s="2"/>
      <c r="Q65" s="2"/>
      <c r="R65" s="2"/>
      <c r="S65" s="2"/>
    </row>
    <row r="66" spans="2:19">
      <c r="B66" s="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2"/>
      <c r="P66" s="2"/>
      <c r="Q66" s="2"/>
      <c r="R66" s="2"/>
      <c r="S66" s="2"/>
    </row>
    <row r="67" spans="2:19">
      <c r="B67" s="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2"/>
    </row>
    <row r="68" spans="2:19">
      <c r="B68" s="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2"/>
    </row>
    <row r="69" spans="2:19">
      <c r="B69" s="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2"/>
    </row>
    <row r="70" spans="2:19">
      <c r="B70" s="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2"/>
    </row>
    <row r="71" spans="2:19">
      <c r="B71" s="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2"/>
    </row>
    <row r="72" spans="2:19">
      <c r="B72" s="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2"/>
    </row>
    <row r="73" spans="2:19">
      <c r="B73" s="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2"/>
    </row>
    <row r="74" spans="2:19">
      <c r="B74" s="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2"/>
    </row>
  </sheetData>
  <mergeCells count="8">
    <mergeCell ref="A4:B4"/>
    <mergeCell ref="A5:B5"/>
    <mergeCell ref="N3:N5"/>
    <mergeCell ref="A1:B1"/>
    <mergeCell ref="C1:N1"/>
    <mergeCell ref="A2:B2"/>
    <mergeCell ref="C2:N2"/>
    <mergeCell ref="A3:B3"/>
  </mergeCells>
  <phoneticPr fontId="40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4"/>
  <sheetViews>
    <sheetView zoomScale="85" zoomScaleNormal="85" workbookViewId="0">
      <pane xSplit="2" ySplit="7" topLeftCell="C14" activePane="bottomRight" state="frozen"/>
      <selection pane="topRight"/>
      <selection pane="bottomLeft"/>
      <selection pane="bottomRight" activeCell="A25" sqref="A25:XFD25"/>
    </sheetView>
  </sheetViews>
  <sheetFormatPr defaultColWidth="9" defaultRowHeight="16.5"/>
  <cols>
    <col min="1" max="1" width="5.125" style="84" customWidth="1"/>
    <col min="2" max="2" width="17.5" style="84" customWidth="1"/>
    <col min="3" max="13" width="11.75" style="85" customWidth="1"/>
    <col min="14" max="14" width="18.75" style="85" customWidth="1"/>
    <col min="15" max="15" width="12.375" style="84" customWidth="1"/>
    <col min="16" max="16" width="10.125" style="84" customWidth="1"/>
    <col min="17" max="23" width="9" style="84" customWidth="1"/>
    <col min="24" max="40" width="9" style="84"/>
    <col min="41" max="41" width="4.375" style="84" customWidth="1"/>
    <col min="42" max="42" width="13.875" style="84" customWidth="1"/>
    <col min="43" max="16384" width="9" style="84"/>
  </cols>
  <sheetData>
    <row r="1" spans="1:43">
      <c r="A1" s="197" t="s">
        <v>141</v>
      </c>
      <c r="B1" s="197"/>
      <c r="C1" s="201" t="s">
        <v>251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3"/>
    </row>
    <row r="2" spans="1:43">
      <c r="A2" s="197" t="s">
        <v>142</v>
      </c>
      <c r="B2" s="197"/>
      <c r="C2" s="204" t="str">
        <f>'2023年'!$C$2</f>
        <v>一汽解放青岛汽车有限公司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1:43" ht="33">
      <c r="A3" s="197" t="s">
        <v>143</v>
      </c>
      <c r="B3" s="197"/>
      <c r="C3" s="12" t="str">
        <f>'2023年'!C3</f>
        <v>驾驶员座总成</v>
      </c>
      <c r="D3" s="12">
        <f>'2023年'!D3</f>
        <v>0</v>
      </c>
      <c r="E3" s="12">
        <f>'2023年'!E3</f>
        <v>0</v>
      </c>
      <c r="F3" s="12">
        <f>'2023年'!F3</f>
        <v>0</v>
      </c>
      <c r="G3" s="12">
        <f>'2023年'!G3</f>
        <v>0</v>
      </c>
      <c r="H3" s="12">
        <f>'2023年'!H3</f>
        <v>0</v>
      </c>
      <c r="I3" s="12">
        <f>'2023年'!I3</f>
        <v>0</v>
      </c>
      <c r="J3" s="12">
        <f>'2023年'!J3</f>
        <v>0</v>
      </c>
      <c r="K3" s="12">
        <f>'2023年'!K3</f>
        <v>0</v>
      </c>
      <c r="L3" s="12">
        <f>'2023年'!L3</f>
        <v>0</v>
      </c>
      <c r="M3" s="12">
        <f>'2023年'!M3</f>
        <v>0</v>
      </c>
      <c r="N3" s="198" t="s">
        <v>50</v>
      </c>
    </row>
    <row r="4" spans="1:43" ht="33">
      <c r="A4" s="197" t="s">
        <v>144</v>
      </c>
      <c r="B4" s="197"/>
      <c r="C4" s="12" t="str">
        <f>'2023年'!C4</f>
        <v>6800010GE404</v>
      </c>
      <c r="D4" s="14">
        <f>'2023年'!D4</f>
        <v>0</v>
      </c>
      <c r="E4" s="14">
        <f>'2023年'!E4</f>
        <v>0</v>
      </c>
      <c r="F4" s="14">
        <f>'2023年'!F4</f>
        <v>0</v>
      </c>
      <c r="G4" s="14">
        <f>'2023年'!G4</f>
        <v>0</v>
      </c>
      <c r="H4" s="14">
        <f>'2023年'!H4</f>
        <v>0</v>
      </c>
      <c r="I4" s="14">
        <f>'2023年'!I4</f>
        <v>0</v>
      </c>
      <c r="J4" s="14">
        <f>'2023年'!J4</f>
        <v>0</v>
      </c>
      <c r="K4" s="14">
        <f>'2023年'!K4</f>
        <v>0</v>
      </c>
      <c r="L4" s="14">
        <f>'2023年'!L4</f>
        <v>0</v>
      </c>
      <c r="M4" s="14">
        <f>'2023年'!M4</f>
        <v>0</v>
      </c>
      <c r="N4" s="199"/>
    </row>
    <row r="5" spans="1:43">
      <c r="A5" s="197" t="s">
        <v>145</v>
      </c>
      <c r="B5" s="197"/>
      <c r="C5" s="46">
        <f>'2023年'!C5</f>
        <v>0</v>
      </c>
      <c r="D5" s="46">
        <f>'2023年'!D5</f>
        <v>0</v>
      </c>
      <c r="E5" s="14">
        <f>'2023年'!E5</f>
        <v>0</v>
      </c>
      <c r="F5" s="14">
        <f>'2023年'!F5</f>
        <v>0</v>
      </c>
      <c r="G5" s="46">
        <f>'2023年'!G5</f>
        <v>0</v>
      </c>
      <c r="H5" s="46">
        <f>'2023年'!H5</f>
        <v>0</v>
      </c>
      <c r="I5" s="14">
        <f>'2023年'!I5</f>
        <v>0</v>
      </c>
      <c r="J5" s="14">
        <f>'2023年'!J5</f>
        <v>0</v>
      </c>
      <c r="K5" s="14">
        <f>'2023年'!K5</f>
        <v>0</v>
      </c>
      <c r="L5" s="14">
        <f>'2023年'!L5</f>
        <v>0</v>
      </c>
      <c r="M5" s="14">
        <f>'2023年'!M5</f>
        <v>0</v>
      </c>
      <c r="N5" s="200"/>
      <c r="AQ5" s="84" t="s">
        <v>51</v>
      </c>
    </row>
    <row r="6" spans="1:43" ht="17.25">
      <c r="A6" s="87" t="s">
        <v>17</v>
      </c>
      <c r="B6" s="88" t="s">
        <v>146</v>
      </c>
      <c r="C6" s="89">
        <f>销量!C12</f>
        <v>5000</v>
      </c>
      <c r="D6" s="89">
        <f>销量!D11</f>
        <v>0</v>
      </c>
      <c r="E6" s="89">
        <f>销量!E11</f>
        <v>0</v>
      </c>
      <c r="F6" s="89">
        <f>销量!F11</f>
        <v>0</v>
      </c>
      <c r="G6" s="89">
        <f>销量!G11</f>
        <v>0</v>
      </c>
      <c r="H6" s="89">
        <f>销量!H11</f>
        <v>0</v>
      </c>
      <c r="I6" s="89">
        <f>销量!I11</f>
        <v>0</v>
      </c>
      <c r="J6" s="89">
        <f>销量!J11</f>
        <v>0</v>
      </c>
      <c r="K6" s="89">
        <f>销量!K11</f>
        <v>0</v>
      </c>
      <c r="L6" s="89">
        <f>销量!L11</f>
        <v>0</v>
      </c>
      <c r="M6" s="89">
        <f>销量!M11</f>
        <v>0</v>
      </c>
      <c r="N6" s="90">
        <f t="shared" ref="N6:N15" si="0">+SUM(C6:M6)</f>
        <v>5000</v>
      </c>
      <c r="Y6" s="88" t="s">
        <v>3</v>
      </c>
      <c r="AO6" s="87" t="s">
        <v>17</v>
      </c>
      <c r="AP6" s="88" t="s">
        <v>3</v>
      </c>
      <c r="AQ6" s="84" t="s">
        <v>52</v>
      </c>
    </row>
    <row r="7" spans="1:43">
      <c r="A7" s="190">
        <v>1</v>
      </c>
      <c r="B7" s="88" t="s">
        <v>53</v>
      </c>
      <c r="C7" s="90">
        <f>C6*销量!C8</f>
        <v>8600000</v>
      </c>
      <c r="D7" s="90">
        <f>D6*销量!D8</f>
        <v>0</v>
      </c>
      <c r="E7" s="90">
        <f>E6*销量!E8</f>
        <v>0</v>
      </c>
      <c r="F7" s="90">
        <f>F6*销量!F8</f>
        <v>0</v>
      </c>
      <c r="G7" s="90">
        <f>G6*销量!G8</f>
        <v>0</v>
      </c>
      <c r="H7" s="90">
        <f>H6*销量!H8</f>
        <v>0</v>
      </c>
      <c r="I7" s="90">
        <f>I6*销量!I8</f>
        <v>0</v>
      </c>
      <c r="J7" s="90">
        <f>J6*销量!J8</f>
        <v>0</v>
      </c>
      <c r="K7" s="90">
        <f>K6*销量!K8</f>
        <v>0</v>
      </c>
      <c r="L7" s="90">
        <f>L6*销量!L8</f>
        <v>0</v>
      </c>
      <c r="M7" s="90">
        <f>M6*销量!M8</f>
        <v>0</v>
      </c>
      <c r="N7" s="90">
        <f t="shared" si="0"/>
        <v>8600000</v>
      </c>
      <c r="O7" s="85"/>
      <c r="Y7" s="88" t="s">
        <v>53</v>
      </c>
      <c r="AO7" s="87" t="s">
        <v>54</v>
      </c>
      <c r="AP7" s="88" t="s">
        <v>53</v>
      </c>
      <c r="AQ7" s="84" t="s">
        <v>52</v>
      </c>
    </row>
    <row r="8" spans="1:43">
      <c r="A8" s="190">
        <v>2</v>
      </c>
      <c r="B8" s="190" t="s">
        <v>55</v>
      </c>
      <c r="C8" s="90">
        <f>C7*(1-销量!$Q$8)</f>
        <v>424624.99999999953</v>
      </c>
      <c r="D8" s="90">
        <f>D7*(1-销量!$Q$8)</f>
        <v>0</v>
      </c>
      <c r="E8" s="90">
        <f>E7*(1-销量!$Q$8)</f>
        <v>0</v>
      </c>
      <c r="F8" s="90">
        <f>F7*(1-销量!$Q$8)</f>
        <v>0</v>
      </c>
      <c r="G8" s="90">
        <f>G7*(1-销量!$Q$8)</f>
        <v>0</v>
      </c>
      <c r="H8" s="90">
        <f>H7*(1-销量!$Q$8)</f>
        <v>0</v>
      </c>
      <c r="I8" s="90">
        <f>I7*(1-销量!$Q$8)</f>
        <v>0</v>
      </c>
      <c r="J8" s="90">
        <f>J7*(1-销量!$Q$8)</f>
        <v>0</v>
      </c>
      <c r="K8" s="90">
        <f>K7*(1-销量!$Q$8)</f>
        <v>0</v>
      </c>
      <c r="L8" s="90">
        <f>L7*(1-销量!$Q$8)</f>
        <v>0</v>
      </c>
      <c r="M8" s="90">
        <f>M7*(1-销量!$Q$8)</f>
        <v>0</v>
      </c>
      <c r="N8" s="90">
        <f t="shared" si="0"/>
        <v>424624.99999999953</v>
      </c>
      <c r="O8" s="103"/>
      <c r="Y8" s="190" t="s">
        <v>57</v>
      </c>
      <c r="AO8" s="87" t="s">
        <v>56</v>
      </c>
      <c r="AP8" s="190" t="s">
        <v>57</v>
      </c>
      <c r="AQ8" s="84" t="s">
        <v>52</v>
      </c>
    </row>
    <row r="9" spans="1:43">
      <c r="A9" s="190">
        <v>3</v>
      </c>
      <c r="B9" s="88" t="s">
        <v>58</v>
      </c>
      <c r="C9" s="90">
        <f t="shared" ref="C9:M9" si="1">+C7-C8</f>
        <v>8175375</v>
      </c>
      <c r="D9" s="90">
        <f t="shared" si="1"/>
        <v>0</v>
      </c>
      <c r="E9" s="90">
        <f t="shared" si="1"/>
        <v>0</v>
      </c>
      <c r="F9" s="90">
        <f t="shared" si="1"/>
        <v>0</v>
      </c>
      <c r="G9" s="90">
        <f t="shared" si="1"/>
        <v>0</v>
      </c>
      <c r="H9" s="90">
        <f t="shared" si="1"/>
        <v>0</v>
      </c>
      <c r="I9" s="90">
        <f t="shared" si="1"/>
        <v>0</v>
      </c>
      <c r="J9" s="90">
        <f t="shared" si="1"/>
        <v>0</v>
      </c>
      <c r="K9" s="90">
        <f t="shared" si="1"/>
        <v>0</v>
      </c>
      <c r="L9" s="90">
        <f t="shared" si="1"/>
        <v>0</v>
      </c>
      <c r="M9" s="90">
        <f t="shared" si="1"/>
        <v>0</v>
      </c>
      <c r="N9" s="90">
        <f t="shared" si="0"/>
        <v>8175375</v>
      </c>
      <c r="Y9" s="88" t="s">
        <v>58</v>
      </c>
      <c r="AO9" s="87" t="s">
        <v>59</v>
      </c>
      <c r="AP9" s="88" t="s">
        <v>58</v>
      </c>
      <c r="AQ9" s="84" t="s">
        <v>60</v>
      </c>
    </row>
    <row r="10" spans="1:43">
      <c r="A10" s="190">
        <v>4</v>
      </c>
      <c r="B10" s="87" t="s">
        <v>61</v>
      </c>
      <c r="C10" s="90">
        <f t="shared" ref="C10:M10" si="2">C6*C33</f>
        <v>5571073.6453125002</v>
      </c>
      <c r="D10" s="90">
        <f t="shared" si="2"/>
        <v>0</v>
      </c>
      <c r="E10" s="90">
        <f t="shared" si="2"/>
        <v>0</v>
      </c>
      <c r="F10" s="90">
        <f t="shared" si="2"/>
        <v>0</v>
      </c>
      <c r="G10" s="90">
        <f t="shared" si="2"/>
        <v>0</v>
      </c>
      <c r="H10" s="90">
        <f t="shared" si="2"/>
        <v>0</v>
      </c>
      <c r="I10" s="90">
        <f t="shared" si="2"/>
        <v>0</v>
      </c>
      <c r="J10" s="90">
        <f t="shared" si="2"/>
        <v>0</v>
      </c>
      <c r="K10" s="90">
        <f t="shared" si="2"/>
        <v>0</v>
      </c>
      <c r="L10" s="90">
        <f t="shared" si="2"/>
        <v>0</v>
      </c>
      <c r="M10" s="90">
        <f t="shared" si="2"/>
        <v>0</v>
      </c>
      <c r="N10" s="90">
        <f t="shared" si="0"/>
        <v>5571073.6453125002</v>
      </c>
      <c r="Y10" s="87" t="s">
        <v>61</v>
      </c>
      <c r="AO10" s="87" t="s">
        <v>62</v>
      </c>
      <c r="AP10" s="87" t="s">
        <v>61</v>
      </c>
      <c r="AQ10" s="84" t="s">
        <v>63</v>
      </c>
    </row>
    <row r="11" spans="1:43">
      <c r="A11" s="190">
        <v>5</v>
      </c>
      <c r="B11" s="87" t="s">
        <v>64</v>
      </c>
      <c r="C11" s="90">
        <f t="shared" ref="C11:M11" si="3">+C6*C36</f>
        <v>370660</v>
      </c>
      <c r="D11" s="90">
        <f t="shared" si="3"/>
        <v>0</v>
      </c>
      <c r="E11" s="90">
        <f t="shared" si="3"/>
        <v>0</v>
      </c>
      <c r="F11" s="90">
        <f t="shared" si="3"/>
        <v>0</v>
      </c>
      <c r="G11" s="90">
        <f t="shared" si="3"/>
        <v>0</v>
      </c>
      <c r="H11" s="90">
        <f t="shared" si="3"/>
        <v>0</v>
      </c>
      <c r="I11" s="90">
        <f t="shared" si="3"/>
        <v>0</v>
      </c>
      <c r="J11" s="90">
        <f t="shared" si="3"/>
        <v>0</v>
      </c>
      <c r="K11" s="90">
        <f t="shared" si="3"/>
        <v>0</v>
      </c>
      <c r="L11" s="90">
        <f t="shared" si="3"/>
        <v>0</v>
      </c>
      <c r="M11" s="90">
        <f t="shared" si="3"/>
        <v>0</v>
      </c>
      <c r="N11" s="90">
        <f t="shared" si="0"/>
        <v>370660</v>
      </c>
      <c r="Y11" s="87" t="s">
        <v>64</v>
      </c>
      <c r="AO11" s="87" t="s">
        <v>65</v>
      </c>
      <c r="AP11" s="87" t="s">
        <v>64</v>
      </c>
    </row>
    <row r="12" spans="1:43">
      <c r="A12" s="190">
        <v>6</v>
      </c>
      <c r="B12" s="87" t="s">
        <v>66</v>
      </c>
      <c r="C12" s="90">
        <f t="shared" ref="C12:M12" si="4">+C6*C37</f>
        <v>186620</v>
      </c>
      <c r="D12" s="90">
        <f t="shared" si="4"/>
        <v>0</v>
      </c>
      <c r="E12" s="90">
        <f t="shared" si="4"/>
        <v>0</v>
      </c>
      <c r="F12" s="90">
        <f t="shared" si="4"/>
        <v>0</v>
      </c>
      <c r="G12" s="90">
        <f t="shared" si="4"/>
        <v>0</v>
      </c>
      <c r="H12" s="90">
        <f t="shared" si="4"/>
        <v>0</v>
      </c>
      <c r="I12" s="90">
        <f t="shared" si="4"/>
        <v>0</v>
      </c>
      <c r="J12" s="90">
        <f t="shared" si="4"/>
        <v>0</v>
      </c>
      <c r="K12" s="90">
        <f t="shared" si="4"/>
        <v>0</v>
      </c>
      <c r="L12" s="90">
        <f t="shared" si="4"/>
        <v>0</v>
      </c>
      <c r="M12" s="90">
        <f t="shared" si="4"/>
        <v>0</v>
      </c>
      <c r="N12" s="90">
        <f t="shared" si="0"/>
        <v>186620</v>
      </c>
      <c r="Y12" s="87" t="s">
        <v>66</v>
      </c>
      <c r="AO12" s="87" t="s">
        <v>67</v>
      </c>
      <c r="AP12" s="87" t="s">
        <v>66</v>
      </c>
    </row>
    <row r="13" spans="1:43">
      <c r="A13" s="190">
        <v>7</v>
      </c>
      <c r="B13" s="87" t="s">
        <v>68</v>
      </c>
      <c r="C13" s="90">
        <f t="shared" ref="C13:M13" si="5">+C6*C38</f>
        <v>378399.99999999994</v>
      </c>
      <c r="D13" s="90">
        <f t="shared" si="5"/>
        <v>0</v>
      </c>
      <c r="E13" s="90">
        <f t="shared" si="5"/>
        <v>0</v>
      </c>
      <c r="F13" s="90">
        <f t="shared" si="5"/>
        <v>0</v>
      </c>
      <c r="G13" s="90">
        <f t="shared" si="5"/>
        <v>0</v>
      </c>
      <c r="H13" s="90">
        <f t="shared" si="5"/>
        <v>0</v>
      </c>
      <c r="I13" s="90">
        <f t="shared" si="5"/>
        <v>0</v>
      </c>
      <c r="J13" s="90">
        <f t="shared" si="5"/>
        <v>0</v>
      </c>
      <c r="K13" s="90">
        <f t="shared" si="5"/>
        <v>0</v>
      </c>
      <c r="L13" s="90">
        <f t="shared" si="5"/>
        <v>0</v>
      </c>
      <c r="M13" s="90">
        <f t="shared" si="5"/>
        <v>0</v>
      </c>
      <c r="N13" s="90">
        <f t="shared" si="0"/>
        <v>378399.99999999994</v>
      </c>
      <c r="Y13" s="87" t="s">
        <v>68</v>
      </c>
      <c r="AO13" s="87" t="s">
        <v>69</v>
      </c>
      <c r="AP13" s="87" t="s">
        <v>68</v>
      </c>
      <c r="AQ13" s="84" t="s">
        <v>52</v>
      </c>
    </row>
    <row r="14" spans="1:43">
      <c r="A14" s="190">
        <v>8</v>
      </c>
      <c r="B14" s="91" t="s">
        <v>70</v>
      </c>
      <c r="C14" s="90">
        <f t="shared" ref="C14:M14" si="6">SUM(C11:C13)</f>
        <v>935680</v>
      </c>
      <c r="D14" s="90">
        <f t="shared" si="6"/>
        <v>0</v>
      </c>
      <c r="E14" s="90">
        <f t="shared" si="6"/>
        <v>0</v>
      </c>
      <c r="F14" s="90">
        <f t="shared" si="6"/>
        <v>0</v>
      </c>
      <c r="G14" s="90">
        <f t="shared" si="6"/>
        <v>0</v>
      </c>
      <c r="H14" s="90">
        <f t="shared" si="6"/>
        <v>0</v>
      </c>
      <c r="I14" s="90">
        <f t="shared" si="6"/>
        <v>0</v>
      </c>
      <c r="J14" s="90">
        <f t="shared" si="6"/>
        <v>0</v>
      </c>
      <c r="K14" s="90">
        <f t="shared" si="6"/>
        <v>0</v>
      </c>
      <c r="L14" s="90">
        <f t="shared" si="6"/>
        <v>0</v>
      </c>
      <c r="M14" s="90">
        <f t="shared" si="6"/>
        <v>0</v>
      </c>
      <c r="N14" s="90">
        <f t="shared" si="0"/>
        <v>935680</v>
      </c>
      <c r="Y14" s="91" t="s">
        <v>70</v>
      </c>
      <c r="AO14" s="87" t="s">
        <v>71</v>
      </c>
      <c r="AP14" s="91" t="s">
        <v>70</v>
      </c>
    </row>
    <row r="15" spans="1:43">
      <c r="A15" s="190">
        <v>9</v>
      </c>
      <c r="B15" s="91" t="s">
        <v>72</v>
      </c>
      <c r="C15" s="90">
        <f t="shared" ref="C15:M15" si="7">+C9-C10-C14</f>
        <v>1668621.3546874998</v>
      </c>
      <c r="D15" s="90">
        <f t="shared" si="7"/>
        <v>0</v>
      </c>
      <c r="E15" s="90">
        <f t="shared" si="7"/>
        <v>0</v>
      </c>
      <c r="F15" s="90">
        <f t="shared" si="7"/>
        <v>0</v>
      </c>
      <c r="G15" s="90">
        <f t="shared" si="7"/>
        <v>0</v>
      </c>
      <c r="H15" s="90">
        <f t="shared" si="7"/>
        <v>0</v>
      </c>
      <c r="I15" s="90">
        <f t="shared" si="7"/>
        <v>0</v>
      </c>
      <c r="J15" s="90">
        <f t="shared" si="7"/>
        <v>0</v>
      </c>
      <c r="K15" s="90">
        <f t="shared" si="7"/>
        <v>0</v>
      </c>
      <c r="L15" s="90">
        <f t="shared" si="7"/>
        <v>0</v>
      </c>
      <c r="M15" s="90">
        <f t="shared" si="7"/>
        <v>0</v>
      </c>
      <c r="N15" s="90">
        <f t="shared" si="0"/>
        <v>1668621.3546874998</v>
      </c>
      <c r="Y15" s="91" t="s">
        <v>72</v>
      </c>
      <c r="AO15" s="87" t="s">
        <v>73</v>
      </c>
      <c r="AP15" s="91" t="s">
        <v>72</v>
      </c>
    </row>
    <row r="16" spans="1:43">
      <c r="A16" s="190">
        <v>10</v>
      </c>
      <c r="B16" s="87" t="s">
        <v>74</v>
      </c>
      <c r="C16" s="92">
        <f t="shared" ref="C16:N16" si="8">+C15/C9</f>
        <v>0.20410334139871258</v>
      </c>
      <c r="D16" s="92" t="e">
        <f t="shared" si="8"/>
        <v>#DIV/0!</v>
      </c>
      <c r="E16" s="92" t="e">
        <f t="shared" si="8"/>
        <v>#DIV/0!</v>
      </c>
      <c r="F16" s="92" t="e">
        <f t="shared" si="8"/>
        <v>#DIV/0!</v>
      </c>
      <c r="G16" s="92" t="e">
        <f t="shared" si="8"/>
        <v>#DIV/0!</v>
      </c>
      <c r="H16" s="92" t="e">
        <f t="shared" si="8"/>
        <v>#DIV/0!</v>
      </c>
      <c r="I16" s="92" t="e">
        <f t="shared" si="8"/>
        <v>#DIV/0!</v>
      </c>
      <c r="J16" s="92" t="e">
        <f t="shared" si="8"/>
        <v>#DIV/0!</v>
      </c>
      <c r="K16" s="92" t="e">
        <f t="shared" si="8"/>
        <v>#DIV/0!</v>
      </c>
      <c r="L16" s="92" t="e">
        <f t="shared" si="8"/>
        <v>#DIV/0!</v>
      </c>
      <c r="M16" s="92" t="e">
        <f t="shared" si="8"/>
        <v>#DIV/0!</v>
      </c>
      <c r="N16" s="92">
        <f t="shared" si="8"/>
        <v>0.20410334139871258</v>
      </c>
      <c r="O16" s="104"/>
      <c r="P16" s="104"/>
      <c r="Q16" s="104"/>
      <c r="Y16" s="87" t="s">
        <v>74</v>
      </c>
      <c r="AO16" s="87" t="s">
        <v>75</v>
      </c>
      <c r="AP16" s="87" t="s">
        <v>74</v>
      </c>
    </row>
    <row r="17" spans="1:43">
      <c r="A17" s="190">
        <v>11</v>
      </c>
      <c r="B17" s="87" t="s">
        <v>76</v>
      </c>
      <c r="C17" s="90">
        <f t="shared" ref="C17:M17" si="9">C6*C43+C18</f>
        <v>465460</v>
      </c>
      <c r="D17" s="90">
        <f t="shared" si="9"/>
        <v>0</v>
      </c>
      <c r="E17" s="90">
        <f t="shared" si="9"/>
        <v>0</v>
      </c>
      <c r="F17" s="90">
        <f t="shared" si="9"/>
        <v>0</v>
      </c>
      <c r="G17" s="90">
        <f t="shared" si="9"/>
        <v>0</v>
      </c>
      <c r="H17" s="90">
        <f t="shared" si="9"/>
        <v>0</v>
      </c>
      <c r="I17" s="90">
        <f t="shared" si="9"/>
        <v>0</v>
      </c>
      <c r="J17" s="90">
        <f t="shared" si="9"/>
        <v>0</v>
      </c>
      <c r="K17" s="90">
        <f t="shared" si="9"/>
        <v>0</v>
      </c>
      <c r="L17" s="90">
        <f t="shared" si="9"/>
        <v>0</v>
      </c>
      <c r="M17" s="90">
        <f t="shared" si="9"/>
        <v>0</v>
      </c>
      <c r="N17" s="90">
        <f t="shared" ref="N17:N20" si="10">+SUM(C17:M17)</f>
        <v>465460</v>
      </c>
      <c r="O17" s="103"/>
      <c r="Y17" s="87" t="s">
        <v>76</v>
      </c>
      <c r="AO17" s="87" t="s">
        <v>77</v>
      </c>
      <c r="AP17" s="87" t="s">
        <v>76</v>
      </c>
    </row>
    <row r="18" spans="1:43" s="82" customFormat="1">
      <c r="A18" s="190">
        <v>12</v>
      </c>
      <c r="B18" s="93" t="s">
        <v>147</v>
      </c>
      <c r="C18" s="94">
        <f t="shared" ref="C18:M18" si="11">$N$18/$N$6*C6</f>
        <v>112860</v>
      </c>
      <c r="D18" s="94">
        <f t="shared" si="11"/>
        <v>0</v>
      </c>
      <c r="E18" s="94">
        <f t="shared" si="11"/>
        <v>0</v>
      </c>
      <c r="F18" s="94">
        <f t="shared" si="11"/>
        <v>0</v>
      </c>
      <c r="G18" s="94">
        <f t="shared" si="11"/>
        <v>0</v>
      </c>
      <c r="H18" s="94">
        <f t="shared" si="11"/>
        <v>0</v>
      </c>
      <c r="I18" s="94">
        <f t="shared" si="11"/>
        <v>0</v>
      </c>
      <c r="J18" s="94">
        <f t="shared" si="11"/>
        <v>0</v>
      </c>
      <c r="K18" s="94">
        <f t="shared" si="11"/>
        <v>0</v>
      </c>
      <c r="L18" s="94">
        <f t="shared" si="11"/>
        <v>0</v>
      </c>
      <c r="M18" s="94">
        <f t="shared" si="11"/>
        <v>0</v>
      </c>
      <c r="N18" s="90">
        <f>项目投资!F26</f>
        <v>112860</v>
      </c>
      <c r="O18" s="105" t="s">
        <v>148</v>
      </c>
      <c r="P18" s="105"/>
      <c r="Q18" s="105"/>
    </row>
    <row r="19" spans="1:43">
      <c r="A19" s="190">
        <v>13</v>
      </c>
      <c r="B19" s="87" t="s">
        <v>78</v>
      </c>
      <c r="C19" s="90">
        <f t="shared" ref="C19:M19" si="12">C6*C44</f>
        <v>60200.000000000007</v>
      </c>
      <c r="D19" s="90">
        <f t="shared" si="12"/>
        <v>0</v>
      </c>
      <c r="E19" s="90">
        <f t="shared" si="12"/>
        <v>0</v>
      </c>
      <c r="F19" s="90">
        <f t="shared" si="12"/>
        <v>0</v>
      </c>
      <c r="G19" s="90">
        <f t="shared" si="12"/>
        <v>0</v>
      </c>
      <c r="H19" s="90">
        <f t="shared" si="12"/>
        <v>0</v>
      </c>
      <c r="I19" s="90">
        <f t="shared" si="12"/>
        <v>0</v>
      </c>
      <c r="J19" s="90">
        <f t="shared" si="12"/>
        <v>0</v>
      </c>
      <c r="K19" s="90">
        <f t="shared" si="12"/>
        <v>0</v>
      </c>
      <c r="L19" s="90">
        <f t="shared" si="12"/>
        <v>0</v>
      </c>
      <c r="M19" s="90">
        <f t="shared" si="12"/>
        <v>0</v>
      </c>
      <c r="N19" s="90">
        <f t="shared" si="10"/>
        <v>60200.000000000007</v>
      </c>
      <c r="O19" s="82"/>
      <c r="Y19" s="87" t="s">
        <v>78</v>
      </c>
      <c r="AO19" s="87" t="s">
        <v>79</v>
      </c>
      <c r="AP19" s="87" t="s">
        <v>78</v>
      </c>
      <c r="AQ19" s="84" t="s">
        <v>52</v>
      </c>
    </row>
    <row r="20" spans="1:43">
      <c r="A20" s="190">
        <v>14</v>
      </c>
      <c r="B20" s="87" t="s">
        <v>80</v>
      </c>
      <c r="C20" s="90">
        <f t="shared" ref="C20:M20" si="13">C6*C45</f>
        <v>292400</v>
      </c>
      <c r="D20" s="90">
        <f t="shared" si="13"/>
        <v>0</v>
      </c>
      <c r="E20" s="90">
        <f t="shared" si="13"/>
        <v>0</v>
      </c>
      <c r="F20" s="90">
        <f t="shared" si="13"/>
        <v>0</v>
      </c>
      <c r="G20" s="90">
        <f t="shared" si="13"/>
        <v>0</v>
      </c>
      <c r="H20" s="90">
        <f t="shared" si="13"/>
        <v>0</v>
      </c>
      <c r="I20" s="90">
        <f t="shared" si="13"/>
        <v>0</v>
      </c>
      <c r="J20" s="90">
        <f t="shared" si="13"/>
        <v>0</v>
      </c>
      <c r="K20" s="90">
        <f t="shared" si="13"/>
        <v>0</v>
      </c>
      <c r="L20" s="90">
        <f t="shared" si="13"/>
        <v>0</v>
      </c>
      <c r="M20" s="90">
        <f t="shared" si="13"/>
        <v>0</v>
      </c>
      <c r="N20" s="90">
        <f t="shared" si="10"/>
        <v>292400</v>
      </c>
      <c r="Y20" s="87" t="s">
        <v>80</v>
      </c>
      <c r="AO20" s="87" t="s">
        <v>81</v>
      </c>
      <c r="AP20" s="87" t="s">
        <v>80</v>
      </c>
    </row>
    <row r="21" spans="1:43">
      <c r="A21" s="190">
        <v>15</v>
      </c>
      <c r="B21" s="87" t="s">
        <v>82</v>
      </c>
      <c r="C21" s="95">
        <f t="shared" ref="C21:M21" si="14">$N$21/$N$6*C6</f>
        <v>30800</v>
      </c>
      <c r="D21" s="95">
        <f t="shared" si="14"/>
        <v>0</v>
      </c>
      <c r="E21" s="95">
        <f t="shared" si="14"/>
        <v>0</v>
      </c>
      <c r="F21" s="95">
        <f t="shared" si="14"/>
        <v>0</v>
      </c>
      <c r="G21" s="95">
        <f t="shared" si="14"/>
        <v>0</v>
      </c>
      <c r="H21" s="95">
        <f t="shared" si="14"/>
        <v>0</v>
      </c>
      <c r="I21" s="95">
        <f t="shared" si="14"/>
        <v>0</v>
      </c>
      <c r="J21" s="95">
        <f t="shared" si="14"/>
        <v>0</v>
      </c>
      <c r="K21" s="95">
        <f t="shared" si="14"/>
        <v>0</v>
      </c>
      <c r="L21" s="95">
        <f t="shared" si="14"/>
        <v>0</v>
      </c>
      <c r="M21" s="95">
        <f t="shared" si="14"/>
        <v>0</v>
      </c>
      <c r="N21" s="90">
        <f>项目投资!F27</f>
        <v>30800</v>
      </c>
      <c r="Y21" s="87" t="s">
        <v>82</v>
      </c>
      <c r="AO21" s="87"/>
      <c r="AP21" s="87"/>
    </row>
    <row r="22" spans="1:43">
      <c r="A22" s="190">
        <v>16</v>
      </c>
      <c r="B22" s="87" t="s">
        <v>83</v>
      </c>
      <c r="C22" s="90">
        <f t="shared" ref="C22:M22" si="15">C6*C47</f>
        <v>258000</v>
      </c>
      <c r="D22" s="90">
        <f t="shared" si="15"/>
        <v>0</v>
      </c>
      <c r="E22" s="90">
        <f t="shared" si="15"/>
        <v>0</v>
      </c>
      <c r="F22" s="90">
        <f t="shared" si="15"/>
        <v>0</v>
      </c>
      <c r="G22" s="90">
        <f t="shared" si="15"/>
        <v>0</v>
      </c>
      <c r="H22" s="90">
        <f t="shared" si="15"/>
        <v>0</v>
      </c>
      <c r="I22" s="90">
        <f t="shared" si="15"/>
        <v>0</v>
      </c>
      <c r="J22" s="90">
        <f t="shared" si="15"/>
        <v>0</v>
      </c>
      <c r="K22" s="90">
        <f t="shared" si="15"/>
        <v>0</v>
      </c>
      <c r="L22" s="90">
        <f t="shared" si="15"/>
        <v>0</v>
      </c>
      <c r="M22" s="90">
        <f t="shared" si="15"/>
        <v>0</v>
      </c>
      <c r="N22" s="90">
        <f>+SUM(C22:M22)</f>
        <v>258000</v>
      </c>
      <c r="Y22" s="87" t="s">
        <v>83</v>
      </c>
      <c r="AO22" s="87" t="s">
        <v>84</v>
      </c>
      <c r="AP22" s="87" t="s">
        <v>83</v>
      </c>
    </row>
    <row r="23" spans="1:43">
      <c r="A23" s="190">
        <v>17</v>
      </c>
      <c r="B23" s="91" t="s">
        <v>85</v>
      </c>
      <c r="C23" s="95">
        <f t="shared" ref="C23:N23" si="16">+C22+C21+C20+C19+C17</f>
        <v>1106860</v>
      </c>
      <c r="D23" s="95">
        <f t="shared" si="16"/>
        <v>0</v>
      </c>
      <c r="E23" s="95">
        <f t="shared" si="16"/>
        <v>0</v>
      </c>
      <c r="F23" s="95">
        <f t="shared" si="16"/>
        <v>0</v>
      </c>
      <c r="G23" s="95">
        <f t="shared" si="16"/>
        <v>0</v>
      </c>
      <c r="H23" s="95">
        <f t="shared" si="16"/>
        <v>0</v>
      </c>
      <c r="I23" s="95">
        <f t="shared" si="16"/>
        <v>0</v>
      </c>
      <c r="J23" s="95">
        <f t="shared" si="16"/>
        <v>0</v>
      </c>
      <c r="K23" s="95">
        <f t="shared" si="16"/>
        <v>0</v>
      </c>
      <c r="L23" s="95">
        <f t="shared" si="16"/>
        <v>0</v>
      </c>
      <c r="M23" s="95">
        <f t="shared" si="16"/>
        <v>0</v>
      </c>
      <c r="N23" s="95">
        <f t="shared" si="16"/>
        <v>1106860</v>
      </c>
      <c r="Y23" s="91" t="s">
        <v>85</v>
      </c>
      <c r="AO23" s="87" t="s">
        <v>86</v>
      </c>
      <c r="AP23" s="91" t="s">
        <v>85</v>
      </c>
    </row>
    <row r="24" spans="1:43">
      <c r="A24" s="190">
        <v>18</v>
      </c>
      <c r="B24" s="96" t="s">
        <v>87</v>
      </c>
      <c r="C24" s="95">
        <f t="shared" ref="C24:N24" si="17">+C15-C23</f>
        <v>561761.35468749981</v>
      </c>
      <c r="D24" s="95">
        <f t="shared" si="17"/>
        <v>0</v>
      </c>
      <c r="E24" s="95">
        <f t="shared" si="17"/>
        <v>0</v>
      </c>
      <c r="F24" s="95">
        <f t="shared" si="17"/>
        <v>0</v>
      </c>
      <c r="G24" s="95">
        <f t="shared" si="17"/>
        <v>0</v>
      </c>
      <c r="H24" s="95">
        <f t="shared" si="17"/>
        <v>0</v>
      </c>
      <c r="I24" s="95">
        <f t="shared" si="17"/>
        <v>0</v>
      </c>
      <c r="J24" s="95">
        <f t="shared" si="17"/>
        <v>0</v>
      </c>
      <c r="K24" s="95">
        <f t="shared" si="17"/>
        <v>0</v>
      </c>
      <c r="L24" s="95">
        <f t="shared" si="17"/>
        <v>0</v>
      </c>
      <c r="M24" s="95">
        <f t="shared" si="17"/>
        <v>0</v>
      </c>
      <c r="N24" s="95">
        <f t="shared" si="17"/>
        <v>561761.35468749981</v>
      </c>
      <c r="P24" s="106"/>
      <c r="Y24" s="87" t="s">
        <v>87</v>
      </c>
      <c r="AO24" s="87" t="s">
        <v>88</v>
      </c>
      <c r="AP24" s="87" t="s">
        <v>87</v>
      </c>
    </row>
    <row r="25" spans="1:43">
      <c r="A25" s="190">
        <v>19</v>
      </c>
      <c r="B25" s="87" t="s">
        <v>284</v>
      </c>
      <c r="C25" s="95">
        <f>IF(C24&lt;0,0,C24*0.15)</f>
        <v>84264.203203124969</v>
      </c>
      <c r="D25" s="95">
        <f t="shared" ref="D25:N25" si="18">IF(D24&lt;0,0,D24*0.15)</f>
        <v>0</v>
      </c>
      <c r="E25" s="95">
        <f t="shared" si="18"/>
        <v>0</v>
      </c>
      <c r="F25" s="95">
        <f t="shared" si="18"/>
        <v>0</v>
      </c>
      <c r="G25" s="95">
        <f t="shared" si="18"/>
        <v>0</v>
      </c>
      <c r="H25" s="95">
        <f t="shared" si="18"/>
        <v>0</v>
      </c>
      <c r="I25" s="95">
        <f t="shared" si="18"/>
        <v>0</v>
      </c>
      <c r="J25" s="95">
        <f t="shared" si="18"/>
        <v>0</v>
      </c>
      <c r="K25" s="95">
        <f t="shared" si="18"/>
        <v>0</v>
      </c>
      <c r="L25" s="95">
        <f t="shared" si="18"/>
        <v>0</v>
      </c>
      <c r="M25" s="95">
        <f t="shared" si="18"/>
        <v>0</v>
      </c>
      <c r="N25" s="95">
        <f t="shared" si="18"/>
        <v>84264.203203124969</v>
      </c>
      <c r="O25" s="2"/>
      <c r="P25" s="2"/>
      <c r="Q25" s="2"/>
      <c r="Y25" s="87" t="s">
        <v>34</v>
      </c>
      <c r="AO25" s="87" t="s">
        <v>89</v>
      </c>
      <c r="AP25" s="87" t="s">
        <v>34</v>
      </c>
    </row>
    <row r="26" spans="1:43">
      <c r="A26" s="190">
        <v>20</v>
      </c>
      <c r="B26" s="87" t="s">
        <v>90</v>
      </c>
      <c r="C26" s="95">
        <f t="shared" ref="C26:M26" si="19">C24-C25</f>
        <v>477497.15148437483</v>
      </c>
      <c r="D26" s="95">
        <f t="shared" si="19"/>
        <v>0</v>
      </c>
      <c r="E26" s="95">
        <f t="shared" si="19"/>
        <v>0</v>
      </c>
      <c r="F26" s="95">
        <f t="shared" si="19"/>
        <v>0</v>
      </c>
      <c r="G26" s="95">
        <f t="shared" si="19"/>
        <v>0</v>
      </c>
      <c r="H26" s="95">
        <f t="shared" si="19"/>
        <v>0</v>
      </c>
      <c r="I26" s="95">
        <f t="shared" si="19"/>
        <v>0</v>
      </c>
      <c r="J26" s="95">
        <f t="shared" si="19"/>
        <v>0</v>
      </c>
      <c r="K26" s="95">
        <f t="shared" si="19"/>
        <v>0</v>
      </c>
      <c r="L26" s="95">
        <f t="shared" si="19"/>
        <v>0</v>
      </c>
      <c r="M26" s="95">
        <f t="shared" si="19"/>
        <v>0</v>
      </c>
      <c r="N26" s="90">
        <f>+SUM(C26:M26)</f>
        <v>477497.15148437483</v>
      </c>
      <c r="O26" s="2"/>
      <c r="P26" s="2"/>
      <c r="Q26" s="2"/>
      <c r="Y26" s="87" t="s">
        <v>90</v>
      </c>
      <c r="AO26" s="87" t="s">
        <v>91</v>
      </c>
      <c r="AP26" s="87" t="s">
        <v>90</v>
      </c>
    </row>
    <row r="27" spans="1:43">
      <c r="A27" s="190">
        <v>21</v>
      </c>
      <c r="B27" s="87" t="s">
        <v>94</v>
      </c>
      <c r="C27" s="97">
        <f t="shared" ref="C27:N27" si="20">C26/C7</f>
        <v>5.5522924591206377E-2</v>
      </c>
      <c r="D27" s="97" t="e">
        <f t="shared" si="20"/>
        <v>#DIV/0!</v>
      </c>
      <c r="E27" s="97" t="e">
        <f t="shared" si="20"/>
        <v>#DIV/0!</v>
      </c>
      <c r="F27" s="97" t="e">
        <f t="shared" si="20"/>
        <v>#DIV/0!</v>
      </c>
      <c r="G27" s="97" t="e">
        <f t="shared" si="20"/>
        <v>#DIV/0!</v>
      </c>
      <c r="H27" s="97" t="e">
        <f t="shared" si="20"/>
        <v>#DIV/0!</v>
      </c>
      <c r="I27" s="97" t="e">
        <f t="shared" si="20"/>
        <v>#DIV/0!</v>
      </c>
      <c r="J27" s="97" t="e">
        <f t="shared" si="20"/>
        <v>#DIV/0!</v>
      </c>
      <c r="K27" s="97" t="e">
        <f t="shared" si="20"/>
        <v>#DIV/0!</v>
      </c>
      <c r="L27" s="97" t="e">
        <f t="shared" si="20"/>
        <v>#DIV/0!</v>
      </c>
      <c r="M27" s="97" t="e">
        <f t="shared" si="20"/>
        <v>#DIV/0!</v>
      </c>
      <c r="N27" s="107">
        <f t="shared" si="20"/>
        <v>5.5522924591206377E-2</v>
      </c>
      <c r="O27" s="2"/>
      <c r="P27" s="2"/>
      <c r="Q27" s="2"/>
      <c r="Y27" s="87" t="s">
        <v>94</v>
      </c>
      <c r="AO27" s="87" t="s">
        <v>93</v>
      </c>
      <c r="AP27" s="87" t="s">
        <v>94</v>
      </c>
    </row>
    <row r="28" spans="1:43">
      <c r="O28" s="2"/>
      <c r="P28" s="2"/>
      <c r="Q28" s="2"/>
      <c r="Y28" s="87"/>
    </row>
    <row r="29" spans="1:43">
      <c r="A29" s="84" t="s">
        <v>95</v>
      </c>
      <c r="N29" s="85" t="s">
        <v>149</v>
      </c>
      <c r="O29" s="2"/>
      <c r="P29" s="2"/>
      <c r="Q29" s="2"/>
      <c r="Y29" s="87"/>
      <c r="AO29" s="84" t="s">
        <v>95</v>
      </c>
    </row>
    <row r="30" spans="1:43">
      <c r="A30" s="87" t="s">
        <v>96</v>
      </c>
      <c r="B30" s="91" t="s">
        <v>97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2"/>
      <c r="P30" s="2"/>
      <c r="Q30" s="2"/>
      <c r="S30" s="2"/>
      <c r="Y30" s="91" t="s">
        <v>97</v>
      </c>
      <c r="AO30" s="87" t="s">
        <v>98</v>
      </c>
      <c r="AP30" s="91" t="s">
        <v>97</v>
      </c>
    </row>
    <row r="31" spans="1:43">
      <c r="A31" s="190">
        <v>1</v>
      </c>
      <c r="B31" s="93" t="s">
        <v>99</v>
      </c>
      <c r="C31" s="98">
        <f>销量!C8</f>
        <v>1720</v>
      </c>
      <c r="D31" s="98">
        <f>销量!D8</f>
        <v>0</v>
      </c>
      <c r="E31" s="98">
        <f>销量!E8</f>
        <v>0</v>
      </c>
      <c r="F31" s="98">
        <f>销量!F8</f>
        <v>0</v>
      </c>
      <c r="G31" s="98">
        <f>销量!G8</f>
        <v>0</v>
      </c>
      <c r="H31" s="98">
        <f>销量!H8</f>
        <v>0</v>
      </c>
      <c r="I31" s="98">
        <f>销量!I8</f>
        <v>0</v>
      </c>
      <c r="J31" s="98">
        <f>销量!J8</f>
        <v>0</v>
      </c>
      <c r="K31" s="98">
        <f>销量!K8</f>
        <v>0</v>
      </c>
      <c r="L31" s="98">
        <f>销量!L8</f>
        <v>0</v>
      </c>
      <c r="M31" s="98">
        <f>销量!M8</f>
        <v>0</v>
      </c>
      <c r="N31" s="95"/>
      <c r="O31" s="2"/>
      <c r="P31" s="2"/>
      <c r="Q31" s="2"/>
      <c r="S31" s="2"/>
      <c r="Y31" s="87" t="s">
        <v>99</v>
      </c>
      <c r="AO31" s="87" t="s">
        <v>54</v>
      </c>
      <c r="AP31" s="87" t="s">
        <v>99</v>
      </c>
    </row>
    <row r="32" spans="1:43">
      <c r="A32" s="190">
        <v>2</v>
      </c>
      <c r="B32" s="87" t="s">
        <v>150</v>
      </c>
      <c r="C32" s="90">
        <f t="shared" ref="C32:M32" si="21">C31*1</f>
        <v>1720</v>
      </c>
      <c r="D32" s="90">
        <f t="shared" si="21"/>
        <v>0</v>
      </c>
      <c r="E32" s="90">
        <f t="shared" si="21"/>
        <v>0</v>
      </c>
      <c r="F32" s="90">
        <f t="shared" si="21"/>
        <v>0</v>
      </c>
      <c r="G32" s="90">
        <f t="shared" si="21"/>
        <v>0</v>
      </c>
      <c r="H32" s="90">
        <f t="shared" si="21"/>
        <v>0</v>
      </c>
      <c r="I32" s="90">
        <f t="shared" si="21"/>
        <v>0</v>
      </c>
      <c r="J32" s="90">
        <f t="shared" si="21"/>
        <v>0</v>
      </c>
      <c r="K32" s="90">
        <f t="shared" si="21"/>
        <v>0</v>
      </c>
      <c r="L32" s="90">
        <f t="shared" si="21"/>
        <v>0</v>
      </c>
      <c r="M32" s="90">
        <f t="shared" si="21"/>
        <v>0</v>
      </c>
      <c r="N32" s="95"/>
      <c r="O32" s="2"/>
      <c r="P32" s="2"/>
      <c r="Q32" s="2"/>
      <c r="R32" s="2"/>
      <c r="S32" s="2"/>
      <c r="T32" s="2"/>
      <c r="U32" s="2"/>
      <c r="AO32" s="87"/>
      <c r="AP32" s="87"/>
    </row>
    <row r="33" spans="1:42">
      <c r="A33" s="190">
        <v>3</v>
      </c>
      <c r="B33" s="93" t="s">
        <v>100</v>
      </c>
      <c r="C33" s="90">
        <f>材料成本!D15</f>
        <v>1114.2147290625001</v>
      </c>
      <c r="D33" s="90">
        <f>材料成本!E15</f>
        <v>0</v>
      </c>
      <c r="E33" s="90">
        <f>材料成本!F15</f>
        <v>0</v>
      </c>
      <c r="F33" s="90">
        <f>材料成本!G15</f>
        <v>0</v>
      </c>
      <c r="G33" s="90">
        <f>材料成本!H15</f>
        <v>0</v>
      </c>
      <c r="H33" s="90">
        <f>材料成本!I15</f>
        <v>0</v>
      </c>
      <c r="I33" s="90">
        <f>材料成本!J15</f>
        <v>0</v>
      </c>
      <c r="J33" s="90">
        <f>材料成本!K15</f>
        <v>0</v>
      </c>
      <c r="K33" s="90">
        <f>材料成本!L15</f>
        <v>0</v>
      </c>
      <c r="L33" s="90">
        <f>材料成本!M15</f>
        <v>0</v>
      </c>
      <c r="M33" s="90">
        <f>材料成本!N15</f>
        <v>0</v>
      </c>
      <c r="N33" s="95"/>
      <c r="P33" s="2"/>
      <c r="Q33" s="2"/>
      <c r="R33" s="2"/>
      <c r="S33" s="2"/>
      <c r="T33" s="2"/>
      <c r="U33" s="2"/>
      <c r="Y33" s="87" t="s">
        <v>100</v>
      </c>
      <c r="AO33" s="87" t="s">
        <v>56</v>
      </c>
      <c r="AP33" s="87" t="s">
        <v>100</v>
      </c>
    </row>
    <row r="34" spans="1:42" ht="17.25" customHeight="1">
      <c r="A34" s="190">
        <v>4</v>
      </c>
      <c r="B34" s="87" t="s">
        <v>102</v>
      </c>
      <c r="C34" s="99">
        <f t="shared" ref="C34:M34" si="22">C32-C33</f>
        <v>605.78527093749994</v>
      </c>
      <c r="D34" s="99">
        <f t="shared" si="22"/>
        <v>0</v>
      </c>
      <c r="E34" s="99">
        <f t="shared" si="22"/>
        <v>0</v>
      </c>
      <c r="F34" s="99">
        <f t="shared" si="22"/>
        <v>0</v>
      </c>
      <c r="G34" s="99">
        <f t="shared" si="22"/>
        <v>0</v>
      </c>
      <c r="H34" s="99">
        <f t="shared" si="22"/>
        <v>0</v>
      </c>
      <c r="I34" s="99">
        <f t="shared" si="22"/>
        <v>0</v>
      </c>
      <c r="J34" s="99">
        <f t="shared" si="22"/>
        <v>0</v>
      </c>
      <c r="K34" s="99">
        <f t="shared" si="22"/>
        <v>0</v>
      </c>
      <c r="L34" s="99">
        <f t="shared" si="22"/>
        <v>0</v>
      </c>
      <c r="M34" s="99">
        <f t="shared" si="22"/>
        <v>0</v>
      </c>
      <c r="N34" s="95"/>
      <c r="P34" s="2"/>
      <c r="Q34" s="2"/>
      <c r="R34" s="2"/>
      <c r="S34" s="2"/>
      <c r="T34" s="2"/>
      <c r="U34" s="2"/>
      <c r="Y34" s="87" t="s">
        <v>102</v>
      </c>
      <c r="AO34" s="87" t="s">
        <v>101</v>
      </c>
      <c r="AP34" s="87" t="s">
        <v>102</v>
      </c>
    </row>
    <row r="35" spans="1:42">
      <c r="A35" s="87" t="s">
        <v>98</v>
      </c>
      <c r="B35" s="91" t="s">
        <v>8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2"/>
      <c r="P35" s="2"/>
      <c r="Q35" s="2"/>
      <c r="R35" s="2"/>
      <c r="S35" s="2"/>
      <c r="T35" s="2"/>
      <c r="U35" s="2"/>
      <c r="V35" s="2"/>
      <c r="W35" s="2"/>
      <c r="X35" s="2"/>
      <c r="Y35" s="91" t="s">
        <v>8</v>
      </c>
      <c r="AO35" s="87" t="s">
        <v>104</v>
      </c>
      <c r="AP35" s="91" t="s">
        <v>8</v>
      </c>
    </row>
    <row r="36" spans="1:42">
      <c r="A36" s="190">
        <v>1</v>
      </c>
      <c r="B36" s="87" t="s">
        <v>105</v>
      </c>
      <c r="C36" s="94">
        <f>标准成本!D4</f>
        <v>74.132000000000005</v>
      </c>
      <c r="D36" s="94">
        <f>标准成本!D16</f>
        <v>0</v>
      </c>
      <c r="E36" s="94">
        <f>标准成本!D29</f>
        <v>0</v>
      </c>
      <c r="F36" s="94">
        <f>标准成本!D42</f>
        <v>0</v>
      </c>
      <c r="G36" s="94">
        <f>标准成本!D55</f>
        <v>0</v>
      </c>
      <c r="H36" s="94">
        <f>标准成本!D68</f>
        <v>0</v>
      </c>
      <c r="I36" s="94">
        <f>标准成本!D81</f>
        <v>0</v>
      </c>
      <c r="J36" s="94">
        <f>标准成本!D94</f>
        <v>0</v>
      </c>
      <c r="K36" s="94">
        <f>标准成本!D107</f>
        <v>0</v>
      </c>
      <c r="L36" s="94">
        <f>标准成本!D120</f>
        <v>0</v>
      </c>
      <c r="M36" s="94">
        <f>标准成本!D133</f>
        <v>0</v>
      </c>
      <c r="N36" s="98"/>
      <c r="O36" s="2"/>
      <c r="P36" s="2"/>
      <c r="Q36" s="2"/>
      <c r="R36" s="2"/>
      <c r="S36" s="2"/>
      <c r="T36" s="2"/>
      <c r="U36" s="2"/>
      <c r="V36" s="2"/>
      <c r="W36" s="2"/>
      <c r="X36" s="2"/>
      <c r="Y36" s="87" t="s">
        <v>105</v>
      </c>
      <c r="AO36" s="87" t="s">
        <v>101</v>
      </c>
      <c r="AP36" s="87" t="s">
        <v>105</v>
      </c>
    </row>
    <row r="37" spans="1:42">
      <c r="A37" s="190">
        <v>2</v>
      </c>
      <c r="B37" s="87" t="s">
        <v>106</v>
      </c>
      <c r="C37" s="94">
        <f>标准成本!D6</f>
        <v>37.323999999999998</v>
      </c>
      <c r="D37" s="94">
        <f>标准成本!D18</f>
        <v>0</v>
      </c>
      <c r="E37" s="94">
        <f>标准成本!D31</f>
        <v>0</v>
      </c>
      <c r="F37" s="94">
        <f>标准成本!D44</f>
        <v>0</v>
      </c>
      <c r="G37" s="94">
        <f>标准成本!D57</f>
        <v>0</v>
      </c>
      <c r="H37" s="94">
        <f>标准成本!D70</f>
        <v>0</v>
      </c>
      <c r="I37" s="94">
        <f>标准成本!D83</f>
        <v>0</v>
      </c>
      <c r="J37" s="94">
        <f>标准成本!D96</f>
        <v>0</v>
      </c>
      <c r="K37" s="94">
        <f>标准成本!D109</f>
        <v>0</v>
      </c>
      <c r="L37" s="94">
        <f>标准成本!D122</f>
        <v>0</v>
      </c>
      <c r="M37" s="94">
        <f>标准成本!D135</f>
        <v>0</v>
      </c>
      <c r="N37" s="98"/>
      <c r="O37" s="2"/>
      <c r="P37" s="2"/>
      <c r="Q37" s="2"/>
      <c r="R37" s="2"/>
      <c r="S37" s="2"/>
      <c r="T37" s="2"/>
      <c r="U37" s="2"/>
      <c r="V37" s="2"/>
      <c r="W37" s="2"/>
      <c r="X37" s="2"/>
      <c r="Y37" s="87" t="s">
        <v>106</v>
      </c>
      <c r="AO37" s="87" t="s">
        <v>59</v>
      </c>
      <c r="AP37" s="87" t="s">
        <v>106</v>
      </c>
    </row>
    <row r="38" spans="1:42">
      <c r="A38" s="190">
        <v>3</v>
      </c>
      <c r="B38" s="87" t="s">
        <v>107</v>
      </c>
      <c r="C38" s="94">
        <f>标准成本!D10</f>
        <v>75.679999999999993</v>
      </c>
      <c r="D38" s="94">
        <f>标准成本!D22</f>
        <v>0</v>
      </c>
      <c r="E38" s="94">
        <f>标准成本!D35</f>
        <v>0</v>
      </c>
      <c r="F38" s="94">
        <f>标准成本!D48</f>
        <v>0</v>
      </c>
      <c r="G38" s="94">
        <f>标准成本!D61</f>
        <v>0</v>
      </c>
      <c r="H38" s="94">
        <f>标准成本!D74</f>
        <v>0</v>
      </c>
      <c r="I38" s="94">
        <f>标准成本!D87</f>
        <v>0</v>
      </c>
      <c r="J38" s="94">
        <f>标准成本!D100</f>
        <v>0</v>
      </c>
      <c r="K38" s="94">
        <f>标准成本!D113</f>
        <v>0</v>
      </c>
      <c r="L38" s="94">
        <f>标准成本!D126</f>
        <v>0</v>
      </c>
      <c r="M38" s="94">
        <f>标准成本!D139</f>
        <v>0</v>
      </c>
      <c r="N38" s="98"/>
      <c r="O38" s="2"/>
      <c r="P38" s="2"/>
      <c r="Q38" s="2"/>
      <c r="R38" s="2"/>
      <c r="S38" s="2"/>
      <c r="T38" s="2"/>
      <c r="U38" s="2"/>
      <c r="V38" s="2"/>
      <c r="W38" s="2"/>
      <c r="X38" s="2"/>
      <c r="Y38" s="87" t="s">
        <v>107</v>
      </c>
      <c r="AO38" s="87" t="s">
        <v>65</v>
      </c>
      <c r="AP38" s="87" t="s">
        <v>107</v>
      </c>
    </row>
    <row r="39" spans="1:42">
      <c r="A39" s="87" t="s">
        <v>104</v>
      </c>
      <c r="B39" s="91" t="s">
        <v>109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Y39" s="91" t="s">
        <v>109</v>
      </c>
      <c r="AO39" s="87" t="s">
        <v>108</v>
      </c>
      <c r="AP39" s="91" t="s">
        <v>109</v>
      </c>
    </row>
    <row r="40" spans="1:42">
      <c r="A40" s="190">
        <v>1</v>
      </c>
      <c r="B40" s="87" t="s">
        <v>111</v>
      </c>
      <c r="C40" s="95">
        <f t="shared" ref="C40:M40" si="23">C34-C36-C37-C38</f>
        <v>418.64927093749986</v>
      </c>
      <c r="D40" s="95">
        <f t="shared" si="23"/>
        <v>0</v>
      </c>
      <c r="E40" s="95">
        <f t="shared" si="23"/>
        <v>0</v>
      </c>
      <c r="F40" s="95">
        <f t="shared" si="23"/>
        <v>0</v>
      </c>
      <c r="G40" s="95">
        <f t="shared" si="23"/>
        <v>0</v>
      </c>
      <c r="H40" s="95">
        <f t="shared" si="23"/>
        <v>0</v>
      </c>
      <c r="I40" s="95">
        <f t="shared" si="23"/>
        <v>0</v>
      </c>
      <c r="J40" s="95">
        <f t="shared" si="23"/>
        <v>0</v>
      </c>
      <c r="K40" s="95">
        <f t="shared" si="23"/>
        <v>0</v>
      </c>
      <c r="L40" s="95">
        <f t="shared" si="23"/>
        <v>0</v>
      </c>
      <c r="M40" s="95">
        <f t="shared" si="23"/>
        <v>0</v>
      </c>
      <c r="N40" s="95"/>
      <c r="Y40" s="87" t="s">
        <v>111</v>
      </c>
      <c r="AO40" s="87" t="s">
        <v>54</v>
      </c>
      <c r="AP40" s="87" t="s">
        <v>111</v>
      </c>
    </row>
    <row r="41" spans="1:42">
      <c r="A41" s="190">
        <v>2</v>
      </c>
      <c r="B41" s="87" t="s">
        <v>112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Y41" s="87" t="s">
        <v>112</v>
      </c>
      <c r="AO41" s="87" t="s">
        <v>56</v>
      </c>
      <c r="AP41" s="87" t="s">
        <v>112</v>
      </c>
    </row>
    <row r="42" spans="1:42">
      <c r="A42" s="87" t="s">
        <v>108</v>
      </c>
      <c r="B42" s="91" t="s">
        <v>114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Y42" s="91" t="s">
        <v>114</v>
      </c>
      <c r="AO42" s="87" t="s">
        <v>113</v>
      </c>
      <c r="AP42" s="91" t="s">
        <v>114</v>
      </c>
    </row>
    <row r="43" spans="1:42">
      <c r="A43" s="190">
        <v>1</v>
      </c>
      <c r="B43" s="96" t="s">
        <v>115</v>
      </c>
      <c r="C43" s="94">
        <f>标准成本!D5</f>
        <v>70.52</v>
      </c>
      <c r="D43" s="94">
        <f>标准成本!D17</f>
        <v>0</v>
      </c>
      <c r="E43" s="94">
        <f>标准成本!D30</f>
        <v>0</v>
      </c>
      <c r="F43" s="94">
        <f>标准成本!D43</f>
        <v>0</v>
      </c>
      <c r="G43" s="94">
        <f>标准成本!D56</f>
        <v>0</v>
      </c>
      <c r="H43" s="94">
        <f>标准成本!D69</f>
        <v>0</v>
      </c>
      <c r="I43" s="94">
        <f>标准成本!D82</f>
        <v>0</v>
      </c>
      <c r="J43" s="94">
        <f>标准成本!D95</f>
        <v>0</v>
      </c>
      <c r="K43" s="94">
        <f>标准成本!D108</f>
        <v>0</v>
      </c>
      <c r="L43" s="94">
        <f>标准成本!D121</f>
        <v>0</v>
      </c>
      <c r="M43" s="94">
        <f>标准成本!D134</f>
        <v>0</v>
      </c>
      <c r="N43" s="95"/>
      <c r="Y43" s="87" t="s">
        <v>115</v>
      </c>
      <c r="AO43" s="87" t="s">
        <v>54</v>
      </c>
      <c r="AP43" s="87" t="s">
        <v>115</v>
      </c>
    </row>
    <row r="44" spans="1:42">
      <c r="A44" s="190">
        <v>2</v>
      </c>
      <c r="B44" s="96" t="s">
        <v>116</v>
      </c>
      <c r="C44" s="94">
        <f>标准成本!D9</f>
        <v>12.040000000000001</v>
      </c>
      <c r="D44" s="94">
        <f>标准成本!D21</f>
        <v>0</v>
      </c>
      <c r="E44" s="94">
        <f>标准成本!D34</f>
        <v>0</v>
      </c>
      <c r="F44" s="94">
        <f>标准成本!D47</f>
        <v>0</v>
      </c>
      <c r="G44" s="94">
        <f>标准成本!D60</f>
        <v>0</v>
      </c>
      <c r="H44" s="94">
        <f>标准成本!D73</f>
        <v>0</v>
      </c>
      <c r="I44" s="94">
        <f>标准成本!D86</f>
        <v>0</v>
      </c>
      <c r="J44" s="94">
        <f>标准成本!D99</f>
        <v>0</v>
      </c>
      <c r="K44" s="94">
        <f>标准成本!D112</f>
        <v>0</v>
      </c>
      <c r="L44" s="94">
        <f>标准成本!D125</f>
        <v>0</v>
      </c>
      <c r="M44" s="94">
        <f>标准成本!D138</f>
        <v>0</v>
      </c>
      <c r="N44" s="95"/>
      <c r="Y44" s="87" t="s">
        <v>116</v>
      </c>
      <c r="AO44" s="87" t="s">
        <v>56</v>
      </c>
      <c r="AP44" s="87" t="s">
        <v>116</v>
      </c>
    </row>
    <row r="45" spans="1:42">
      <c r="A45" s="190">
        <v>3</v>
      </c>
      <c r="B45" s="96" t="s">
        <v>117</v>
      </c>
      <c r="C45" s="94">
        <f>标准成本!D8</f>
        <v>58.480000000000004</v>
      </c>
      <c r="D45" s="94">
        <f>标准成本!D20</f>
        <v>0</v>
      </c>
      <c r="E45" s="94">
        <f>标准成本!D33</f>
        <v>0</v>
      </c>
      <c r="F45" s="94">
        <f>标准成本!D46</f>
        <v>0</v>
      </c>
      <c r="G45" s="94">
        <f>标准成本!D59</f>
        <v>0</v>
      </c>
      <c r="H45" s="94">
        <f>标准成本!D72</f>
        <v>0</v>
      </c>
      <c r="I45" s="94">
        <f>标准成本!D85</f>
        <v>0</v>
      </c>
      <c r="J45" s="94">
        <f>标准成本!D98</f>
        <v>0</v>
      </c>
      <c r="K45" s="94">
        <f>标准成本!D111</f>
        <v>0</v>
      </c>
      <c r="L45" s="94">
        <f>标准成本!D124</f>
        <v>0</v>
      </c>
      <c r="M45" s="94">
        <f>标准成本!D137</f>
        <v>0</v>
      </c>
      <c r="N45" s="95"/>
      <c r="Y45" s="87" t="s">
        <v>117</v>
      </c>
      <c r="AO45" s="87" t="s">
        <v>101</v>
      </c>
      <c r="AP45" s="87" t="s">
        <v>117</v>
      </c>
    </row>
    <row r="46" spans="1:42" s="83" customFormat="1">
      <c r="A46" s="190">
        <v>4</v>
      </c>
      <c r="B46" s="96" t="s">
        <v>118</v>
      </c>
      <c r="C46" s="100">
        <f t="shared" ref="C46:M46" si="24">C21/C6</f>
        <v>6.16</v>
      </c>
      <c r="D46" s="100" t="e">
        <f t="shared" si="24"/>
        <v>#DIV/0!</v>
      </c>
      <c r="E46" s="100" t="e">
        <f t="shared" si="24"/>
        <v>#DIV/0!</v>
      </c>
      <c r="F46" s="100" t="e">
        <f t="shared" si="24"/>
        <v>#DIV/0!</v>
      </c>
      <c r="G46" s="100" t="e">
        <f t="shared" si="24"/>
        <v>#DIV/0!</v>
      </c>
      <c r="H46" s="100" t="e">
        <f t="shared" si="24"/>
        <v>#DIV/0!</v>
      </c>
      <c r="I46" s="100" t="e">
        <f t="shared" si="24"/>
        <v>#DIV/0!</v>
      </c>
      <c r="J46" s="100" t="e">
        <f t="shared" si="24"/>
        <v>#DIV/0!</v>
      </c>
      <c r="K46" s="100" t="e">
        <f t="shared" si="24"/>
        <v>#DIV/0!</v>
      </c>
      <c r="L46" s="100" t="e">
        <f t="shared" si="24"/>
        <v>#DIV/0!</v>
      </c>
      <c r="M46" s="100" t="e">
        <f t="shared" si="24"/>
        <v>#DIV/0!</v>
      </c>
      <c r="N46" s="100"/>
      <c r="Y46" s="96" t="s">
        <v>120</v>
      </c>
      <c r="AO46" s="96" t="s">
        <v>62</v>
      </c>
      <c r="AP46" s="96" t="s">
        <v>120</v>
      </c>
    </row>
    <row r="47" spans="1:42" s="83" customFormat="1">
      <c r="A47" s="190">
        <v>5</v>
      </c>
      <c r="B47" s="96" t="s">
        <v>120</v>
      </c>
      <c r="C47" s="100">
        <f>标准成本!D11</f>
        <v>51.6</v>
      </c>
      <c r="D47" s="100">
        <f>标准成本!D23</f>
        <v>0</v>
      </c>
      <c r="E47" s="100">
        <f>标准成本!D36</f>
        <v>0</v>
      </c>
      <c r="F47" s="100">
        <f>标准成本!D49</f>
        <v>0</v>
      </c>
      <c r="G47" s="100">
        <f>标准成本!D62</f>
        <v>0</v>
      </c>
      <c r="H47" s="100">
        <f>标准成本!D75</f>
        <v>0</v>
      </c>
      <c r="I47" s="100">
        <f>标准成本!D88</f>
        <v>0</v>
      </c>
      <c r="J47" s="100">
        <f>标准成本!D101</f>
        <v>0</v>
      </c>
      <c r="K47" s="100">
        <f>标准成本!D114</f>
        <v>0</v>
      </c>
      <c r="L47" s="100">
        <f>标准成本!D127</f>
        <v>0</v>
      </c>
      <c r="M47" s="100">
        <f>标准成本!D140</f>
        <v>0</v>
      </c>
      <c r="N47" s="100"/>
      <c r="Y47" s="96" t="s">
        <v>120</v>
      </c>
      <c r="AO47" s="96" t="s">
        <v>62</v>
      </c>
      <c r="AP47" s="96" t="s">
        <v>120</v>
      </c>
    </row>
    <row r="48" spans="1:42">
      <c r="A48" s="87" t="s">
        <v>113</v>
      </c>
      <c r="B48" s="91" t="s">
        <v>131</v>
      </c>
      <c r="C48" s="95">
        <f t="shared" ref="C48:M48" si="25">C40-C43-C44-C45-C47-C46</f>
        <v>219.84927093749985</v>
      </c>
      <c r="D48" s="95" t="e">
        <f t="shared" si="25"/>
        <v>#DIV/0!</v>
      </c>
      <c r="E48" s="95" t="e">
        <f t="shared" si="25"/>
        <v>#DIV/0!</v>
      </c>
      <c r="F48" s="95" t="e">
        <f t="shared" si="25"/>
        <v>#DIV/0!</v>
      </c>
      <c r="G48" s="95" t="e">
        <f t="shared" si="25"/>
        <v>#DIV/0!</v>
      </c>
      <c r="H48" s="95" t="e">
        <f t="shared" si="25"/>
        <v>#DIV/0!</v>
      </c>
      <c r="I48" s="95" t="e">
        <f t="shared" si="25"/>
        <v>#DIV/0!</v>
      </c>
      <c r="J48" s="95" t="e">
        <f t="shared" si="25"/>
        <v>#DIV/0!</v>
      </c>
      <c r="K48" s="95" t="e">
        <f t="shared" si="25"/>
        <v>#DIV/0!</v>
      </c>
      <c r="L48" s="95" t="e">
        <f t="shared" si="25"/>
        <v>#DIV/0!</v>
      </c>
      <c r="M48" s="95" t="e">
        <f t="shared" si="25"/>
        <v>#DIV/0!</v>
      </c>
      <c r="N48" s="95"/>
      <c r="Y48" s="91" t="s">
        <v>131</v>
      </c>
      <c r="AO48" s="87" t="s">
        <v>130</v>
      </c>
      <c r="AP48" s="91" t="s">
        <v>131</v>
      </c>
    </row>
    <row r="51" spans="2:19"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</row>
    <row r="54" spans="2:19">
      <c r="B54" s="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2"/>
      <c r="P54" s="2"/>
      <c r="Q54" s="2"/>
      <c r="R54" s="2"/>
      <c r="S54" s="2"/>
    </row>
    <row r="55" spans="2:19">
      <c r="B55" s="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2"/>
      <c r="P55" s="2"/>
      <c r="Q55" s="2"/>
      <c r="R55" s="2"/>
      <c r="S55" s="2"/>
    </row>
    <row r="56" spans="2:19">
      <c r="B56" s="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2"/>
      <c r="P56" s="2"/>
      <c r="Q56" s="2"/>
      <c r="R56" s="2"/>
      <c r="S56" s="2"/>
    </row>
    <row r="57" spans="2:19">
      <c r="B57" s="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2"/>
      <c r="P57" s="2"/>
      <c r="Q57" s="2"/>
      <c r="R57" s="2"/>
      <c r="S57" s="2"/>
    </row>
    <row r="58" spans="2:19">
      <c r="B58" s="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2"/>
      <c r="P58" s="2"/>
      <c r="Q58" s="2"/>
      <c r="R58" s="2"/>
      <c r="S58" s="2"/>
    </row>
    <row r="59" spans="2:19">
      <c r="B59" s="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2"/>
      <c r="P59" s="2"/>
      <c r="Q59" s="2"/>
      <c r="R59" s="2"/>
      <c r="S59" s="2"/>
    </row>
    <row r="60" spans="2:19">
      <c r="B60" s="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2"/>
      <c r="P60" s="2"/>
      <c r="Q60" s="2"/>
      <c r="R60" s="2"/>
      <c r="S60" s="2"/>
    </row>
    <row r="61" spans="2:19">
      <c r="B61" s="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2"/>
      <c r="P61" s="2"/>
      <c r="Q61" s="2"/>
      <c r="R61" s="2"/>
      <c r="S61" s="2"/>
    </row>
    <row r="62" spans="2:19">
      <c r="B62" s="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2"/>
      <c r="P62" s="2"/>
      <c r="Q62" s="2"/>
      <c r="R62" s="2"/>
      <c r="S62" s="2"/>
    </row>
    <row r="63" spans="2:19">
      <c r="B63" s="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2"/>
      <c r="P63" s="2"/>
      <c r="Q63" s="2"/>
      <c r="R63" s="2"/>
      <c r="S63" s="2"/>
    </row>
    <row r="64" spans="2:19">
      <c r="B64" s="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2"/>
      <c r="P64" s="2"/>
      <c r="Q64" s="2"/>
      <c r="R64" s="2"/>
      <c r="S64" s="2"/>
    </row>
    <row r="65" spans="2:19">
      <c r="B65" s="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2"/>
      <c r="P65" s="2"/>
      <c r="Q65" s="2"/>
      <c r="R65" s="2"/>
      <c r="S65" s="2"/>
    </row>
    <row r="66" spans="2:19">
      <c r="B66" s="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2"/>
      <c r="P66" s="2"/>
      <c r="Q66" s="2"/>
      <c r="R66" s="2"/>
      <c r="S66" s="2"/>
    </row>
    <row r="67" spans="2:19">
      <c r="B67" s="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2"/>
    </row>
    <row r="68" spans="2:19">
      <c r="B68" s="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2"/>
    </row>
    <row r="69" spans="2:19">
      <c r="B69" s="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2"/>
    </row>
    <row r="70" spans="2:19">
      <c r="B70" s="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2"/>
    </row>
    <row r="71" spans="2:19">
      <c r="B71" s="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2"/>
    </row>
    <row r="72" spans="2:19">
      <c r="B72" s="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2"/>
    </row>
    <row r="73" spans="2:19">
      <c r="B73" s="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2"/>
    </row>
    <row r="74" spans="2:19">
      <c r="B74" s="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2"/>
    </row>
  </sheetData>
  <mergeCells count="8">
    <mergeCell ref="A1:B1"/>
    <mergeCell ref="C1:N1"/>
    <mergeCell ref="A2:B2"/>
    <mergeCell ref="C2:N2"/>
    <mergeCell ref="A3:B3"/>
    <mergeCell ref="N3:N5"/>
    <mergeCell ref="A4:B4"/>
    <mergeCell ref="A5:B5"/>
  </mergeCells>
  <phoneticPr fontId="40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4"/>
  <sheetViews>
    <sheetView zoomScale="85" zoomScaleNormal="85" workbookViewId="0">
      <pane xSplit="2" ySplit="7" topLeftCell="C14" activePane="bottomRight" state="frozen"/>
      <selection pane="topRight"/>
      <selection pane="bottomLeft"/>
      <selection pane="bottomRight" activeCell="C25" sqref="C25"/>
    </sheetView>
  </sheetViews>
  <sheetFormatPr defaultColWidth="9" defaultRowHeight="16.5"/>
  <cols>
    <col min="1" max="1" width="5.125" style="84" customWidth="1"/>
    <col min="2" max="2" width="17.5" style="84" customWidth="1"/>
    <col min="3" max="13" width="11.75" style="85" customWidth="1"/>
    <col min="14" max="14" width="14.75" style="85" customWidth="1"/>
    <col min="15" max="15" width="12.375" style="84" customWidth="1"/>
    <col min="16" max="16" width="10.125" style="84" customWidth="1"/>
    <col min="17" max="23" width="9" style="84" customWidth="1"/>
    <col min="24" max="40" width="9" style="84"/>
    <col min="41" max="41" width="4.375" style="84" customWidth="1"/>
    <col min="42" max="42" width="13.875" style="84" customWidth="1"/>
    <col min="43" max="16384" width="9" style="84"/>
  </cols>
  <sheetData>
    <row r="1" spans="1:43">
      <c r="A1" s="197" t="s">
        <v>141</v>
      </c>
      <c r="B1" s="197"/>
      <c r="C1" s="201" t="s">
        <v>151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3"/>
    </row>
    <row r="2" spans="1:43">
      <c r="A2" s="197" t="s">
        <v>142</v>
      </c>
      <c r="B2" s="197"/>
      <c r="C2" s="204" t="str">
        <f>'2023年'!$C$2</f>
        <v>一汽解放青岛汽车有限公司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1:43" ht="33">
      <c r="A3" s="197" t="s">
        <v>143</v>
      </c>
      <c r="B3" s="197"/>
      <c r="C3" s="12" t="str">
        <f>'2023年'!C3</f>
        <v>驾驶员座总成</v>
      </c>
      <c r="D3" s="12">
        <f>'2023年'!D3</f>
        <v>0</v>
      </c>
      <c r="E3" s="12">
        <f>'2023年'!E3</f>
        <v>0</v>
      </c>
      <c r="F3" s="12">
        <f>'2023年'!F3</f>
        <v>0</v>
      </c>
      <c r="G3" s="12">
        <f>'2023年'!G3</f>
        <v>0</v>
      </c>
      <c r="H3" s="12">
        <f>'2023年'!H3</f>
        <v>0</v>
      </c>
      <c r="I3" s="12">
        <f>'2023年'!I3</f>
        <v>0</v>
      </c>
      <c r="J3" s="12">
        <f>'2023年'!J3</f>
        <v>0</v>
      </c>
      <c r="K3" s="12">
        <f>'2023年'!K3</f>
        <v>0</v>
      </c>
      <c r="L3" s="12">
        <f>'2023年'!L3</f>
        <v>0</v>
      </c>
      <c r="M3" s="12">
        <f>'2023年'!M3</f>
        <v>0</v>
      </c>
      <c r="N3" s="198" t="s">
        <v>50</v>
      </c>
    </row>
    <row r="4" spans="1:43" ht="33">
      <c r="A4" s="197" t="s">
        <v>144</v>
      </c>
      <c r="B4" s="197"/>
      <c r="C4" s="12" t="str">
        <f>'2023年'!C4</f>
        <v>6800010GE404</v>
      </c>
      <c r="D4" s="14">
        <f>'2023年'!D4</f>
        <v>0</v>
      </c>
      <c r="E4" s="14">
        <f>'2023年'!E4</f>
        <v>0</v>
      </c>
      <c r="F4" s="14">
        <f>'2023年'!F4</f>
        <v>0</v>
      </c>
      <c r="G4" s="14">
        <f>'2023年'!G4</f>
        <v>0</v>
      </c>
      <c r="H4" s="14">
        <f>'2023年'!H4</f>
        <v>0</v>
      </c>
      <c r="I4" s="14">
        <f>'2023年'!I4</f>
        <v>0</v>
      </c>
      <c r="J4" s="14">
        <f>'2023年'!J4</f>
        <v>0</v>
      </c>
      <c r="K4" s="14">
        <f>'2023年'!K4</f>
        <v>0</v>
      </c>
      <c r="L4" s="14">
        <f>'2023年'!L4</f>
        <v>0</v>
      </c>
      <c r="M4" s="14">
        <f>'2023年'!M4</f>
        <v>0</v>
      </c>
      <c r="N4" s="199"/>
    </row>
    <row r="5" spans="1:43">
      <c r="A5" s="197" t="s">
        <v>145</v>
      </c>
      <c r="B5" s="197"/>
      <c r="C5" s="46">
        <f>'2023年'!C5</f>
        <v>0</v>
      </c>
      <c r="D5" s="46">
        <f>'2023年'!D5</f>
        <v>0</v>
      </c>
      <c r="E5" s="14">
        <f>'2023年'!E5</f>
        <v>0</v>
      </c>
      <c r="F5" s="14">
        <f>'2023年'!F5</f>
        <v>0</v>
      </c>
      <c r="G5" s="46">
        <f>'2023年'!G5</f>
        <v>0</v>
      </c>
      <c r="H5" s="46">
        <f>'2023年'!H5</f>
        <v>0</v>
      </c>
      <c r="I5" s="14">
        <f>'2023年'!I5</f>
        <v>0</v>
      </c>
      <c r="J5" s="14">
        <f>'2023年'!J5</f>
        <v>0</v>
      </c>
      <c r="K5" s="14">
        <f>'2023年'!K5</f>
        <v>0</v>
      </c>
      <c r="L5" s="14">
        <f>'2023年'!L5</f>
        <v>0</v>
      </c>
      <c r="M5" s="14">
        <f>'2023年'!M5</f>
        <v>0</v>
      </c>
      <c r="N5" s="200"/>
      <c r="AQ5" s="84" t="s">
        <v>51</v>
      </c>
    </row>
    <row r="6" spans="1:43" ht="17.25">
      <c r="A6" s="87" t="s">
        <v>17</v>
      </c>
      <c r="B6" s="88" t="s">
        <v>146</v>
      </c>
      <c r="C6" s="89">
        <f>销量!C13</f>
        <v>6000</v>
      </c>
      <c r="D6" s="89">
        <f>销量!D11</f>
        <v>0</v>
      </c>
      <c r="E6" s="89">
        <f>销量!E11</f>
        <v>0</v>
      </c>
      <c r="F6" s="89">
        <f>销量!F11</f>
        <v>0</v>
      </c>
      <c r="G6" s="89">
        <f>销量!G11</f>
        <v>0</v>
      </c>
      <c r="H6" s="89">
        <f>销量!H11</f>
        <v>0</v>
      </c>
      <c r="I6" s="89">
        <f>销量!I11</f>
        <v>0</v>
      </c>
      <c r="J6" s="89">
        <f>销量!J11</f>
        <v>0</v>
      </c>
      <c r="K6" s="89">
        <f>销量!K11</f>
        <v>0</v>
      </c>
      <c r="L6" s="89">
        <f>销量!L11</f>
        <v>0</v>
      </c>
      <c r="M6" s="89">
        <f>销量!M11</f>
        <v>0</v>
      </c>
      <c r="N6" s="90">
        <f t="shared" ref="N6:N15" si="0">+SUM(C6:M6)</f>
        <v>6000</v>
      </c>
      <c r="Y6" s="88" t="s">
        <v>3</v>
      </c>
      <c r="AO6" s="87" t="s">
        <v>17</v>
      </c>
      <c r="AP6" s="88" t="s">
        <v>3</v>
      </c>
      <c r="AQ6" s="84" t="s">
        <v>52</v>
      </c>
    </row>
    <row r="7" spans="1:43">
      <c r="A7" s="190">
        <v>1</v>
      </c>
      <c r="B7" s="88" t="s">
        <v>53</v>
      </c>
      <c r="C7" s="90">
        <f>C6*销量!C8</f>
        <v>10320000</v>
      </c>
      <c r="D7" s="90">
        <f>D6*销量!D8</f>
        <v>0</v>
      </c>
      <c r="E7" s="90">
        <f>E6*销量!E8</f>
        <v>0</v>
      </c>
      <c r="F7" s="90">
        <f>F6*销量!F8</f>
        <v>0</v>
      </c>
      <c r="G7" s="90">
        <f>G6*销量!G8</f>
        <v>0</v>
      </c>
      <c r="H7" s="90">
        <f>H6*销量!H8</f>
        <v>0</v>
      </c>
      <c r="I7" s="90">
        <f>I6*销量!I8</f>
        <v>0</v>
      </c>
      <c r="J7" s="90">
        <f>J6*销量!J8</f>
        <v>0</v>
      </c>
      <c r="K7" s="90">
        <f>K6*销量!K8</f>
        <v>0</v>
      </c>
      <c r="L7" s="90">
        <f>L6*销量!L8</f>
        <v>0</v>
      </c>
      <c r="M7" s="90">
        <f>M6*销量!M8</f>
        <v>0</v>
      </c>
      <c r="N7" s="90">
        <f t="shared" si="0"/>
        <v>10320000</v>
      </c>
      <c r="O7" s="85"/>
      <c r="Y7" s="88" t="s">
        <v>53</v>
      </c>
      <c r="AO7" s="87" t="s">
        <v>54</v>
      </c>
      <c r="AP7" s="88" t="s">
        <v>53</v>
      </c>
      <c r="AQ7" s="84" t="s">
        <v>52</v>
      </c>
    </row>
    <row r="8" spans="1:43">
      <c r="A8" s="190">
        <v>2</v>
      </c>
      <c r="B8" s="190" t="s">
        <v>55</v>
      </c>
      <c r="C8" s="90">
        <f>C7*(1-销量!$Q$8)</f>
        <v>509549.99999999948</v>
      </c>
      <c r="D8" s="90">
        <f>D7*(1-销量!$Q$8)</f>
        <v>0</v>
      </c>
      <c r="E8" s="90">
        <f>E7*(1-销量!$Q$8)</f>
        <v>0</v>
      </c>
      <c r="F8" s="90">
        <f>F7*(1-销量!$Q$8)</f>
        <v>0</v>
      </c>
      <c r="G8" s="90">
        <f>G7*(1-销量!$Q$8)</f>
        <v>0</v>
      </c>
      <c r="H8" s="90">
        <f>H7*(1-销量!$Q$8)</f>
        <v>0</v>
      </c>
      <c r="I8" s="90">
        <f>I7*(1-销量!$Q$8)</f>
        <v>0</v>
      </c>
      <c r="J8" s="90">
        <f>J7*(1-销量!$Q$8)</f>
        <v>0</v>
      </c>
      <c r="K8" s="90">
        <f>K7*(1-销量!$Q$8)</f>
        <v>0</v>
      </c>
      <c r="L8" s="90">
        <f>L7*(1-销量!$Q$8)</f>
        <v>0</v>
      </c>
      <c r="M8" s="90">
        <f>M7*(1-销量!$Q$8)</f>
        <v>0</v>
      </c>
      <c r="N8" s="90">
        <f t="shared" si="0"/>
        <v>509549.99999999948</v>
      </c>
      <c r="O8" s="103"/>
      <c r="Y8" s="190" t="s">
        <v>57</v>
      </c>
      <c r="AO8" s="87" t="s">
        <v>56</v>
      </c>
      <c r="AP8" s="190" t="s">
        <v>57</v>
      </c>
      <c r="AQ8" s="84" t="s">
        <v>52</v>
      </c>
    </row>
    <row r="9" spans="1:43">
      <c r="A9" s="190">
        <v>3</v>
      </c>
      <c r="B9" s="88" t="s">
        <v>58</v>
      </c>
      <c r="C9" s="90">
        <f t="shared" ref="C9:M9" si="1">+C7-C8</f>
        <v>9810450</v>
      </c>
      <c r="D9" s="90">
        <f t="shared" si="1"/>
        <v>0</v>
      </c>
      <c r="E9" s="90">
        <f t="shared" si="1"/>
        <v>0</v>
      </c>
      <c r="F9" s="90">
        <f t="shared" si="1"/>
        <v>0</v>
      </c>
      <c r="G9" s="90">
        <f t="shared" si="1"/>
        <v>0</v>
      </c>
      <c r="H9" s="90">
        <f t="shared" si="1"/>
        <v>0</v>
      </c>
      <c r="I9" s="90">
        <f t="shared" si="1"/>
        <v>0</v>
      </c>
      <c r="J9" s="90">
        <f t="shared" si="1"/>
        <v>0</v>
      </c>
      <c r="K9" s="90">
        <f t="shared" si="1"/>
        <v>0</v>
      </c>
      <c r="L9" s="90">
        <f t="shared" si="1"/>
        <v>0</v>
      </c>
      <c r="M9" s="90">
        <f t="shared" si="1"/>
        <v>0</v>
      </c>
      <c r="N9" s="90">
        <f t="shared" si="0"/>
        <v>9810450</v>
      </c>
      <c r="Y9" s="88" t="s">
        <v>58</v>
      </c>
      <c r="AO9" s="87" t="s">
        <v>59</v>
      </c>
      <c r="AP9" s="88" t="s">
        <v>58</v>
      </c>
      <c r="AQ9" s="84" t="s">
        <v>60</v>
      </c>
    </row>
    <row r="10" spans="1:43">
      <c r="A10" s="190">
        <v>4</v>
      </c>
      <c r="B10" s="87" t="s">
        <v>61</v>
      </c>
      <c r="C10" s="90">
        <f t="shared" ref="C10:M10" si="2">C6*C33</f>
        <v>6518156.1650156248</v>
      </c>
      <c r="D10" s="90">
        <f t="shared" si="2"/>
        <v>0</v>
      </c>
      <c r="E10" s="90">
        <f t="shared" si="2"/>
        <v>0</v>
      </c>
      <c r="F10" s="90">
        <f t="shared" si="2"/>
        <v>0</v>
      </c>
      <c r="G10" s="90">
        <f t="shared" si="2"/>
        <v>0</v>
      </c>
      <c r="H10" s="90">
        <f t="shared" si="2"/>
        <v>0</v>
      </c>
      <c r="I10" s="90">
        <f t="shared" si="2"/>
        <v>0</v>
      </c>
      <c r="J10" s="90">
        <f t="shared" si="2"/>
        <v>0</v>
      </c>
      <c r="K10" s="90">
        <f t="shared" si="2"/>
        <v>0</v>
      </c>
      <c r="L10" s="90">
        <f t="shared" si="2"/>
        <v>0</v>
      </c>
      <c r="M10" s="90">
        <f t="shared" si="2"/>
        <v>0</v>
      </c>
      <c r="N10" s="90">
        <f t="shared" si="0"/>
        <v>6518156.1650156248</v>
      </c>
      <c r="Y10" s="87" t="s">
        <v>61</v>
      </c>
      <c r="AO10" s="87" t="s">
        <v>62</v>
      </c>
      <c r="AP10" s="87" t="s">
        <v>61</v>
      </c>
      <c r="AQ10" s="84" t="s">
        <v>63</v>
      </c>
    </row>
    <row r="11" spans="1:43">
      <c r="A11" s="190">
        <v>5</v>
      </c>
      <c r="B11" s="87" t="s">
        <v>64</v>
      </c>
      <c r="C11" s="90">
        <f t="shared" ref="C11:M11" si="3">+C6*C36</f>
        <v>444792.00000000006</v>
      </c>
      <c r="D11" s="90">
        <f t="shared" si="3"/>
        <v>0</v>
      </c>
      <c r="E11" s="90">
        <f t="shared" si="3"/>
        <v>0</v>
      </c>
      <c r="F11" s="90">
        <f t="shared" si="3"/>
        <v>0</v>
      </c>
      <c r="G11" s="90">
        <f t="shared" si="3"/>
        <v>0</v>
      </c>
      <c r="H11" s="90">
        <f t="shared" si="3"/>
        <v>0</v>
      </c>
      <c r="I11" s="90">
        <f t="shared" si="3"/>
        <v>0</v>
      </c>
      <c r="J11" s="90">
        <f t="shared" si="3"/>
        <v>0</v>
      </c>
      <c r="K11" s="90">
        <f t="shared" si="3"/>
        <v>0</v>
      </c>
      <c r="L11" s="90">
        <f t="shared" si="3"/>
        <v>0</v>
      </c>
      <c r="M11" s="90">
        <f t="shared" si="3"/>
        <v>0</v>
      </c>
      <c r="N11" s="90">
        <f t="shared" si="0"/>
        <v>444792.00000000006</v>
      </c>
      <c r="Y11" s="87" t="s">
        <v>64</v>
      </c>
      <c r="AO11" s="87" t="s">
        <v>65</v>
      </c>
      <c r="AP11" s="87" t="s">
        <v>64</v>
      </c>
    </row>
    <row r="12" spans="1:43">
      <c r="A12" s="190">
        <v>6</v>
      </c>
      <c r="B12" s="87" t="s">
        <v>66</v>
      </c>
      <c r="C12" s="90">
        <f t="shared" ref="C12:M12" si="4">+C6*C37</f>
        <v>223944</v>
      </c>
      <c r="D12" s="90">
        <f t="shared" si="4"/>
        <v>0</v>
      </c>
      <c r="E12" s="90">
        <f t="shared" si="4"/>
        <v>0</v>
      </c>
      <c r="F12" s="90">
        <f t="shared" si="4"/>
        <v>0</v>
      </c>
      <c r="G12" s="90">
        <f t="shared" si="4"/>
        <v>0</v>
      </c>
      <c r="H12" s="90">
        <f t="shared" si="4"/>
        <v>0</v>
      </c>
      <c r="I12" s="90">
        <f t="shared" si="4"/>
        <v>0</v>
      </c>
      <c r="J12" s="90">
        <f t="shared" si="4"/>
        <v>0</v>
      </c>
      <c r="K12" s="90">
        <f t="shared" si="4"/>
        <v>0</v>
      </c>
      <c r="L12" s="90">
        <f t="shared" si="4"/>
        <v>0</v>
      </c>
      <c r="M12" s="90">
        <f t="shared" si="4"/>
        <v>0</v>
      </c>
      <c r="N12" s="90">
        <f t="shared" si="0"/>
        <v>223944</v>
      </c>
      <c r="Y12" s="87" t="s">
        <v>66</v>
      </c>
      <c r="AO12" s="87" t="s">
        <v>67</v>
      </c>
      <c r="AP12" s="87" t="s">
        <v>66</v>
      </c>
    </row>
    <row r="13" spans="1:43">
      <c r="A13" s="190">
        <v>7</v>
      </c>
      <c r="B13" s="87" t="s">
        <v>68</v>
      </c>
      <c r="C13" s="90">
        <f t="shared" ref="C13:M13" si="5">+C6*C38</f>
        <v>454079.99999999994</v>
      </c>
      <c r="D13" s="90">
        <f t="shared" si="5"/>
        <v>0</v>
      </c>
      <c r="E13" s="90">
        <f t="shared" si="5"/>
        <v>0</v>
      </c>
      <c r="F13" s="90">
        <f t="shared" si="5"/>
        <v>0</v>
      </c>
      <c r="G13" s="90">
        <f t="shared" si="5"/>
        <v>0</v>
      </c>
      <c r="H13" s="90">
        <f t="shared" si="5"/>
        <v>0</v>
      </c>
      <c r="I13" s="90">
        <f t="shared" si="5"/>
        <v>0</v>
      </c>
      <c r="J13" s="90">
        <f t="shared" si="5"/>
        <v>0</v>
      </c>
      <c r="K13" s="90">
        <f t="shared" si="5"/>
        <v>0</v>
      </c>
      <c r="L13" s="90">
        <f t="shared" si="5"/>
        <v>0</v>
      </c>
      <c r="M13" s="90">
        <f t="shared" si="5"/>
        <v>0</v>
      </c>
      <c r="N13" s="90">
        <f t="shared" si="0"/>
        <v>454079.99999999994</v>
      </c>
      <c r="Y13" s="87" t="s">
        <v>68</v>
      </c>
      <c r="AO13" s="87" t="s">
        <v>69</v>
      </c>
      <c r="AP13" s="87" t="s">
        <v>68</v>
      </c>
      <c r="AQ13" s="84" t="s">
        <v>52</v>
      </c>
    </row>
    <row r="14" spans="1:43">
      <c r="A14" s="190">
        <v>8</v>
      </c>
      <c r="B14" s="91" t="s">
        <v>70</v>
      </c>
      <c r="C14" s="90">
        <f t="shared" ref="C14:M14" si="6">SUM(C11:C13)</f>
        <v>1122816</v>
      </c>
      <c r="D14" s="90">
        <f t="shared" si="6"/>
        <v>0</v>
      </c>
      <c r="E14" s="90">
        <f t="shared" si="6"/>
        <v>0</v>
      </c>
      <c r="F14" s="90">
        <f t="shared" si="6"/>
        <v>0</v>
      </c>
      <c r="G14" s="90">
        <f t="shared" si="6"/>
        <v>0</v>
      </c>
      <c r="H14" s="90">
        <f t="shared" si="6"/>
        <v>0</v>
      </c>
      <c r="I14" s="90">
        <f t="shared" si="6"/>
        <v>0</v>
      </c>
      <c r="J14" s="90">
        <f t="shared" si="6"/>
        <v>0</v>
      </c>
      <c r="K14" s="90">
        <f t="shared" si="6"/>
        <v>0</v>
      </c>
      <c r="L14" s="90">
        <f t="shared" si="6"/>
        <v>0</v>
      </c>
      <c r="M14" s="90">
        <f t="shared" si="6"/>
        <v>0</v>
      </c>
      <c r="N14" s="90">
        <f t="shared" si="0"/>
        <v>1122816</v>
      </c>
      <c r="Y14" s="91" t="s">
        <v>70</v>
      </c>
      <c r="AO14" s="87" t="s">
        <v>71</v>
      </c>
      <c r="AP14" s="91" t="s">
        <v>70</v>
      </c>
    </row>
    <row r="15" spans="1:43">
      <c r="A15" s="190">
        <v>9</v>
      </c>
      <c r="B15" s="91" t="s">
        <v>72</v>
      </c>
      <c r="C15" s="90">
        <f t="shared" ref="C15:M15" si="7">+C9-C10-C14</f>
        <v>2169477.8349843752</v>
      </c>
      <c r="D15" s="90">
        <f t="shared" si="7"/>
        <v>0</v>
      </c>
      <c r="E15" s="90">
        <f t="shared" si="7"/>
        <v>0</v>
      </c>
      <c r="F15" s="90">
        <f t="shared" si="7"/>
        <v>0</v>
      </c>
      <c r="G15" s="90">
        <f t="shared" si="7"/>
        <v>0</v>
      </c>
      <c r="H15" s="90">
        <f t="shared" si="7"/>
        <v>0</v>
      </c>
      <c r="I15" s="90">
        <f t="shared" si="7"/>
        <v>0</v>
      </c>
      <c r="J15" s="90">
        <f t="shared" si="7"/>
        <v>0</v>
      </c>
      <c r="K15" s="90">
        <f t="shared" si="7"/>
        <v>0</v>
      </c>
      <c r="L15" s="90">
        <f t="shared" si="7"/>
        <v>0</v>
      </c>
      <c r="M15" s="90">
        <f t="shared" si="7"/>
        <v>0</v>
      </c>
      <c r="N15" s="90">
        <f t="shared" si="0"/>
        <v>2169477.8349843752</v>
      </c>
      <c r="Y15" s="91" t="s">
        <v>72</v>
      </c>
      <c r="AO15" s="87" t="s">
        <v>73</v>
      </c>
      <c r="AP15" s="91" t="s">
        <v>72</v>
      </c>
    </row>
    <row r="16" spans="1:43">
      <c r="A16" s="190">
        <v>10</v>
      </c>
      <c r="B16" s="87" t="s">
        <v>74</v>
      </c>
      <c r="C16" s="92">
        <f t="shared" ref="C16:N16" si="8">+C15/C9</f>
        <v>0.2211394823870847</v>
      </c>
      <c r="D16" s="92" t="e">
        <f t="shared" si="8"/>
        <v>#DIV/0!</v>
      </c>
      <c r="E16" s="92" t="e">
        <f t="shared" si="8"/>
        <v>#DIV/0!</v>
      </c>
      <c r="F16" s="92" t="e">
        <f t="shared" si="8"/>
        <v>#DIV/0!</v>
      </c>
      <c r="G16" s="92" t="e">
        <f t="shared" si="8"/>
        <v>#DIV/0!</v>
      </c>
      <c r="H16" s="92" t="e">
        <f t="shared" si="8"/>
        <v>#DIV/0!</v>
      </c>
      <c r="I16" s="92" t="e">
        <f t="shared" si="8"/>
        <v>#DIV/0!</v>
      </c>
      <c r="J16" s="92" t="e">
        <f t="shared" si="8"/>
        <v>#DIV/0!</v>
      </c>
      <c r="K16" s="92" t="e">
        <f t="shared" si="8"/>
        <v>#DIV/0!</v>
      </c>
      <c r="L16" s="92" t="e">
        <f t="shared" si="8"/>
        <v>#DIV/0!</v>
      </c>
      <c r="M16" s="92" t="e">
        <f t="shared" si="8"/>
        <v>#DIV/0!</v>
      </c>
      <c r="N16" s="92">
        <f t="shared" si="8"/>
        <v>0.2211394823870847</v>
      </c>
      <c r="O16" s="104"/>
      <c r="P16" s="104"/>
      <c r="Q16" s="104"/>
      <c r="Y16" s="87" t="s">
        <v>74</v>
      </c>
      <c r="AO16" s="87" t="s">
        <v>75</v>
      </c>
      <c r="AP16" s="87" t="s">
        <v>74</v>
      </c>
    </row>
    <row r="17" spans="1:43">
      <c r="A17" s="190">
        <v>11</v>
      </c>
      <c r="B17" s="87" t="s">
        <v>76</v>
      </c>
      <c r="C17" s="90">
        <f t="shared" ref="C17:M17" si="9">C6*C43+C18</f>
        <v>535980</v>
      </c>
      <c r="D17" s="90">
        <f t="shared" si="9"/>
        <v>0</v>
      </c>
      <c r="E17" s="90">
        <f t="shared" si="9"/>
        <v>0</v>
      </c>
      <c r="F17" s="90">
        <f t="shared" si="9"/>
        <v>0</v>
      </c>
      <c r="G17" s="90">
        <f t="shared" si="9"/>
        <v>0</v>
      </c>
      <c r="H17" s="90">
        <f t="shared" si="9"/>
        <v>0</v>
      </c>
      <c r="I17" s="90">
        <f t="shared" si="9"/>
        <v>0</v>
      </c>
      <c r="J17" s="90">
        <f t="shared" si="9"/>
        <v>0</v>
      </c>
      <c r="K17" s="90">
        <f t="shared" si="9"/>
        <v>0</v>
      </c>
      <c r="L17" s="90">
        <f t="shared" si="9"/>
        <v>0</v>
      </c>
      <c r="M17" s="90">
        <f t="shared" si="9"/>
        <v>0</v>
      </c>
      <c r="N17" s="90">
        <f t="shared" ref="N17:N20" si="10">+SUM(C17:M17)</f>
        <v>535980</v>
      </c>
      <c r="O17" s="103"/>
      <c r="Y17" s="87" t="s">
        <v>76</v>
      </c>
      <c r="AO17" s="87" t="s">
        <v>77</v>
      </c>
      <c r="AP17" s="87" t="s">
        <v>76</v>
      </c>
    </row>
    <row r="18" spans="1:43" s="82" customFormat="1">
      <c r="A18" s="190">
        <v>12</v>
      </c>
      <c r="B18" s="93" t="s">
        <v>147</v>
      </c>
      <c r="C18" s="94">
        <f t="shared" ref="C18:M18" si="11">$N$18/$N$6*C6</f>
        <v>112859.99999999999</v>
      </c>
      <c r="D18" s="94">
        <f t="shared" si="11"/>
        <v>0</v>
      </c>
      <c r="E18" s="94">
        <f t="shared" si="11"/>
        <v>0</v>
      </c>
      <c r="F18" s="94">
        <f t="shared" si="11"/>
        <v>0</v>
      </c>
      <c r="G18" s="94">
        <f t="shared" si="11"/>
        <v>0</v>
      </c>
      <c r="H18" s="94">
        <f t="shared" si="11"/>
        <v>0</v>
      </c>
      <c r="I18" s="94">
        <f t="shared" si="11"/>
        <v>0</v>
      </c>
      <c r="J18" s="94">
        <f t="shared" si="11"/>
        <v>0</v>
      </c>
      <c r="K18" s="94">
        <f t="shared" si="11"/>
        <v>0</v>
      </c>
      <c r="L18" s="94">
        <f t="shared" si="11"/>
        <v>0</v>
      </c>
      <c r="M18" s="94">
        <f t="shared" si="11"/>
        <v>0</v>
      </c>
      <c r="N18" s="90">
        <f>项目投资!F26</f>
        <v>112860</v>
      </c>
      <c r="O18" s="105" t="s">
        <v>148</v>
      </c>
      <c r="P18" s="105"/>
      <c r="Q18" s="105"/>
    </row>
    <row r="19" spans="1:43">
      <c r="A19" s="190">
        <v>13</v>
      </c>
      <c r="B19" s="87" t="s">
        <v>78</v>
      </c>
      <c r="C19" s="90">
        <f t="shared" ref="C19:M19" si="12">C6*C44</f>
        <v>72240</v>
      </c>
      <c r="D19" s="90">
        <f t="shared" si="12"/>
        <v>0</v>
      </c>
      <c r="E19" s="90">
        <f t="shared" si="12"/>
        <v>0</v>
      </c>
      <c r="F19" s="90">
        <f t="shared" si="12"/>
        <v>0</v>
      </c>
      <c r="G19" s="90">
        <f t="shared" si="12"/>
        <v>0</v>
      </c>
      <c r="H19" s="90">
        <f t="shared" si="12"/>
        <v>0</v>
      </c>
      <c r="I19" s="90">
        <f t="shared" si="12"/>
        <v>0</v>
      </c>
      <c r="J19" s="90">
        <f t="shared" si="12"/>
        <v>0</v>
      </c>
      <c r="K19" s="90">
        <f t="shared" si="12"/>
        <v>0</v>
      </c>
      <c r="L19" s="90">
        <f t="shared" si="12"/>
        <v>0</v>
      </c>
      <c r="M19" s="90">
        <f t="shared" si="12"/>
        <v>0</v>
      </c>
      <c r="N19" s="90">
        <f t="shared" si="10"/>
        <v>72240</v>
      </c>
      <c r="O19" s="82"/>
      <c r="Y19" s="87" t="s">
        <v>78</v>
      </c>
      <c r="AO19" s="87" t="s">
        <v>79</v>
      </c>
      <c r="AP19" s="87" t="s">
        <v>78</v>
      </c>
      <c r="AQ19" s="84" t="s">
        <v>52</v>
      </c>
    </row>
    <row r="20" spans="1:43">
      <c r="A20" s="190">
        <v>14</v>
      </c>
      <c r="B20" s="87" t="s">
        <v>80</v>
      </c>
      <c r="C20" s="90">
        <f t="shared" ref="C20:M20" si="13">C6*C45</f>
        <v>350880</v>
      </c>
      <c r="D20" s="90">
        <f t="shared" si="13"/>
        <v>0</v>
      </c>
      <c r="E20" s="90">
        <f t="shared" si="13"/>
        <v>0</v>
      </c>
      <c r="F20" s="90">
        <f t="shared" si="13"/>
        <v>0</v>
      </c>
      <c r="G20" s="90">
        <f t="shared" si="13"/>
        <v>0</v>
      </c>
      <c r="H20" s="90">
        <f t="shared" si="13"/>
        <v>0</v>
      </c>
      <c r="I20" s="90">
        <f t="shared" si="13"/>
        <v>0</v>
      </c>
      <c r="J20" s="90">
        <f t="shared" si="13"/>
        <v>0</v>
      </c>
      <c r="K20" s="90">
        <f t="shared" si="13"/>
        <v>0</v>
      </c>
      <c r="L20" s="90">
        <f t="shared" si="13"/>
        <v>0</v>
      </c>
      <c r="M20" s="90">
        <f t="shared" si="13"/>
        <v>0</v>
      </c>
      <c r="N20" s="90">
        <f t="shared" si="10"/>
        <v>350880</v>
      </c>
      <c r="Y20" s="87" t="s">
        <v>80</v>
      </c>
      <c r="AO20" s="87" t="s">
        <v>81</v>
      </c>
      <c r="AP20" s="87" t="s">
        <v>80</v>
      </c>
    </row>
    <row r="21" spans="1:43">
      <c r="A21" s="190">
        <v>15</v>
      </c>
      <c r="B21" s="87" t="s">
        <v>82</v>
      </c>
      <c r="C21" s="95">
        <f t="shared" ref="C21:M21" si="14">$N$21/$N$6*C6</f>
        <v>30800.000000000004</v>
      </c>
      <c r="D21" s="95">
        <f t="shared" si="14"/>
        <v>0</v>
      </c>
      <c r="E21" s="95">
        <f t="shared" si="14"/>
        <v>0</v>
      </c>
      <c r="F21" s="95">
        <f t="shared" si="14"/>
        <v>0</v>
      </c>
      <c r="G21" s="95">
        <f t="shared" si="14"/>
        <v>0</v>
      </c>
      <c r="H21" s="95">
        <f t="shared" si="14"/>
        <v>0</v>
      </c>
      <c r="I21" s="95">
        <f t="shared" si="14"/>
        <v>0</v>
      </c>
      <c r="J21" s="95">
        <f t="shared" si="14"/>
        <v>0</v>
      </c>
      <c r="K21" s="95">
        <f t="shared" si="14"/>
        <v>0</v>
      </c>
      <c r="L21" s="95">
        <f t="shared" si="14"/>
        <v>0</v>
      </c>
      <c r="M21" s="95">
        <f t="shared" si="14"/>
        <v>0</v>
      </c>
      <c r="N21" s="90">
        <f>项目投资!F27</f>
        <v>30800</v>
      </c>
      <c r="Y21" s="87" t="s">
        <v>82</v>
      </c>
      <c r="AO21" s="87"/>
      <c r="AP21" s="87"/>
    </row>
    <row r="22" spans="1:43">
      <c r="A22" s="190">
        <v>16</v>
      </c>
      <c r="B22" s="87" t="s">
        <v>83</v>
      </c>
      <c r="C22" s="90">
        <f t="shared" ref="C22:M22" si="15">C6*C47</f>
        <v>309600</v>
      </c>
      <c r="D22" s="90">
        <f t="shared" si="15"/>
        <v>0</v>
      </c>
      <c r="E22" s="90">
        <f t="shared" si="15"/>
        <v>0</v>
      </c>
      <c r="F22" s="90">
        <f t="shared" si="15"/>
        <v>0</v>
      </c>
      <c r="G22" s="90">
        <f t="shared" si="15"/>
        <v>0</v>
      </c>
      <c r="H22" s="90">
        <f t="shared" si="15"/>
        <v>0</v>
      </c>
      <c r="I22" s="90">
        <f t="shared" si="15"/>
        <v>0</v>
      </c>
      <c r="J22" s="90">
        <f t="shared" si="15"/>
        <v>0</v>
      </c>
      <c r="K22" s="90">
        <f t="shared" si="15"/>
        <v>0</v>
      </c>
      <c r="L22" s="90">
        <f t="shared" si="15"/>
        <v>0</v>
      </c>
      <c r="M22" s="90">
        <f t="shared" si="15"/>
        <v>0</v>
      </c>
      <c r="N22" s="90">
        <f>+SUM(C22:M22)</f>
        <v>309600</v>
      </c>
      <c r="Y22" s="87" t="s">
        <v>83</v>
      </c>
      <c r="AO22" s="87" t="s">
        <v>84</v>
      </c>
      <c r="AP22" s="87" t="s">
        <v>83</v>
      </c>
    </row>
    <row r="23" spans="1:43">
      <c r="A23" s="190">
        <v>17</v>
      </c>
      <c r="B23" s="91" t="s">
        <v>85</v>
      </c>
      <c r="C23" s="95">
        <f t="shared" ref="C23:N23" si="16">+C22+C21+C20+C19+C17</f>
        <v>1299500</v>
      </c>
      <c r="D23" s="95">
        <f t="shared" si="16"/>
        <v>0</v>
      </c>
      <c r="E23" s="95">
        <f t="shared" si="16"/>
        <v>0</v>
      </c>
      <c r="F23" s="95">
        <f t="shared" si="16"/>
        <v>0</v>
      </c>
      <c r="G23" s="95">
        <f t="shared" si="16"/>
        <v>0</v>
      </c>
      <c r="H23" s="95">
        <f t="shared" si="16"/>
        <v>0</v>
      </c>
      <c r="I23" s="95">
        <f t="shared" si="16"/>
        <v>0</v>
      </c>
      <c r="J23" s="95">
        <f t="shared" si="16"/>
        <v>0</v>
      </c>
      <c r="K23" s="95">
        <f t="shared" si="16"/>
        <v>0</v>
      </c>
      <c r="L23" s="95">
        <f t="shared" si="16"/>
        <v>0</v>
      </c>
      <c r="M23" s="95">
        <f t="shared" si="16"/>
        <v>0</v>
      </c>
      <c r="N23" s="95">
        <f t="shared" si="16"/>
        <v>1299500</v>
      </c>
      <c r="Y23" s="91" t="s">
        <v>85</v>
      </c>
      <c r="AO23" s="87" t="s">
        <v>86</v>
      </c>
      <c r="AP23" s="91" t="s">
        <v>85</v>
      </c>
    </row>
    <row r="24" spans="1:43">
      <c r="A24" s="190">
        <v>18</v>
      </c>
      <c r="B24" s="96" t="s">
        <v>87</v>
      </c>
      <c r="C24" s="95">
        <f t="shared" ref="C24:N24" si="17">+C15-C23</f>
        <v>869977.83498437516</v>
      </c>
      <c r="D24" s="95">
        <f t="shared" si="17"/>
        <v>0</v>
      </c>
      <c r="E24" s="95">
        <f t="shared" si="17"/>
        <v>0</v>
      </c>
      <c r="F24" s="95">
        <f t="shared" si="17"/>
        <v>0</v>
      </c>
      <c r="G24" s="95">
        <f t="shared" si="17"/>
        <v>0</v>
      </c>
      <c r="H24" s="95">
        <f t="shared" si="17"/>
        <v>0</v>
      </c>
      <c r="I24" s="95">
        <f t="shared" si="17"/>
        <v>0</v>
      </c>
      <c r="J24" s="95">
        <f t="shared" si="17"/>
        <v>0</v>
      </c>
      <c r="K24" s="95">
        <f t="shared" si="17"/>
        <v>0</v>
      </c>
      <c r="L24" s="95">
        <f t="shared" si="17"/>
        <v>0</v>
      </c>
      <c r="M24" s="95">
        <f t="shared" si="17"/>
        <v>0</v>
      </c>
      <c r="N24" s="95">
        <f t="shared" si="17"/>
        <v>869977.83498437516</v>
      </c>
      <c r="P24" s="106"/>
      <c r="Y24" s="87" t="s">
        <v>87</v>
      </c>
      <c r="AO24" s="87" t="s">
        <v>88</v>
      </c>
      <c r="AP24" s="87" t="s">
        <v>87</v>
      </c>
    </row>
    <row r="25" spans="1:43">
      <c r="A25" s="190">
        <v>19</v>
      </c>
      <c r="B25" s="87" t="s">
        <v>284</v>
      </c>
      <c r="C25" s="95">
        <f>IF(C24&lt;0,0,C24*0.15)</f>
        <v>130496.67524765627</v>
      </c>
      <c r="D25" s="95">
        <f t="shared" ref="D25:N25" si="18">IF(D24&lt;0,0,D24*0.15)</f>
        <v>0</v>
      </c>
      <c r="E25" s="95">
        <f t="shared" si="18"/>
        <v>0</v>
      </c>
      <c r="F25" s="95">
        <f t="shared" si="18"/>
        <v>0</v>
      </c>
      <c r="G25" s="95">
        <f t="shared" si="18"/>
        <v>0</v>
      </c>
      <c r="H25" s="95">
        <f t="shared" si="18"/>
        <v>0</v>
      </c>
      <c r="I25" s="95">
        <f t="shared" si="18"/>
        <v>0</v>
      </c>
      <c r="J25" s="95">
        <f t="shared" si="18"/>
        <v>0</v>
      </c>
      <c r="K25" s="95">
        <f t="shared" si="18"/>
        <v>0</v>
      </c>
      <c r="L25" s="95">
        <f t="shared" si="18"/>
        <v>0</v>
      </c>
      <c r="M25" s="95">
        <f t="shared" si="18"/>
        <v>0</v>
      </c>
      <c r="N25" s="95">
        <f t="shared" si="18"/>
        <v>130496.67524765627</v>
      </c>
      <c r="O25" s="2"/>
      <c r="P25" s="2"/>
      <c r="Q25" s="2"/>
      <c r="Y25" s="87" t="s">
        <v>34</v>
      </c>
      <c r="AO25" s="87" t="s">
        <v>89</v>
      </c>
      <c r="AP25" s="87" t="s">
        <v>34</v>
      </c>
    </row>
    <row r="26" spans="1:43">
      <c r="A26" s="190">
        <v>20</v>
      </c>
      <c r="B26" s="87" t="s">
        <v>90</v>
      </c>
      <c r="C26" s="95">
        <f t="shared" ref="C26:M26" si="19">C24-C25</f>
        <v>739481.15973671887</v>
      </c>
      <c r="D26" s="95">
        <f t="shared" si="19"/>
        <v>0</v>
      </c>
      <c r="E26" s="95">
        <f t="shared" si="19"/>
        <v>0</v>
      </c>
      <c r="F26" s="95">
        <f t="shared" si="19"/>
        <v>0</v>
      </c>
      <c r="G26" s="95">
        <f t="shared" si="19"/>
        <v>0</v>
      </c>
      <c r="H26" s="95">
        <f t="shared" si="19"/>
        <v>0</v>
      </c>
      <c r="I26" s="95">
        <f t="shared" si="19"/>
        <v>0</v>
      </c>
      <c r="J26" s="95">
        <f t="shared" si="19"/>
        <v>0</v>
      </c>
      <c r="K26" s="95">
        <f t="shared" si="19"/>
        <v>0</v>
      </c>
      <c r="L26" s="95">
        <f t="shared" si="19"/>
        <v>0</v>
      </c>
      <c r="M26" s="95">
        <f t="shared" si="19"/>
        <v>0</v>
      </c>
      <c r="N26" s="90">
        <f>+SUM(C26:M26)</f>
        <v>739481.15973671887</v>
      </c>
      <c r="O26" s="2"/>
      <c r="P26" s="2"/>
      <c r="Q26" s="2"/>
      <c r="Y26" s="87" t="s">
        <v>90</v>
      </c>
      <c r="AO26" s="87" t="s">
        <v>91</v>
      </c>
      <c r="AP26" s="87" t="s">
        <v>90</v>
      </c>
    </row>
    <row r="27" spans="1:43">
      <c r="A27" s="190">
        <v>21</v>
      </c>
      <c r="B27" s="87" t="s">
        <v>94</v>
      </c>
      <c r="C27" s="97">
        <f t="shared" ref="C27:N27" si="20">C26/C7</f>
        <v>7.1655151137278966E-2</v>
      </c>
      <c r="D27" s="97" t="e">
        <f t="shared" si="20"/>
        <v>#DIV/0!</v>
      </c>
      <c r="E27" s="97" t="e">
        <f t="shared" si="20"/>
        <v>#DIV/0!</v>
      </c>
      <c r="F27" s="97" t="e">
        <f t="shared" si="20"/>
        <v>#DIV/0!</v>
      </c>
      <c r="G27" s="97" t="e">
        <f t="shared" si="20"/>
        <v>#DIV/0!</v>
      </c>
      <c r="H27" s="97" t="e">
        <f t="shared" si="20"/>
        <v>#DIV/0!</v>
      </c>
      <c r="I27" s="97" t="e">
        <f t="shared" si="20"/>
        <v>#DIV/0!</v>
      </c>
      <c r="J27" s="97" t="e">
        <f t="shared" si="20"/>
        <v>#DIV/0!</v>
      </c>
      <c r="K27" s="97" t="e">
        <f t="shared" si="20"/>
        <v>#DIV/0!</v>
      </c>
      <c r="L27" s="97" t="e">
        <f t="shared" si="20"/>
        <v>#DIV/0!</v>
      </c>
      <c r="M27" s="97" t="e">
        <f t="shared" si="20"/>
        <v>#DIV/0!</v>
      </c>
      <c r="N27" s="107">
        <f t="shared" si="20"/>
        <v>7.1655151137278966E-2</v>
      </c>
      <c r="O27" s="2"/>
      <c r="P27" s="2"/>
      <c r="Q27" s="2"/>
      <c r="Y27" s="87" t="s">
        <v>94</v>
      </c>
      <c r="AO27" s="87" t="s">
        <v>93</v>
      </c>
      <c r="AP27" s="87" t="s">
        <v>94</v>
      </c>
    </row>
    <row r="28" spans="1:43">
      <c r="O28" s="2"/>
      <c r="P28" s="2"/>
      <c r="Q28" s="2"/>
      <c r="Y28" s="87"/>
    </row>
    <row r="29" spans="1:43">
      <c r="A29" s="84" t="s">
        <v>95</v>
      </c>
      <c r="N29" s="85" t="s">
        <v>149</v>
      </c>
      <c r="O29" s="2"/>
      <c r="P29" s="2"/>
      <c r="Q29" s="2"/>
      <c r="Y29" s="87"/>
      <c r="AO29" s="84" t="s">
        <v>95</v>
      </c>
    </row>
    <row r="30" spans="1:43">
      <c r="A30" s="87" t="s">
        <v>96</v>
      </c>
      <c r="B30" s="91" t="s">
        <v>97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2"/>
      <c r="P30" s="2"/>
      <c r="Q30" s="2"/>
      <c r="S30" s="2"/>
      <c r="Y30" s="91" t="s">
        <v>97</v>
      </c>
      <c r="AO30" s="87" t="s">
        <v>98</v>
      </c>
      <c r="AP30" s="91" t="s">
        <v>97</v>
      </c>
    </row>
    <row r="31" spans="1:43">
      <c r="A31" s="190">
        <v>1</v>
      </c>
      <c r="B31" s="93" t="s">
        <v>99</v>
      </c>
      <c r="C31" s="98">
        <f>销量!C8</f>
        <v>1720</v>
      </c>
      <c r="D31" s="98">
        <f>销量!D8</f>
        <v>0</v>
      </c>
      <c r="E31" s="98">
        <f>销量!E8</f>
        <v>0</v>
      </c>
      <c r="F31" s="98">
        <f>销量!F8</f>
        <v>0</v>
      </c>
      <c r="G31" s="98">
        <f>销量!G8</f>
        <v>0</v>
      </c>
      <c r="H31" s="98">
        <f>销量!H8</f>
        <v>0</v>
      </c>
      <c r="I31" s="98">
        <f>销量!I8</f>
        <v>0</v>
      </c>
      <c r="J31" s="98">
        <f>销量!J8</f>
        <v>0</v>
      </c>
      <c r="K31" s="98">
        <f>销量!K8</f>
        <v>0</v>
      </c>
      <c r="L31" s="98">
        <f>销量!L8</f>
        <v>0</v>
      </c>
      <c r="M31" s="98">
        <f>销量!M8</f>
        <v>0</v>
      </c>
      <c r="N31" s="95"/>
      <c r="O31" s="2"/>
      <c r="P31" s="2"/>
      <c r="Q31" s="2"/>
      <c r="S31" s="2"/>
      <c r="Y31" s="87" t="s">
        <v>99</v>
      </c>
      <c r="AO31" s="87" t="s">
        <v>54</v>
      </c>
      <c r="AP31" s="87" t="s">
        <v>99</v>
      </c>
    </row>
    <row r="32" spans="1:43">
      <c r="A32" s="190">
        <v>2</v>
      </c>
      <c r="B32" s="87" t="s">
        <v>150</v>
      </c>
      <c r="C32" s="90">
        <f t="shared" ref="C32:M32" si="21">C31*1</f>
        <v>1720</v>
      </c>
      <c r="D32" s="90">
        <f t="shared" si="21"/>
        <v>0</v>
      </c>
      <c r="E32" s="90">
        <f t="shared" si="21"/>
        <v>0</v>
      </c>
      <c r="F32" s="90">
        <f t="shared" si="21"/>
        <v>0</v>
      </c>
      <c r="G32" s="90">
        <f t="shared" si="21"/>
        <v>0</v>
      </c>
      <c r="H32" s="90">
        <f t="shared" si="21"/>
        <v>0</v>
      </c>
      <c r="I32" s="90">
        <f t="shared" si="21"/>
        <v>0</v>
      </c>
      <c r="J32" s="90">
        <f t="shared" si="21"/>
        <v>0</v>
      </c>
      <c r="K32" s="90">
        <f t="shared" si="21"/>
        <v>0</v>
      </c>
      <c r="L32" s="90">
        <f t="shared" si="21"/>
        <v>0</v>
      </c>
      <c r="M32" s="90">
        <f t="shared" si="21"/>
        <v>0</v>
      </c>
      <c r="N32" s="95"/>
      <c r="O32" s="2"/>
      <c r="P32" s="2"/>
      <c r="Q32" s="2"/>
      <c r="R32" s="2"/>
      <c r="S32" s="2"/>
      <c r="T32" s="2"/>
      <c r="U32" s="2"/>
      <c r="AO32" s="87"/>
      <c r="AP32" s="87"/>
    </row>
    <row r="33" spans="1:42">
      <c r="A33" s="190">
        <v>3</v>
      </c>
      <c r="B33" s="93" t="s">
        <v>100</v>
      </c>
      <c r="C33" s="90">
        <f>材料成本!D16</f>
        <v>1086.3593608359374</v>
      </c>
      <c r="D33" s="90">
        <f>材料成本!E16</f>
        <v>0</v>
      </c>
      <c r="E33" s="90">
        <f>材料成本!F16</f>
        <v>0</v>
      </c>
      <c r="F33" s="90">
        <f>材料成本!G16</f>
        <v>0</v>
      </c>
      <c r="G33" s="90">
        <f>材料成本!H16</f>
        <v>0</v>
      </c>
      <c r="H33" s="90">
        <f>材料成本!I16</f>
        <v>0</v>
      </c>
      <c r="I33" s="90">
        <f>材料成本!J16</f>
        <v>0</v>
      </c>
      <c r="J33" s="90">
        <f>材料成本!K16</f>
        <v>0</v>
      </c>
      <c r="K33" s="90">
        <f>材料成本!L16</f>
        <v>0</v>
      </c>
      <c r="L33" s="90">
        <f>材料成本!M16</f>
        <v>0</v>
      </c>
      <c r="M33" s="90">
        <f>材料成本!N16</f>
        <v>0</v>
      </c>
      <c r="N33" s="95"/>
      <c r="P33" s="2"/>
      <c r="Q33" s="2"/>
      <c r="R33" s="2"/>
      <c r="S33" s="2"/>
      <c r="T33" s="2"/>
      <c r="U33" s="2"/>
      <c r="Y33" s="87" t="s">
        <v>100</v>
      </c>
      <c r="AO33" s="87" t="s">
        <v>56</v>
      </c>
      <c r="AP33" s="87" t="s">
        <v>100</v>
      </c>
    </row>
    <row r="34" spans="1:42" ht="17.25" customHeight="1">
      <c r="A34" s="190">
        <v>4</v>
      </c>
      <c r="B34" s="87" t="s">
        <v>102</v>
      </c>
      <c r="C34" s="99">
        <f t="shared" ref="C34:M34" si="22">C32-C33</f>
        <v>633.64063916406258</v>
      </c>
      <c r="D34" s="99">
        <f t="shared" si="22"/>
        <v>0</v>
      </c>
      <c r="E34" s="99">
        <f t="shared" si="22"/>
        <v>0</v>
      </c>
      <c r="F34" s="99">
        <f t="shared" si="22"/>
        <v>0</v>
      </c>
      <c r="G34" s="99">
        <f t="shared" si="22"/>
        <v>0</v>
      </c>
      <c r="H34" s="99">
        <f t="shared" si="22"/>
        <v>0</v>
      </c>
      <c r="I34" s="99">
        <f t="shared" si="22"/>
        <v>0</v>
      </c>
      <c r="J34" s="99">
        <f t="shared" si="22"/>
        <v>0</v>
      </c>
      <c r="K34" s="99">
        <f t="shared" si="22"/>
        <v>0</v>
      </c>
      <c r="L34" s="99">
        <f t="shared" si="22"/>
        <v>0</v>
      </c>
      <c r="M34" s="99">
        <f t="shared" si="22"/>
        <v>0</v>
      </c>
      <c r="N34" s="95"/>
      <c r="P34" s="2"/>
      <c r="Q34" s="2"/>
      <c r="R34" s="2"/>
      <c r="S34" s="2"/>
      <c r="T34" s="2"/>
      <c r="U34" s="2"/>
      <c r="Y34" s="87" t="s">
        <v>102</v>
      </c>
      <c r="AO34" s="87" t="s">
        <v>101</v>
      </c>
      <c r="AP34" s="87" t="s">
        <v>102</v>
      </c>
    </row>
    <row r="35" spans="1:42">
      <c r="A35" s="87" t="s">
        <v>98</v>
      </c>
      <c r="B35" s="91" t="s">
        <v>8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2"/>
      <c r="P35" s="2"/>
      <c r="Q35" s="2"/>
      <c r="R35" s="2"/>
      <c r="S35" s="2"/>
      <c r="T35" s="2"/>
      <c r="U35" s="2"/>
      <c r="V35" s="2"/>
      <c r="W35" s="2"/>
      <c r="X35" s="2"/>
      <c r="Y35" s="91" t="s">
        <v>8</v>
      </c>
      <c r="AO35" s="87" t="s">
        <v>104</v>
      </c>
      <c r="AP35" s="91" t="s">
        <v>8</v>
      </c>
    </row>
    <row r="36" spans="1:42">
      <c r="A36" s="190">
        <v>1</v>
      </c>
      <c r="B36" s="87" t="s">
        <v>105</v>
      </c>
      <c r="C36" s="94">
        <f>标准成本!D4</f>
        <v>74.132000000000005</v>
      </c>
      <c r="D36" s="94">
        <f>标准成本!D16</f>
        <v>0</v>
      </c>
      <c r="E36" s="94">
        <f>标准成本!D29</f>
        <v>0</v>
      </c>
      <c r="F36" s="94">
        <f>标准成本!D42</f>
        <v>0</v>
      </c>
      <c r="G36" s="94">
        <f>标准成本!D55</f>
        <v>0</v>
      </c>
      <c r="H36" s="94">
        <f>标准成本!D68</f>
        <v>0</v>
      </c>
      <c r="I36" s="94">
        <f>标准成本!D81</f>
        <v>0</v>
      </c>
      <c r="J36" s="94">
        <f>标准成本!D94</f>
        <v>0</v>
      </c>
      <c r="K36" s="94">
        <f>标准成本!D107</f>
        <v>0</v>
      </c>
      <c r="L36" s="94">
        <f>标准成本!D120</f>
        <v>0</v>
      </c>
      <c r="M36" s="94">
        <f>标准成本!D133</f>
        <v>0</v>
      </c>
      <c r="N36" s="98"/>
      <c r="O36" s="2"/>
      <c r="P36" s="2"/>
      <c r="Q36" s="2"/>
      <c r="R36" s="2"/>
      <c r="S36" s="2"/>
      <c r="T36" s="2"/>
      <c r="U36" s="2"/>
      <c r="V36" s="2"/>
      <c r="W36" s="2"/>
      <c r="X36" s="2"/>
      <c r="Y36" s="87" t="s">
        <v>105</v>
      </c>
      <c r="AO36" s="87" t="s">
        <v>101</v>
      </c>
      <c r="AP36" s="87" t="s">
        <v>105</v>
      </c>
    </row>
    <row r="37" spans="1:42">
      <c r="A37" s="190">
        <v>2</v>
      </c>
      <c r="B37" s="87" t="s">
        <v>106</v>
      </c>
      <c r="C37" s="94">
        <f>标准成本!D6</f>
        <v>37.323999999999998</v>
      </c>
      <c r="D37" s="94">
        <f>标准成本!D18</f>
        <v>0</v>
      </c>
      <c r="E37" s="94">
        <f>标准成本!D31</f>
        <v>0</v>
      </c>
      <c r="F37" s="94">
        <f>标准成本!D44</f>
        <v>0</v>
      </c>
      <c r="G37" s="94">
        <f>标准成本!D57</f>
        <v>0</v>
      </c>
      <c r="H37" s="94">
        <f>标准成本!D70</f>
        <v>0</v>
      </c>
      <c r="I37" s="94">
        <f>标准成本!D83</f>
        <v>0</v>
      </c>
      <c r="J37" s="94">
        <f>标准成本!D96</f>
        <v>0</v>
      </c>
      <c r="K37" s="94">
        <f>标准成本!D109</f>
        <v>0</v>
      </c>
      <c r="L37" s="94">
        <f>标准成本!D122</f>
        <v>0</v>
      </c>
      <c r="M37" s="94">
        <f>标准成本!D135</f>
        <v>0</v>
      </c>
      <c r="N37" s="98"/>
      <c r="O37" s="2"/>
      <c r="P37" s="2"/>
      <c r="Q37" s="2"/>
      <c r="R37" s="2"/>
      <c r="S37" s="2"/>
      <c r="T37" s="2"/>
      <c r="U37" s="2"/>
      <c r="V37" s="2"/>
      <c r="W37" s="2"/>
      <c r="X37" s="2"/>
      <c r="Y37" s="87" t="s">
        <v>106</v>
      </c>
      <c r="AO37" s="87" t="s">
        <v>59</v>
      </c>
      <c r="AP37" s="87" t="s">
        <v>106</v>
      </c>
    </row>
    <row r="38" spans="1:42">
      <c r="A38" s="190">
        <v>3</v>
      </c>
      <c r="B38" s="87" t="s">
        <v>107</v>
      </c>
      <c r="C38" s="94">
        <f>标准成本!D10</f>
        <v>75.679999999999993</v>
      </c>
      <c r="D38" s="94">
        <f>标准成本!D22</f>
        <v>0</v>
      </c>
      <c r="E38" s="94">
        <f>标准成本!D35</f>
        <v>0</v>
      </c>
      <c r="F38" s="94">
        <f>标准成本!D48</f>
        <v>0</v>
      </c>
      <c r="G38" s="94">
        <f>标准成本!D61</f>
        <v>0</v>
      </c>
      <c r="H38" s="94">
        <f>标准成本!D74</f>
        <v>0</v>
      </c>
      <c r="I38" s="94">
        <f>标准成本!D87</f>
        <v>0</v>
      </c>
      <c r="J38" s="94">
        <f>标准成本!D100</f>
        <v>0</v>
      </c>
      <c r="K38" s="94">
        <f>标准成本!D113</f>
        <v>0</v>
      </c>
      <c r="L38" s="94">
        <f>标准成本!D126</f>
        <v>0</v>
      </c>
      <c r="M38" s="94">
        <f>标准成本!D139</f>
        <v>0</v>
      </c>
      <c r="N38" s="98"/>
      <c r="O38" s="2"/>
      <c r="P38" s="2"/>
      <c r="Q38" s="2"/>
      <c r="R38" s="2"/>
      <c r="S38" s="2"/>
      <c r="T38" s="2"/>
      <c r="U38" s="2"/>
      <c r="V38" s="2"/>
      <c r="W38" s="2"/>
      <c r="X38" s="2"/>
      <c r="Y38" s="87" t="s">
        <v>107</v>
      </c>
      <c r="AO38" s="87" t="s">
        <v>65</v>
      </c>
      <c r="AP38" s="87" t="s">
        <v>107</v>
      </c>
    </row>
    <row r="39" spans="1:42">
      <c r="A39" s="87" t="s">
        <v>104</v>
      </c>
      <c r="B39" s="91" t="s">
        <v>109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Y39" s="91" t="s">
        <v>109</v>
      </c>
      <c r="AO39" s="87" t="s">
        <v>108</v>
      </c>
      <c r="AP39" s="91" t="s">
        <v>109</v>
      </c>
    </row>
    <row r="40" spans="1:42">
      <c r="A40" s="190">
        <v>1</v>
      </c>
      <c r="B40" s="87" t="s">
        <v>111</v>
      </c>
      <c r="C40" s="95">
        <f t="shared" ref="C40:M40" si="23">C34-C36-C37-C38</f>
        <v>446.50463916406255</v>
      </c>
      <c r="D40" s="95">
        <f t="shared" si="23"/>
        <v>0</v>
      </c>
      <c r="E40" s="95">
        <f t="shared" si="23"/>
        <v>0</v>
      </c>
      <c r="F40" s="95">
        <f t="shared" si="23"/>
        <v>0</v>
      </c>
      <c r="G40" s="95">
        <f t="shared" si="23"/>
        <v>0</v>
      </c>
      <c r="H40" s="95">
        <f t="shared" si="23"/>
        <v>0</v>
      </c>
      <c r="I40" s="95">
        <f t="shared" si="23"/>
        <v>0</v>
      </c>
      <c r="J40" s="95">
        <f t="shared" si="23"/>
        <v>0</v>
      </c>
      <c r="K40" s="95">
        <f t="shared" si="23"/>
        <v>0</v>
      </c>
      <c r="L40" s="95">
        <f t="shared" si="23"/>
        <v>0</v>
      </c>
      <c r="M40" s="95">
        <f t="shared" si="23"/>
        <v>0</v>
      </c>
      <c r="N40" s="95"/>
      <c r="Y40" s="87" t="s">
        <v>111</v>
      </c>
      <c r="AO40" s="87" t="s">
        <v>54</v>
      </c>
      <c r="AP40" s="87" t="s">
        <v>111</v>
      </c>
    </row>
    <row r="41" spans="1:42">
      <c r="A41" s="190">
        <v>2</v>
      </c>
      <c r="B41" s="87" t="s">
        <v>112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Y41" s="87" t="s">
        <v>112</v>
      </c>
      <c r="AO41" s="87" t="s">
        <v>56</v>
      </c>
      <c r="AP41" s="87" t="s">
        <v>112</v>
      </c>
    </row>
    <row r="42" spans="1:42">
      <c r="A42" s="87" t="s">
        <v>108</v>
      </c>
      <c r="B42" s="91" t="s">
        <v>114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Y42" s="91" t="s">
        <v>114</v>
      </c>
      <c r="AO42" s="87" t="s">
        <v>113</v>
      </c>
      <c r="AP42" s="91" t="s">
        <v>114</v>
      </c>
    </row>
    <row r="43" spans="1:42">
      <c r="A43" s="190">
        <v>1</v>
      </c>
      <c r="B43" s="96" t="s">
        <v>115</v>
      </c>
      <c r="C43" s="94">
        <f>标准成本!D5</f>
        <v>70.52</v>
      </c>
      <c r="D43" s="94">
        <f>标准成本!D17</f>
        <v>0</v>
      </c>
      <c r="E43" s="94">
        <f>标准成本!D30</f>
        <v>0</v>
      </c>
      <c r="F43" s="94">
        <f>标准成本!D43</f>
        <v>0</v>
      </c>
      <c r="G43" s="94">
        <f>标准成本!D56</f>
        <v>0</v>
      </c>
      <c r="H43" s="94">
        <f>标准成本!D69</f>
        <v>0</v>
      </c>
      <c r="I43" s="94">
        <f>标准成本!D82</f>
        <v>0</v>
      </c>
      <c r="J43" s="94">
        <f>标准成本!D95</f>
        <v>0</v>
      </c>
      <c r="K43" s="94">
        <f>标准成本!D108</f>
        <v>0</v>
      </c>
      <c r="L43" s="94">
        <f>标准成本!D121</f>
        <v>0</v>
      </c>
      <c r="M43" s="94">
        <f>标准成本!D134</f>
        <v>0</v>
      </c>
      <c r="N43" s="95"/>
      <c r="Y43" s="87" t="s">
        <v>115</v>
      </c>
      <c r="AO43" s="87" t="s">
        <v>54</v>
      </c>
      <c r="AP43" s="87" t="s">
        <v>115</v>
      </c>
    </row>
    <row r="44" spans="1:42">
      <c r="A44" s="190">
        <v>2</v>
      </c>
      <c r="B44" s="96" t="s">
        <v>116</v>
      </c>
      <c r="C44" s="94">
        <f>标准成本!D9</f>
        <v>12.040000000000001</v>
      </c>
      <c r="D44" s="94">
        <f>标准成本!D21</f>
        <v>0</v>
      </c>
      <c r="E44" s="94">
        <f>标准成本!D34</f>
        <v>0</v>
      </c>
      <c r="F44" s="94">
        <f>标准成本!D47</f>
        <v>0</v>
      </c>
      <c r="G44" s="94">
        <f>标准成本!D60</f>
        <v>0</v>
      </c>
      <c r="H44" s="94">
        <f>标准成本!D73</f>
        <v>0</v>
      </c>
      <c r="I44" s="94">
        <f>标准成本!D86</f>
        <v>0</v>
      </c>
      <c r="J44" s="94">
        <f>标准成本!D99</f>
        <v>0</v>
      </c>
      <c r="K44" s="94">
        <f>标准成本!D112</f>
        <v>0</v>
      </c>
      <c r="L44" s="94">
        <f>标准成本!D125</f>
        <v>0</v>
      </c>
      <c r="M44" s="94">
        <f>标准成本!D138</f>
        <v>0</v>
      </c>
      <c r="N44" s="95"/>
      <c r="Y44" s="87" t="s">
        <v>116</v>
      </c>
      <c r="AO44" s="87" t="s">
        <v>56</v>
      </c>
      <c r="AP44" s="87" t="s">
        <v>116</v>
      </c>
    </row>
    <row r="45" spans="1:42">
      <c r="A45" s="190">
        <v>3</v>
      </c>
      <c r="B45" s="96" t="s">
        <v>117</v>
      </c>
      <c r="C45" s="94">
        <f>标准成本!D8</f>
        <v>58.480000000000004</v>
      </c>
      <c r="D45" s="94">
        <f>标准成本!D20</f>
        <v>0</v>
      </c>
      <c r="E45" s="94">
        <f>标准成本!D33</f>
        <v>0</v>
      </c>
      <c r="F45" s="94">
        <f>标准成本!D46</f>
        <v>0</v>
      </c>
      <c r="G45" s="94">
        <f>标准成本!D59</f>
        <v>0</v>
      </c>
      <c r="H45" s="94">
        <f>标准成本!D72</f>
        <v>0</v>
      </c>
      <c r="I45" s="94">
        <f>标准成本!D85</f>
        <v>0</v>
      </c>
      <c r="J45" s="94">
        <f>标准成本!D98</f>
        <v>0</v>
      </c>
      <c r="K45" s="94">
        <f>标准成本!D111</f>
        <v>0</v>
      </c>
      <c r="L45" s="94">
        <f>标准成本!D124</f>
        <v>0</v>
      </c>
      <c r="M45" s="94">
        <f>标准成本!D137</f>
        <v>0</v>
      </c>
      <c r="N45" s="95"/>
      <c r="Y45" s="87" t="s">
        <v>117</v>
      </c>
      <c r="AO45" s="87" t="s">
        <v>101</v>
      </c>
      <c r="AP45" s="87" t="s">
        <v>117</v>
      </c>
    </row>
    <row r="46" spans="1:42" s="83" customFormat="1">
      <c r="A46" s="190">
        <v>4</v>
      </c>
      <c r="B46" s="96" t="s">
        <v>118</v>
      </c>
      <c r="C46" s="100">
        <f t="shared" ref="C46:M46" si="24">C21/C6</f>
        <v>5.1333333333333337</v>
      </c>
      <c r="D46" s="100" t="e">
        <f t="shared" si="24"/>
        <v>#DIV/0!</v>
      </c>
      <c r="E46" s="100" t="e">
        <f t="shared" si="24"/>
        <v>#DIV/0!</v>
      </c>
      <c r="F46" s="100" t="e">
        <f t="shared" si="24"/>
        <v>#DIV/0!</v>
      </c>
      <c r="G46" s="100" t="e">
        <f t="shared" si="24"/>
        <v>#DIV/0!</v>
      </c>
      <c r="H46" s="100" t="e">
        <f t="shared" si="24"/>
        <v>#DIV/0!</v>
      </c>
      <c r="I46" s="100" t="e">
        <f t="shared" si="24"/>
        <v>#DIV/0!</v>
      </c>
      <c r="J46" s="100" t="e">
        <f t="shared" si="24"/>
        <v>#DIV/0!</v>
      </c>
      <c r="K46" s="100" t="e">
        <f t="shared" si="24"/>
        <v>#DIV/0!</v>
      </c>
      <c r="L46" s="100" t="e">
        <f t="shared" si="24"/>
        <v>#DIV/0!</v>
      </c>
      <c r="M46" s="100" t="e">
        <f t="shared" si="24"/>
        <v>#DIV/0!</v>
      </c>
      <c r="N46" s="100"/>
      <c r="Y46" s="96" t="s">
        <v>120</v>
      </c>
      <c r="AO46" s="96" t="s">
        <v>62</v>
      </c>
      <c r="AP46" s="96" t="s">
        <v>120</v>
      </c>
    </row>
    <row r="47" spans="1:42" s="83" customFormat="1">
      <c r="A47" s="190">
        <v>5</v>
      </c>
      <c r="B47" s="96" t="s">
        <v>120</v>
      </c>
      <c r="C47" s="100">
        <f>标准成本!D11</f>
        <v>51.6</v>
      </c>
      <c r="D47" s="100">
        <f>标准成本!D23</f>
        <v>0</v>
      </c>
      <c r="E47" s="100">
        <f>标准成本!D36</f>
        <v>0</v>
      </c>
      <c r="F47" s="100">
        <f>标准成本!D49</f>
        <v>0</v>
      </c>
      <c r="G47" s="100">
        <f>标准成本!D62</f>
        <v>0</v>
      </c>
      <c r="H47" s="100">
        <f>标准成本!D75</f>
        <v>0</v>
      </c>
      <c r="I47" s="100">
        <f>标准成本!D88</f>
        <v>0</v>
      </c>
      <c r="J47" s="100">
        <f>标准成本!D101</f>
        <v>0</v>
      </c>
      <c r="K47" s="100">
        <f>标准成本!D114</f>
        <v>0</v>
      </c>
      <c r="L47" s="100">
        <f>标准成本!D127</f>
        <v>0</v>
      </c>
      <c r="M47" s="100">
        <f>标准成本!D140</f>
        <v>0</v>
      </c>
      <c r="N47" s="100"/>
      <c r="Y47" s="96" t="s">
        <v>120</v>
      </c>
      <c r="AO47" s="96" t="s">
        <v>62</v>
      </c>
      <c r="AP47" s="96" t="s">
        <v>120</v>
      </c>
    </row>
    <row r="48" spans="1:42">
      <c r="A48" s="87" t="s">
        <v>113</v>
      </c>
      <c r="B48" s="91" t="s">
        <v>131</v>
      </c>
      <c r="C48" s="95">
        <f t="shared" ref="C48:M48" si="25">C40-C43-C44-C45-C47-C46</f>
        <v>248.73130583072921</v>
      </c>
      <c r="D48" s="95" t="e">
        <f t="shared" si="25"/>
        <v>#DIV/0!</v>
      </c>
      <c r="E48" s="95" t="e">
        <f t="shared" si="25"/>
        <v>#DIV/0!</v>
      </c>
      <c r="F48" s="95" t="e">
        <f t="shared" si="25"/>
        <v>#DIV/0!</v>
      </c>
      <c r="G48" s="95" t="e">
        <f t="shared" si="25"/>
        <v>#DIV/0!</v>
      </c>
      <c r="H48" s="95" t="e">
        <f t="shared" si="25"/>
        <v>#DIV/0!</v>
      </c>
      <c r="I48" s="95" t="e">
        <f t="shared" si="25"/>
        <v>#DIV/0!</v>
      </c>
      <c r="J48" s="95" t="e">
        <f t="shared" si="25"/>
        <v>#DIV/0!</v>
      </c>
      <c r="K48" s="95" t="e">
        <f t="shared" si="25"/>
        <v>#DIV/0!</v>
      </c>
      <c r="L48" s="95" t="e">
        <f t="shared" si="25"/>
        <v>#DIV/0!</v>
      </c>
      <c r="M48" s="95" t="e">
        <f t="shared" si="25"/>
        <v>#DIV/0!</v>
      </c>
      <c r="N48" s="95"/>
      <c r="Y48" s="91" t="s">
        <v>131</v>
      </c>
      <c r="AO48" s="87" t="s">
        <v>130</v>
      </c>
      <c r="AP48" s="91" t="s">
        <v>131</v>
      </c>
    </row>
    <row r="51" spans="2:19"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</row>
    <row r="54" spans="2:19">
      <c r="B54" s="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2"/>
      <c r="P54" s="2"/>
      <c r="Q54" s="2"/>
      <c r="R54" s="2"/>
      <c r="S54" s="2"/>
    </row>
    <row r="55" spans="2:19">
      <c r="B55" s="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2"/>
      <c r="P55" s="2"/>
      <c r="Q55" s="2"/>
      <c r="R55" s="2"/>
      <c r="S55" s="2"/>
    </row>
    <row r="56" spans="2:19">
      <c r="B56" s="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2"/>
      <c r="P56" s="2"/>
      <c r="Q56" s="2"/>
      <c r="R56" s="2"/>
      <c r="S56" s="2"/>
    </row>
    <row r="57" spans="2:19">
      <c r="B57" s="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2"/>
      <c r="P57" s="2"/>
      <c r="Q57" s="2"/>
      <c r="R57" s="2"/>
      <c r="S57" s="2"/>
    </row>
    <row r="58" spans="2:19">
      <c r="B58" s="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2"/>
      <c r="P58" s="2"/>
      <c r="Q58" s="2"/>
      <c r="R58" s="2"/>
      <c r="S58" s="2"/>
    </row>
    <row r="59" spans="2:19">
      <c r="B59" s="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2"/>
      <c r="P59" s="2"/>
      <c r="Q59" s="2"/>
      <c r="R59" s="2"/>
      <c r="S59" s="2"/>
    </row>
    <row r="60" spans="2:19">
      <c r="B60" s="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2"/>
      <c r="P60" s="2"/>
      <c r="Q60" s="2"/>
      <c r="R60" s="2"/>
      <c r="S60" s="2"/>
    </row>
    <row r="61" spans="2:19">
      <c r="B61" s="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2"/>
      <c r="P61" s="2"/>
      <c r="Q61" s="2"/>
      <c r="R61" s="2"/>
      <c r="S61" s="2"/>
    </row>
    <row r="62" spans="2:19">
      <c r="B62" s="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2"/>
      <c r="P62" s="2"/>
      <c r="Q62" s="2"/>
      <c r="R62" s="2"/>
      <c r="S62" s="2"/>
    </row>
    <row r="63" spans="2:19">
      <c r="B63" s="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2"/>
      <c r="P63" s="2"/>
      <c r="Q63" s="2"/>
      <c r="R63" s="2"/>
      <c r="S63" s="2"/>
    </row>
    <row r="64" spans="2:19">
      <c r="B64" s="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2"/>
      <c r="P64" s="2"/>
      <c r="Q64" s="2"/>
      <c r="R64" s="2"/>
      <c r="S64" s="2"/>
    </row>
    <row r="65" spans="2:19">
      <c r="B65" s="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2"/>
      <c r="P65" s="2"/>
      <c r="Q65" s="2"/>
      <c r="R65" s="2"/>
      <c r="S65" s="2"/>
    </row>
    <row r="66" spans="2:19">
      <c r="B66" s="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2"/>
      <c r="P66" s="2"/>
      <c r="Q66" s="2"/>
      <c r="R66" s="2"/>
      <c r="S66" s="2"/>
    </row>
    <row r="67" spans="2:19">
      <c r="B67" s="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2"/>
    </row>
    <row r="68" spans="2:19">
      <c r="B68" s="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2"/>
    </row>
    <row r="69" spans="2:19">
      <c r="B69" s="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2"/>
    </row>
    <row r="70" spans="2:19">
      <c r="B70" s="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2"/>
    </row>
    <row r="71" spans="2:19">
      <c r="B71" s="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2"/>
    </row>
    <row r="72" spans="2:19">
      <c r="B72" s="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2"/>
    </row>
    <row r="73" spans="2:19">
      <c r="B73" s="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2"/>
    </row>
    <row r="74" spans="2:19">
      <c r="B74" s="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2"/>
    </row>
  </sheetData>
  <mergeCells count="8">
    <mergeCell ref="A1:B1"/>
    <mergeCell ref="C1:N1"/>
    <mergeCell ref="A2:B2"/>
    <mergeCell ref="C2:N2"/>
    <mergeCell ref="A3:B3"/>
    <mergeCell ref="N3:N5"/>
    <mergeCell ref="A4:B4"/>
    <mergeCell ref="A5:B5"/>
  </mergeCells>
  <phoneticPr fontId="40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3" activePane="bottomRight" state="frozen"/>
      <selection pane="topRight"/>
      <selection pane="bottomLeft"/>
      <selection pane="bottomRight" activeCell="G7" sqref="G7"/>
    </sheetView>
  </sheetViews>
  <sheetFormatPr defaultColWidth="9" defaultRowHeight="13.5"/>
  <cols>
    <col min="1" max="1" width="19.5" customWidth="1"/>
    <col min="2" max="2" width="14.875" style="55" customWidth="1"/>
    <col min="3" max="3" width="9.25" customWidth="1"/>
    <col min="4" max="4" width="15.5" bestFit="1" customWidth="1"/>
    <col min="5" max="5" width="19.25" customWidth="1"/>
    <col min="6" max="6" width="15.5" bestFit="1" customWidth="1"/>
    <col min="7" max="7" width="17.625" customWidth="1"/>
    <col min="8" max="8" width="24.625" style="263" customWidth="1"/>
    <col min="9" max="9" width="14.875" customWidth="1"/>
    <col min="10" max="10" width="13" customWidth="1"/>
  </cols>
  <sheetData>
    <row r="1" spans="1:9" ht="20.25">
      <c r="A1" s="205" t="s">
        <v>152</v>
      </c>
      <c r="B1" s="205"/>
      <c r="C1" s="205"/>
      <c r="E1" s="206" t="s">
        <v>282</v>
      </c>
      <c r="F1" s="207"/>
      <c r="G1" s="207"/>
      <c r="H1" s="208"/>
    </row>
    <row r="2" spans="1:9" ht="23.45" customHeight="1">
      <c r="A2" s="56" t="s">
        <v>1</v>
      </c>
      <c r="B2" s="57" t="s">
        <v>153</v>
      </c>
      <c r="C2" s="58" t="s">
        <v>154</v>
      </c>
      <c r="E2" s="59" t="s">
        <v>155</v>
      </c>
      <c r="F2" s="59" t="s">
        <v>1</v>
      </c>
      <c r="G2" s="60" t="s">
        <v>156</v>
      </c>
      <c r="H2" s="259" t="s">
        <v>154</v>
      </c>
    </row>
    <row r="3" spans="1:9" ht="15.75" customHeight="1">
      <c r="A3" s="61" t="s">
        <v>157</v>
      </c>
      <c r="B3" s="62"/>
      <c r="C3" s="63"/>
      <c r="E3" s="213" t="s">
        <v>158</v>
      </c>
      <c r="F3" s="64" t="s">
        <v>159</v>
      </c>
      <c r="G3" s="65">
        <v>0</v>
      </c>
      <c r="H3" s="73"/>
      <c r="I3" s="264">
        <f>G3/10000</f>
        <v>0</v>
      </c>
    </row>
    <row r="4" spans="1:9" ht="15.75" customHeight="1">
      <c r="A4" s="61" t="s">
        <v>160</v>
      </c>
      <c r="B4" s="62"/>
      <c r="C4" s="66"/>
      <c r="E4" s="214"/>
      <c r="F4" s="64" t="s">
        <v>161</v>
      </c>
      <c r="G4" s="65">
        <v>32.799999999999997</v>
      </c>
      <c r="H4" s="73" t="s">
        <v>274</v>
      </c>
      <c r="I4" s="264">
        <f t="shared" ref="I4:I21" si="0">G4/10000</f>
        <v>3.2799999999999999E-3</v>
      </c>
    </row>
    <row r="5" spans="1:9" ht="15.75" customHeight="1">
      <c r="A5" s="61" t="s">
        <v>162</v>
      </c>
      <c r="B5" s="67">
        <f>SUM(G3:G4)</f>
        <v>32.799999999999997</v>
      </c>
      <c r="C5" s="63"/>
      <c r="E5" s="215" t="s">
        <v>163</v>
      </c>
      <c r="F5" s="68" t="s">
        <v>164</v>
      </c>
      <c r="G5" s="65">
        <v>0</v>
      </c>
      <c r="H5" s="260"/>
      <c r="I5" s="264">
        <f t="shared" si="0"/>
        <v>0</v>
      </c>
    </row>
    <row r="6" spans="1:9" ht="15.75" customHeight="1">
      <c r="A6" s="61" t="s">
        <v>165</v>
      </c>
      <c r="B6" s="62"/>
      <c r="C6" s="63"/>
      <c r="E6" s="216"/>
      <c r="F6" s="68" t="s">
        <v>166</v>
      </c>
      <c r="G6" s="65">
        <v>19.600000000000001</v>
      </c>
      <c r="H6" s="73" t="s">
        <v>275</v>
      </c>
      <c r="I6" s="264">
        <f t="shared" si="0"/>
        <v>1.9599999999999999E-3</v>
      </c>
    </row>
    <row r="7" spans="1:9" ht="15.75" customHeight="1">
      <c r="A7" s="69" t="s">
        <v>167</v>
      </c>
      <c r="B7" s="67">
        <f>SUM(B3:B6)</f>
        <v>32.799999999999997</v>
      </c>
      <c r="C7" s="63"/>
      <c r="E7" s="216"/>
      <c r="F7" s="68" t="s">
        <v>168</v>
      </c>
      <c r="G7" s="65">
        <v>5</v>
      </c>
      <c r="H7" s="73" t="s">
        <v>276</v>
      </c>
      <c r="I7" s="264">
        <f t="shared" si="0"/>
        <v>5.0000000000000001E-4</v>
      </c>
    </row>
    <row r="8" spans="1:9" ht="15.75" customHeight="1">
      <c r="A8" s="70" t="s">
        <v>169</v>
      </c>
      <c r="B8" s="67">
        <f>SUM(G5:G12)</f>
        <v>26.6</v>
      </c>
      <c r="C8" s="71"/>
      <c r="E8" s="216"/>
      <c r="F8" s="68" t="s">
        <v>170</v>
      </c>
      <c r="G8" s="65">
        <v>0</v>
      </c>
      <c r="H8" s="73"/>
      <c r="I8" s="264">
        <f t="shared" si="0"/>
        <v>0</v>
      </c>
    </row>
    <row r="9" spans="1:9" ht="15.75" customHeight="1">
      <c r="A9" s="61" t="s">
        <v>171</v>
      </c>
      <c r="B9" s="67">
        <f>SUM(G13:G21)</f>
        <v>15.399999999999999</v>
      </c>
      <c r="C9" s="63"/>
      <c r="E9" s="216"/>
      <c r="F9" s="64" t="s">
        <v>172</v>
      </c>
      <c r="G9" s="72">
        <v>2</v>
      </c>
      <c r="H9" s="261" t="s">
        <v>277</v>
      </c>
      <c r="I9" s="264">
        <f t="shared" si="0"/>
        <v>2.0000000000000001E-4</v>
      </c>
    </row>
    <row r="10" spans="1:9" ht="15.75" customHeight="1">
      <c r="A10" s="66" t="s">
        <v>50</v>
      </c>
      <c r="B10" s="67">
        <f>B7+B8+B9</f>
        <v>74.8</v>
      </c>
      <c r="C10" s="63"/>
      <c r="E10" s="216"/>
      <c r="F10" s="64" t="s">
        <v>173</v>
      </c>
      <c r="G10" s="72">
        <v>0</v>
      </c>
      <c r="H10" s="73"/>
      <c r="I10" s="264">
        <f t="shared" si="0"/>
        <v>0</v>
      </c>
    </row>
    <row r="11" spans="1:9" ht="15.75" customHeight="1">
      <c r="E11" s="216"/>
      <c r="F11" s="64" t="s">
        <v>174</v>
      </c>
      <c r="G11" s="65">
        <v>0</v>
      </c>
      <c r="H11" s="73"/>
      <c r="I11" s="264">
        <f t="shared" si="0"/>
        <v>0</v>
      </c>
    </row>
    <row r="12" spans="1:9" ht="15.75" customHeight="1">
      <c r="E12" s="217"/>
      <c r="F12" s="64" t="s">
        <v>175</v>
      </c>
      <c r="G12" s="65">
        <v>0</v>
      </c>
      <c r="H12" s="261"/>
      <c r="I12" s="264">
        <f t="shared" si="0"/>
        <v>0</v>
      </c>
    </row>
    <row r="13" spans="1:9" ht="15.75" customHeight="1">
      <c r="E13" s="213" t="s">
        <v>82</v>
      </c>
      <c r="F13" s="64" t="s">
        <v>176</v>
      </c>
      <c r="G13" s="65">
        <v>0</v>
      </c>
      <c r="H13" s="73"/>
      <c r="I13" s="264">
        <f t="shared" si="0"/>
        <v>0</v>
      </c>
    </row>
    <row r="14" spans="1:9" ht="15.75" customHeight="1">
      <c r="E14" s="214"/>
      <c r="F14" s="64" t="s">
        <v>177</v>
      </c>
      <c r="G14" s="65">
        <v>0.7</v>
      </c>
      <c r="H14" s="73" t="s">
        <v>278</v>
      </c>
      <c r="I14" s="264">
        <f t="shared" si="0"/>
        <v>6.9999999999999994E-5</v>
      </c>
    </row>
    <row r="15" spans="1:9" ht="15.75" customHeight="1">
      <c r="E15" s="214"/>
      <c r="F15" s="64" t="s">
        <v>178</v>
      </c>
      <c r="G15" s="65">
        <v>0.1</v>
      </c>
      <c r="H15" s="73"/>
      <c r="I15" s="264">
        <f t="shared" si="0"/>
        <v>1.0000000000000001E-5</v>
      </c>
    </row>
    <row r="16" spans="1:9" ht="15.75" customHeight="1">
      <c r="E16" s="214"/>
      <c r="F16" s="64" t="s">
        <v>179</v>
      </c>
      <c r="G16" s="65">
        <v>1.6</v>
      </c>
      <c r="H16" s="73" t="s">
        <v>279</v>
      </c>
      <c r="I16" s="264">
        <f t="shared" si="0"/>
        <v>1.6000000000000001E-4</v>
      </c>
    </row>
    <row r="17" spans="1:10" ht="15.75" customHeight="1">
      <c r="E17" s="214"/>
      <c r="F17" s="64" t="s">
        <v>180</v>
      </c>
      <c r="G17" s="65">
        <v>0.8</v>
      </c>
      <c r="H17" s="73"/>
      <c r="I17" s="264">
        <f t="shared" si="0"/>
        <v>8.0000000000000007E-5</v>
      </c>
    </row>
    <row r="18" spans="1:10" ht="15.75" customHeight="1">
      <c r="E18" s="214"/>
      <c r="F18" s="64" t="s">
        <v>181</v>
      </c>
      <c r="G18" s="65">
        <v>5</v>
      </c>
      <c r="H18" s="73" t="s">
        <v>280</v>
      </c>
      <c r="I18" s="264">
        <f t="shared" si="0"/>
        <v>5.0000000000000001E-4</v>
      </c>
    </row>
    <row r="19" spans="1:10" ht="15.75" customHeight="1">
      <c r="E19" s="214"/>
      <c r="F19" s="64" t="s">
        <v>182</v>
      </c>
      <c r="G19" s="65">
        <v>7.2</v>
      </c>
      <c r="H19" s="73" t="s">
        <v>281</v>
      </c>
      <c r="I19" s="264">
        <f t="shared" si="0"/>
        <v>7.2000000000000005E-4</v>
      </c>
    </row>
    <row r="20" spans="1:10" ht="15.75" customHeight="1">
      <c r="E20" s="214"/>
      <c r="F20" s="64" t="s">
        <v>183</v>
      </c>
      <c r="G20" s="65">
        <v>0</v>
      </c>
      <c r="H20" s="73"/>
      <c r="I20" s="264">
        <f t="shared" si="0"/>
        <v>0</v>
      </c>
    </row>
    <row r="21" spans="1:10" ht="15.75" customHeight="1">
      <c r="E21" s="218"/>
      <c r="F21" s="64" t="s">
        <v>35</v>
      </c>
      <c r="G21" s="65">
        <v>0</v>
      </c>
      <c r="H21" s="73"/>
      <c r="I21" s="264">
        <f t="shared" si="0"/>
        <v>0</v>
      </c>
    </row>
    <row r="22" spans="1:10" ht="15.75" customHeight="1">
      <c r="E22" s="59" t="s">
        <v>50</v>
      </c>
      <c r="F22" s="64"/>
      <c r="G22" s="60">
        <f>SUM(G3:G21)</f>
        <v>74.8</v>
      </c>
      <c r="H22" s="73"/>
    </row>
    <row r="23" spans="1:10" ht="30.75" customHeight="1">
      <c r="E23" s="209" t="s">
        <v>184</v>
      </c>
      <c r="F23" s="209"/>
      <c r="G23" s="209"/>
      <c r="H23" s="209"/>
    </row>
    <row r="25" spans="1:10" ht="17.25">
      <c r="A25" s="74" t="s">
        <v>1</v>
      </c>
      <c r="B25" s="74" t="s">
        <v>153</v>
      </c>
      <c r="C25" s="74" t="s">
        <v>185</v>
      </c>
      <c r="D25" s="75" t="s">
        <v>269</v>
      </c>
      <c r="E25" s="75" t="s">
        <v>270</v>
      </c>
      <c r="F25" s="75" t="s">
        <v>47</v>
      </c>
      <c r="G25" s="75" t="s">
        <v>48</v>
      </c>
      <c r="H25" s="75" t="s">
        <v>49</v>
      </c>
      <c r="I25" s="75" t="s">
        <v>50</v>
      </c>
      <c r="J25" s="80" t="s">
        <v>186</v>
      </c>
    </row>
    <row r="26" spans="1:10" ht="16.5">
      <c r="A26" s="76" t="s">
        <v>147</v>
      </c>
      <c r="B26" s="77">
        <f>(B5+B8)*10000</f>
        <v>594000</v>
      </c>
      <c r="C26" s="78">
        <v>0.05</v>
      </c>
      <c r="D26" s="79">
        <f>B26*(1-C26)/5</f>
        <v>112860</v>
      </c>
      <c r="E26" s="79">
        <f t="shared" ref="E26:F27" si="1">D26</f>
        <v>112860</v>
      </c>
      <c r="F26" s="79">
        <f t="shared" ref="F26:F27" si="2">E26</f>
        <v>112860</v>
      </c>
      <c r="G26" s="79">
        <f t="shared" ref="G26:G27" si="3">F26</f>
        <v>112860</v>
      </c>
      <c r="H26" s="79">
        <f t="shared" ref="H26:H27" si="4">G26</f>
        <v>112860</v>
      </c>
      <c r="I26" s="79">
        <f>SUM(D26:H26)</f>
        <v>564300</v>
      </c>
      <c r="J26" s="79">
        <f>B26*0.05</f>
        <v>29700</v>
      </c>
    </row>
    <row r="27" spans="1:10" ht="16.5">
      <c r="A27" s="76" t="s">
        <v>187</v>
      </c>
      <c r="B27" s="77">
        <f>B9*10000</f>
        <v>154000</v>
      </c>
      <c r="C27" s="79"/>
      <c r="D27" s="79">
        <f>B27/5</f>
        <v>30800</v>
      </c>
      <c r="E27" s="79">
        <f t="shared" si="1"/>
        <v>30800</v>
      </c>
      <c r="F27" s="79">
        <f t="shared" si="2"/>
        <v>30800</v>
      </c>
      <c r="G27" s="79">
        <f t="shared" si="3"/>
        <v>30800</v>
      </c>
      <c r="H27" s="79">
        <f t="shared" si="4"/>
        <v>30800</v>
      </c>
      <c r="I27" s="79">
        <f>SUM(D27:H27)</f>
        <v>154000</v>
      </c>
      <c r="J27" s="79"/>
    </row>
    <row r="28" spans="1:10" ht="16.5">
      <c r="A28" s="210" t="s">
        <v>139</v>
      </c>
      <c r="B28" s="211"/>
      <c r="C28" s="212"/>
      <c r="D28" s="79">
        <f>SUM(D26:D27)</f>
        <v>143660</v>
      </c>
      <c r="E28" s="79">
        <f t="shared" ref="E28:H28" si="5">SUM(E26:E27)</f>
        <v>143660</v>
      </c>
      <c r="F28" s="79">
        <f t="shared" si="5"/>
        <v>143660</v>
      </c>
      <c r="G28" s="79">
        <f t="shared" si="5"/>
        <v>143660</v>
      </c>
      <c r="H28" s="262">
        <f t="shared" si="5"/>
        <v>143660</v>
      </c>
      <c r="I28" s="81"/>
      <c r="J28" s="81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6</vt:i4>
      </vt:variant>
    </vt:vector>
  </HeadingPairs>
  <TitlesOfParts>
    <vt:vector size="19" baseType="lpstr">
      <vt:lpstr>假设条件</vt:lpstr>
      <vt:lpstr>现金</vt:lpstr>
      <vt:lpstr>损益表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zzf</cp:lastModifiedBy>
  <dcterms:created xsi:type="dcterms:W3CDTF">2006-09-13T11:21:00Z</dcterms:created>
  <dcterms:modified xsi:type="dcterms:W3CDTF">2023-09-26T07:49:18Z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9545D4B7266740A89BCEAE7E60B7E103</vt:lpwstr>
  </property>
</Properties>
</file>