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X5000S新能源新车型\"/>
    </mc:Choice>
  </mc:AlternateContent>
  <bookViews>
    <workbookView xWindow="0" yWindow="570" windowWidth="18525" windowHeight="612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68" r:id="rId7"/>
    <sheet name="2027年" sheetId="6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4" r:id="rId14"/>
  </sheets>
  <externalReferences>
    <externalReference r:id="rId15"/>
  </externalReferences>
  <definedNames>
    <definedName name="_xlnm.Print_Area" localSheetId="3">'2023年'!$A$1:$G$48</definedName>
    <definedName name="_xlnm.Print_Area" localSheetId="4">'2024年'!$A$1:$G$48</definedName>
    <definedName name="_xlnm.Print_Area" localSheetId="5">'2025年'!$A$1:$G$48</definedName>
    <definedName name="_xlnm.Print_Area" localSheetId="6">'2026年'!$A$1:$G$48</definedName>
    <definedName name="_xlnm.Print_Area" localSheetId="7">'2027年'!$A$1:$G$48</definedName>
    <definedName name="_xlnm.Print_Area" localSheetId="1">损益表!$A$1:$H$62</definedName>
    <definedName name="_xlnm.Print_Area" localSheetId="8">项目投资!$A$1:$C$32</definedName>
  </definedNames>
  <calcPr calcId="162913"/>
</workbook>
</file>

<file path=xl/calcChain.xml><?xml version="1.0" encoding="utf-8"?>
<calcChain xmlns="http://schemas.openxmlformats.org/spreadsheetml/2006/main">
  <c r="H23" i="2" l="1"/>
  <c r="D6" i="53"/>
  <c r="E6" i="53"/>
  <c r="G4" i="2" l="1"/>
  <c r="G5" i="2"/>
  <c r="G6" i="2"/>
  <c r="G7" i="2"/>
  <c r="G9" i="2"/>
  <c r="G10" i="2"/>
  <c r="G11" i="2"/>
  <c r="G12" i="2"/>
  <c r="G15" i="2"/>
  <c r="G16" i="2"/>
  <c r="G17" i="2"/>
  <c r="G18" i="2"/>
  <c r="G19" i="2"/>
  <c r="G20" i="2"/>
  <c r="G21" i="2"/>
  <c r="F4" i="2"/>
  <c r="F5" i="2"/>
  <c r="F6" i="2"/>
  <c r="F7" i="2"/>
  <c r="F9" i="2"/>
  <c r="F10" i="2"/>
  <c r="F11" i="2"/>
  <c r="F12" i="2"/>
  <c r="F15" i="2"/>
  <c r="F16" i="2"/>
  <c r="F17" i="2"/>
  <c r="F18" i="2"/>
  <c r="F19" i="2"/>
  <c r="F20" i="2"/>
  <c r="F21" i="2"/>
  <c r="E33" i="67"/>
  <c r="E10" i="67" s="1"/>
  <c r="F33" i="67"/>
  <c r="F10" i="67"/>
  <c r="E33" i="68"/>
  <c r="F33" i="68"/>
  <c r="E10" i="68"/>
  <c r="F10" i="68"/>
  <c r="E33" i="57"/>
  <c r="E10" i="57" s="1"/>
  <c r="F33" i="57"/>
  <c r="F10" i="57"/>
  <c r="E33" i="56"/>
  <c r="E10" i="56" s="1"/>
  <c r="F33" i="56"/>
  <c r="F10" i="56"/>
  <c r="E10" i="43"/>
  <c r="F10" i="43"/>
  <c r="E33" i="43"/>
  <c r="F33" i="43"/>
  <c r="F27" i="51"/>
  <c r="G27" i="51" s="1"/>
  <c r="H27" i="51" s="1"/>
  <c r="E27" i="51"/>
  <c r="D27" i="51"/>
  <c r="G22" i="51" l="1"/>
  <c r="D3" i="53" l="1"/>
  <c r="F71" i="50" l="1"/>
  <c r="F72" i="50"/>
  <c r="F73" i="50"/>
  <c r="F74" i="50"/>
  <c r="F75" i="50"/>
  <c r="F76" i="50"/>
  <c r="F77" i="50"/>
  <c r="F78" i="50"/>
  <c r="F58" i="50"/>
  <c r="F59" i="50"/>
  <c r="F60" i="50"/>
  <c r="F61" i="50"/>
  <c r="F62" i="50"/>
  <c r="F63" i="50"/>
  <c r="F64" i="50"/>
  <c r="F65" i="50"/>
  <c r="F45" i="50"/>
  <c r="F46" i="50"/>
  <c r="F47" i="50"/>
  <c r="F48" i="50"/>
  <c r="F49" i="50"/>
  <c r="F50" i="50"/>
  <c r="F51" i="50"/>
  <c r="F52" i="50"/>
  <c r="F32" i="50"/>
  <c r="F33" i="50"/>
  <c r="F34" i="50"/>
  <c r="F35" i="50"/>
  <c r="F36" i="50"/>
  <c r="F37" i="50"/>
  <c r="F38" i="50"/>
  <c r="F39" i="50"/>
  <c r="F18" i="50"/>
  <c r="F19" i="50"/>
  <c r="F20" i="50"/>
  <c r="F21" i="50"/>
  <c r="F22" i="50"/>
  <c r="F23" i="50"/>
  <c r="F24" i="50"/>
  <c r="F25" i="50"/>
  <c r="C69" i="50"/>
  <c r="C56" i="50"/>
  <c r="C43" i="50"/>
  <c r="C30" i="50"/>
  <c r="C16" i="50"/>
  <c r="D7" i="64" l="1"/>
  <c r="D6" i="67" l="1"/>
  <c r="C6" i="67"/>
  <c r="D6" i="68"/>
  <c r="C6" i="68"/>
  <c r="F31" i="67" l="1"/>
  <c r="F3" i="67" l="1"/>
  <c r="F4" i="67"/>
  <c r="F6" i="67"/>
  <c r="F7" i="67" s="1"/>
  <c r="F31" i="68"/>
  <c r="F3" i="68"/>
  <c r="F4" i="68"/>
  <c r="F6" i="68"/>
  <c r="F7" i="68" s="1"/>
  <c r="F31" i="57"/>
  <c r="F3" i="57"/>
  <c r="F4" i="57"/>
  <c r="F6" i="57"/>
  <c r="F31" i="56"/>
  <c r="F6" i="56"/>
  <c r="F4" i="56"/>
  <c r="F3" i="56"/>
  <c r="F31" i="43"/>
  <c r="F32" i="43" s="1"/>
  <c r="G8" i="43"/>
  <c r="E31" i="68"/>
  <c r="D31" i="68"/>
  <c r="C31" i="68"/>
  <c r="E6" i="68"/>
  <c r="E4" i="68"/>
  <c r="D4" i="68"/>
  <c r="C4" i="68"/>
  <c r="E3" i="68"/>
  <c r="D3" i="68"/>
  <c r="C3" i="68"/>
  <c r="C2" i="68"/>
  <c r="E31" i="67"/>
  <c r="D31" i="67"/>
  <c r="C31" i="67"/>
  <c r="C7" i="67"/>
  <c r="E6" i="67"/>
  <c r="E4" i="67"/>
  <c r="D4" i="67"/>
  <c r="C4" i="67"/>
  <c r="E3" i="67"/>
  <c r="D3" i="67"/>
  <c r="C3" i="67"/>
  <c r="C2" i="67"/>
  <c r="F3" i="43"/>
  <c r="F6" i="43"/>
  <c r="F4" i="43"/>
  <c r="E6" i="64"/>
  <c r="E5" i="64"/>
  <c r="E4" i="64"/>
  <c r="C6" i="64"/>
  <c r="C5" i="64"/>
  <c r="C4" i="64"/>
  <c r="B6" i="64"/>
  <c r="B5" i="64"/>
  <c r="B4" i="64"/>
  <c r="E7" i="64" l="1"/>
  <c r="F7" i="64" s="1"/>
  <c r="G7" i="64" s="1"/>
  <c r="F7" i="56"/>
  <c r="G6" i="67"/>
  <c r="F7" i="43"/>
  <c r="F9" i="43" s="1"/>
  <c r="F7" i="57"/>
  <c r="G6" i="68"/>
  <c r="E7" i="68"/>
  <c r="C7" i="68"/>
  <c r="D7" i="68"/>
  <c r="D7" i="67"/>
  <c r="E7" i="67"/>
  <c r="F6" i="64"/>
  <c r="G6" i="64" s="1"/>
  <c r="F5" i="64"/>
  <c r="G5" i="64" s="1"/>
  <c r="F4" i="64"/>
  <c r="G4" i="64" s="1"/>
  <c r="G7" i="68" l="1"/>
  <c r="G7" i="67"/>
  <c r="F7" i="50" l="1"/>
  <c r="D12" i="53" l="1"/>
  <c r="F12" i="53"/>
  <c r="G12" i="53"/>
  <c r="H12" i="53"/>
  <c r="I12" i="53"/>
  <c r="D13" i="53" l="1"/>
  <c r="C33" i="43"/>
  <c r="C10" i="43" s="1"/>
  <c r="I70" i="50"/>
  <c r="H75" i="50"/>
  <c r="H74" i="50"/>
  <c r="I57" i="50"/>
  <c r="H62" i="50"/>
  <c r="H61" i="50"/>
  <c r="I44" i="50"/>
  <c r="H49" i="50"/>
  <c r="H48" i="50"/>
  <c r="I31" i="50"/>
  <c r="H36" i="50"/>
  <c r="H35" i="50"/>
  <c r="I17" i="50"/>
  <c r="H22" i="50"/>
  <c r="H21" i="50"/>
  <c r="I3" i="50"/>
  <c r="D3" i="57"/>
  <c r="E3" i="57"/>
  <c r="D4" i="57"/>
  <c r="E4" i="57"/>
  <c r="D6" i="57"/>
  <c r="D7" i="57" s="1"/>
  <c r="E6" i="57"/>
  <c r="D31" i="57"/>
  <c r="E31" i="57"/>
  <c r="D31" i="56"/>
  <c r="E31" i="56"/>
  <c r="D3" i="56"/>
  <c r="E3" i="56"/>
  <c r="D4" i="56"/>
  <c r="E4" i="56"/>
  <c r="D6" i="56"/>
  <c r="E6" i="56"/>
  <c r="I4" i="53"/>
  <c r="I5" i="53"/>
  <c r="E4" i="53"/>
  <c r="F4" i="53"/>
  <c r="G4" i="53"/>
  <c r="H4" i="53"/>
  <c r="E5" i="53"/>
  <c r="F5" i="53"/>
  <c r="G5" i="53"/>
  <c r="H5" i="53"/>
  <c r="D5" i="53"/>
  <c r="D4" i="53"/>
  <c r="D14" i="53" l="1"/>
  <c r="C33" i="56"/>
  <c r="C10" i="56" s="1"/>
  <c r="E34" i="50"/>
  <c r="E37" i="43" s="1"/>
  <c r="E37" i="50"/>
  <c r="E35" i="50"/>
  <c r="E38" i="50"/>
  <c r="E33" i="50"/>
  <c r="E43" i="43" s="1"/>
  <c r="E36" i="50"/>
  <c r="E39" i="50"/>
  <c r="E48" i="50"/>
  <c r="E51" i="50"/>
  <c r="E46" i="50"/>
  <c r="F43" i="43" s="1"/>
  <c r="E49" i="50"/>
  <c r="E52" i="50"/>
  <c r="E47" i="50"/>
  <c r="E50" i="50"/>
  <c r="F44" i="43" s="1"/>
  <c r="E59" i="50"/>
  <c r="E62" i="50"/>
  <c r="E65" i="50"/>
  <c r="E60" i="50"/>
  <c r="E63" i="50"/>
  <c r="E61" i="50"/>
  <c r="E64" i="50"/>
  <c r="E73" i="50"/>
  <c r="E76" i="50"/>
  <c r="E74" i="50"/>
  <c r="E77" i="50"/>
  <c r="E72" i="50"/>
  <c r="E75" i="50"/>
  <c r="E78" i="50"/>
  <c r="E8" i="50"/>
  <c r="E7" i="50"/>
  <c r="E10" i="50"/>
  <c r="E5" i="50"/>
  <c r="C43" i="43" s="1"/>
  <c r="E11" i="50"/>
  <c r="E6" i="50"/>
  <c r="E9" i="50"/>
  <c r="C44" i="43" s="1"/>
  <c r="E21" i="50"/>
  <c r="E20" i="50"/>
  <c r="D37" i="43" s="1"/>
  <c r="E23" i="50"/>
  <c r="E18" i="50"/>
  <c r="D36" i="43" s="1"/>
  <c r="E24" i="50"/>
  <c r="D38" i="43" s="1"/>
  <c r="E19" i="50"/>
  <c r="D43" i="43" s="1"/>
  <c r="E22" i="50"/>
  <c r="E25" i="50"/>
  <c r="D47" i="43" s="1"/>
  <c r="E7" i="56"/>
  <c r="E7" i="57"/>
  <c r="E71" i="50"/>
  <c r="E38" i="43"/>
  <c r="E45" i="43"/>
  <c r="E44" i="43"/>
  <c r="E47" i="43"/>
  <c r="E32" i="50"/>
  <c r="E36" i="43" s="1"/>
  <c r="F38" i="43"/>
  <c r="E45" i="50"/>
  <c r="F36" i="43" s="1"/>
  <c r="F45" i="43"/>
  <c r="F37" i="43"/>
  <c r="F47" i="43"/>
  <c r="C45" i="43"/>
  <c r="E4" i="50"/>
  <c r="C36" i="43" s="1"/>
  <c r="E58" i="50"/>
  <c r="D45" i="43"/>
  <c r="D44" i="43"/>
  <c r="D7" i="56"/>
  <c r="D15" i="53" l="1"/>
  <c r="C33" i="57"/>
  <c r="C10" i="57" s="1"/>
  <c r="E36" i="68"/>
  <c r="E11" i="68" s="1"/>
  <c r="E36" i="67"/>
  <c r="E11" i="67" s="1"/>
  <c r="F20" i="43"/>
  <c r="F45" i="67"/>
  <c r="F20" i="67" s="1"/>
  <c r="F45" i="57"/>
  <c r="F20" i="57" s="1"/>
  <c r="F45" i="68"/>
  <c r="F20" i="68" s="1"/>
  <c r="F45" i="56"/>
  <c r="F20" i="56" s="1"/>
  <c r="E44" i="68"/>
  <c r="E19" i="68" s="1"/>
  <c r="E44" i="67"/>
  <c r="E19" i="67" s="1"/>
  <c r="E43" i="68"/>
  <c r="E43" i="67"/>
  <c r="F22" i="43"/>
  <c r="F47" i="67"/>
  <c r="F22" i="67" s="1"/>
  <c r="F47" i="68"/>
  <c r="F22" i="68" s="1"/>
  <c r="F47" i="56"/>
  <c r="F22" i="56" s="1"/>
  <c r="F47" i="57"/>
  <c r="F22" i="57" s="1"/>
  <c r="F12" i="43"/>
  <c r="F37" i="67"/>
  <c r="F12" i="67" s="1"/>
  <c r="F37" i="68"/>
  <c r="F12" i="68" s="1"/>
  <c r="F37" i="56"/>
  <c r="F12" i="56" s="1"/>
  <c r="F37" i="57"/>
  <c r="F12" i="57" s="1"/>
  <c r="F11" i="43"/>
  <c r="F36" i="67"/>
  <c r="F11" i="67" s="1"/>
  <c r="F36" i="57"/>
  <c r="F11" i="57" s="1"/>
  <c r="F36" i="68"/>
  <c r="F11" i="68" s="1"/>
  <c r="F36" i="56"/>
  <c r="F11" i="56" s="1"/>
  <c r="E47" i="68"/>
  <c r="E22" i="68" s="1"/>
  <c r="E47" i="67"/>
  <c r="E22" i="67" s="1"/>
  <c r="F44" i="67"/>
  <c r="F19" i="67" s="1"/>
  <c r="F44" i="68"/>
  <c r="F19" i="68" s="1"/>
  <c r="F44" i="56"/>
  <c r="F19" i="56" s="1"/>
  <c r="F19" i="43"/>
  <c r="F44" i="57"/>
  <c r="F19" i="57" s="1"/>
  <c r="E45" i="68"/>
  <c r="E20" i="68" s="1"/>
  <c r="E45" i="67"/>
  <c r="E20" i="67" s="1"/>
  <c r="F43" i="67"/>
  <c r="F43" i="57"/>
  <c r="F43" i="68"/>
  <c r="F43" i="56"/>
  <c r="F13" i="43"/>
  <c r="F38" i="67"/>
  <c r="F13" i="67" s="1"/>
  <c r="F38" i="68"/>
  <c r="F13" i="68" s="1"/>
  <c r="F38" i="56"/>
  <c r="F13" i="56" s="1"/>
  <c r="F38" i="57"/>
  <c r="F13" i="57" s="1"/>
  <c r="E37" i="68"/>
  <c r="E12" i="68" s="1"/>
  <c r="E37" i="67"/>
  <c r="E12" i="67" s="1"/>
  <c r="E38" i="68"/>
  <c r="E13" i="68" s="1"/>
  <c r="E38" i="67"/>
  <c r="E13" i="67" s="1"/>
  <c r="D37" i="67"/>
  <c r="D12" i="67" s="1"/>
  <c r="D37" i="68"/>
  <c r="D12" i="68" s="1"/>
  <c r="D47" i="68"/>
  <c r="D22" i="68" s="1"/>
  <c r="D47" i="67"/>
  <c r="D22" i="67" s="1"/>
  <c r="D44" i="68"/>
  <c r="D19" i="68" s="1"/>
  <c r="D44" i="67"/>
  <c r="D19" i="67" s="1"/>
  <c r="D36" i="68"/>
  <c r="D11" i="68" s="1"/>
  <c r="D36" i="67"/>
  <c r="D11" i="67" s="1"/>
  <c r="D43" i="67"/>
  <c r="D43" i="68"/>
  <c r="D38" i="68"/>
  <c r="D13" i="68" s="1"/>
  <c r="D38" i="67"/>
  <c r="D13" i="67" s="1"/>
  <c r="D45" i="67"/>
  <c r="D20" i="67" s="1"/>
  <c r="D45" i="68"/>
  <c r="D20" i="68" s="1"/>
  <c r="C45" i="68"/>
  <c r="C20" i="68" s="1"/>
  <c r="C45" i="67"/>
  <c r="C20" i="67" s="1"/>
  <c r="C44" i="68"/>
  <c r="C19" i="68" s="1"/>
  <c r="C44" i="67"/>
  <c r="C19" i="67" s="1"/>
  <c r="C43" i="68"/>
  <c r="C43" i="67"/>
  <c r="C36" i="68"/>
  <c r="C11" i="68" s="1"/>
  <c r="C36" i="67"/>
  <c r="C11" i="67" s="1"/>
  <c r="E47" i="57"/>
  <c r="E22" i="57" s="1"/>
  <c r="E47" i="56"/>
  <c r="E22" i="56" s="1"/>
  <c r="D45" i="57"/>
  <c r="D45" i="56"/>
  <c r="E45" i="57"/>
  <c r="E45" i="56"/>
  <c r="E37" i="57"/>
  <c r="E12" i="57" s="1"/>
  <c r="E37" i="56"/>
  <c r="E12" i="56" s="1"/>
  <c r="D36" i="56"/>
  <c r="D11" i="56" s="1"/>
  <c r="D36" i="57"/>
  <c r="D11" i="57" s="1"/>
  <c r="C44" i="57"/>
  <c r="C44" i="56"/>
  <c r="C45" i="56"/>
  <c r="C45" i="57"/>
  <c r="E38" i="57"/>
  <c r="E13" i="57" s="1"/>
  <c r="E38" i="56"/>
  <c r="E13" i="56" s="1"/>
  <c r="E36" i="56"/>
  <c r="E11" i="56" s="1"/>
  <c r="E36" i="57"/>
  <c r="E11" i="57" s="1"/>
  <c r="D47" i="57"/>
  <c r="D22" i="57" s="1"/>
  <c r="D47" i="56"/>
  <c r="D22" i="56" s="1"/>
  <c r="D44" i="57"/>
  <c r="D19" i="57" s="1"/>
  <c r="D44" i="56"/>
  <c r="D19" i="56" s="1"/>
  <c r="C36" i="57"/>
  <c r="C36" i="56"/>
  <c r="C43" i="57"/>
  <c r="C43" i="56"/>
  <c r="E44" i="56"/>
  <c r="E19" i="56" s="1"/>
  <c r="E44" i="57"/>
  <c r="E19" i="57" s="1"/>
  <c r="D38" i="57"/>
  <c r="D13" i="57" s="1"/>
  <c r="D38" i="56"/>
  <c r="D13" i="56" s="1"/>
  <c r="D37" i="57"/>
  <c r="D12" i="57" s="1"/>
  <c r="D37" i="56"/>
  <c r="D12" i="56" s="1"/>
  <c r="D43" i="57"/>
  <c r="D43" i="56"/>
  <c r="E43" i="57"/>
  <c r="E43" i="56"/>
  <c r="D16" i="53" l="1"/>
  <c r="C33" i="67" s="1"/>
  <c r="C10" i="67" s="1"/>
  <c r="C33" i="68"/>
  <c r="C10" i="68" s="1"/>
  <c r="G19" i="67"/>
  <c r="G20" i="67"/>
  <c r="D14" i="68"/>
  <c r="F14" i="67"/>
  <c r="G11" i="67"/>
  <c r="F14" i="56"/>
  <c r="F14" i="43"/>
  <c r="E14" i="67"/>
  <c r="F14" i="57"/>
  <c r="G19" i="68"/>
  <c r="G43" i="2" s="1"/>
  <c r="F14" i="68"/>
  <c r="E14" i="68"/>
  <c r="D14" i="67"/>
  <c r="G20" i="68"/>
  <c r="G11" i="68"/>
  <c r="E14" i="56"/>
  <c r="D14" i="56"/>
  <c r="E14" i="57"/>
  <c r="D14" i="57"/>
  <c r="D31" i="43"/>
  <c r="D32" i="43" s="1"/>
  <c r="E31" i="43"/>
  <c r="E32" i="43" s="1"/>
  <c r="D6" i="43"/>
  <c r="E6" i="43"/>
  <c r="E3" i="43"/>
  <c r="E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44" i="2" l="1"/>
  <c r="G35" i="2"/>
  <c r="E12" i="43"/>
  <c r="E7" i="43"/>
  <c r="E9" i="43" s="1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7"/>
  <c r="C2" i="56"/>
  <c r="H7" i="50" l="1"/>
  <c r="C4" i="57" l="1"/>
  <c r="C3" i="57"/>
  <c r="C3" i="56"/>
  <c r="C4" i="56"/>
  <c r="C3" i="43"/>
  <c r="C4" i="43"/>
  <c r="B9" i="51"/>
  <c r="L8" i="55" l="1"/>
  <c r="F8" i="57" s="1"/>
  <c r="F9" i="57" s="1"/>
  <c r="K9" i="55"/>
  <c r="L7" i="55"/>
  <c r="F8" i="56" s="1"/>
  <c r="F9" i="56" s="1"/>
  <c r="F32" i="56" s="1"/>
  <c r="C6" i="57"/>
  <c r="G6" i="57" s="1"/>
  <c r="C31" i="57"/>
  <c r="C6" i="56"/>
  <c r="G6" i="56" s="1"/>
  <c r="C31" i="56"/>
  <c r="F32" i="57" l="1"/>
  <c r="E8" i="56"/>
  <c r="E9" i="56" s="1"/>
  <c r="D8" i="56"/>
  <c r="D9" i="56" s="1"/>
  <c r="E8" i="57"/>
  <c r="E9" i="57" s="1"/>
  <c r="D8" i="57"/>
  <c r="D9" i="57" s="1"/>
  <c r="E4" i="2"/>
  <c r="D4" i="2"/>
  <c r="C7" i="56"/>
  <c r="G7" i="56" s="1"/>
  <c r="C7" i="57"/>
  <c r="G7" i="57" s="1"/>
  <c r="C38" i="43"/>
  <c r="C37" i="43"/>
  <c r="L9" i="55"/>
  <c r="K10" i="55"/>
  <c r="L10" i="55" s="1"/>
  <c r="C11" i="56"/>
  <c r="G11" i="56" s="1"/>
  <c r="F8" i="68" l="1"/>
  <c r="F9" i="68" s="1"/>
  <c r="F32" i="68" s="1"/>
  <c r="C8" i="68"/>
  <c r="D8" i="68"/>
  <c r="D9" i="68" s="1"/>
  <c r="D32" i="68" s="1"/>
  <c r="E8" i="68"/>
  <c r="E9" i="68" s="1"/>
  <c r="E32" i="68" s="1"/>
  <c r="C8" i="67"/>
  <c r="F8" i="67"/>
  <c r="F9" i="67" s="1"/>
  <c r="F32" i="67" s="1"/>
  <c r="E8" i="67"/>
  <c r="E9" i="67" s="1"/>
  <c r="E32" i="67" s="1"/>
  <c r="D8" i="67"/>
  <c r="D9" i="67" s="1"/>
  <c r="D32" i="67" s="1"/>
  <c r="C37" i="68"/>
  <c r="C12" i="68" s="1"/>
  <c r="C37" i="67"/>
  <c r="C12" i="67" s="1"/>
  <c r="G12" i="67" s="1"/>
  <c r="C38" i="68"/>
  <c r="C13" i="68" s="1"/>
  <c r="G13" i="68" s="1"/>
  <c r="C38" i="67"/>
  <c r="C13" i="67" s="1"/>
  <c r="C38" i="57"/>
  <c r="C13" i="57" s="1"/>
  <c r="C38" i="56"/>
  <c r="C13" i="56" s="1"/>
  <c r="G13" i="56" s="1"/>
  <c r="C37" i="56"/>
  <c r="C12" i="56" s="1"/>
  <c r="G12" i="56" s="1"/>
  <c r="C37" i="57"/>
  <c r="C12" i="57" s="1"/>
  <c r="G12" i="57" s="1"/>
  <c r="E32" i="57"/>
  <c r="D32" i="56"/>
  <c r="D32" i="57"/>
  <c r="E32" i="56"/>
  <c r="C8" i="56"/>
  <c r="D5" i="2"/>
  <c r="E5" i="2"/>
  <c r="C8" i="57"/>
  <c r="G8" i="57" s="1"/>
  <c r="C11" i="57"/>
  <c r="G11" i="57" s="1"/>
  <c r="D9" i="2"/>
  <c r="D35" i="2" s="1"/>
  <c r="C19" i="57"/>
  <c r="G19" i="57" s="1"/>
  <c r="C19" i="56"/>
  <c r="G19" i="56" s="1"/>
  <c r="G8" i="68" l="1"/>
  <c r="C9" i="68"/>
  <c r="C9" i="67"/>
  <c r="G8" i="67"/>
  <c r="C14" i="67"/>
  <c r="G14" i="67" s="1"/>
  <c r="G13" i="67"/>
  <c r="G37" i="2"/>
  <c r="C9" i="56"/>
  <c r="G9" i="56" s="1"/>
  <c r="D7" i="2" s="1"/>
  <c r="D30" i="2" s="1"/>
  <c r="G8" i="56"/>
  <c r="D6" i="2" s="1"/>
  <c r="G13" i="57"/>
  <c r="E11" i="2" s="1"/>
  <c r="E37" i="2" s="1"/>
  <c r="G12" i="68"/>
  <c r="C14" i="68"/>
  <c r="G14" i="68" s="1"/>
  <c r="E20" i="56"/>
  <c r="D20" i="56"/>
  <c r="D20" i="57"/>
  <c r="E20" i="57"/>
  <c r="C32" i="56"/>
  <c r="C20" i="56" s="1"/>
  <c r="C9" i="57"/>
  <c r="G9" i="57" s="1"/>
  <c r="E6" i="2"/>
  <c r="E9" i="2"/>
  <c r="E35" i="2" s="1"/>
  <c r="C14" i="56"/>
  <c r="G14" i="56" s="1"/>
  <c r="C14" i="57"/>
  <c r="G14" i="57" s="1"/>
  <c r="E17" i="2"/>
  <c r="D11" i="2"/>
  <c r="D37" i="2" s="1"/>
  <c r="D17" i="2"/>
  <c r="G9" i="68" l="1"/>
  <c r="C32" i="68"/>
  <c r="C32" i="67"/>
  <c r="G9" i="67"/>
  <c r="G20" i="56"/>
  <c r="G36" i="2"/>
  <c r="E43" i="2"/>
  <c r="D48" i="2"/>
  <c r="D43" i="2"/>
  <c r="C32" i="57"/>
  <c r="C20" i="57" s="1"/>
  <c r="G20" i="57" s="1"/>
  <c r="E7" i="2"/>
  <c r="E30" i="2" s="1"/>
  <c r="G30" i="2" l="1"/>
  <c r="G50" i="2"/>
  <c r="G48" i="2"/>
  <c r="E48" i="2"/>
  <c r="E18" i="2"/>
  <c r="D12" i="2"/>
  <c r="D10" i="2"/>
  <c r="D36" i="2" s="1"/>
  <c r="E50" i="2" l="1"/>
  <c r="E44" i="2"/>
  <c r="E12" i="2"/>
  <c r="E10" i="2"/>
  <c r="E36" i="2" s="1"/>
  <c r="D18" i="2" l="1"/>
  <c r="D50" i="2" l="1"/>
  <c r="D44" i="2"/>
  <c r="B5" i="51"/>
  <c r="H8" i="50" l="1"/>
  <c r="E12" i="53" l="1"/>
  <c r="I9" i="55"/>
  <c r="B27" i="51"/>
  <c r="B8" i="51"/>
  <c r="B7" i="51"/>
  <c r="C47" i="43"/>
  <c r="C31" i="43"/>
  <c r="C32" i="43" s="1"/>
  <c r="C6" i="43"/>
  <c r="G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H6" i="2" s="1"/>
  <c r="E13" i="53" l="1"/>
  <c r="D33" i="43"/>
  <c r="D10" i="43" s="1"/>
  <c r="E10" i="36"/>
  <c r="G21" i="68"/>
  <c r="F34" i="43"/>
  <c r="F40" i="43" s="1"/>
  <c r="F15" i="43"/>
  <c r="F16" i="43" s="1"/>
  <c r="C47" i="68"/>
  <c r="C22" i="68" s="1"/>
  <c r="C47" i="67"/>
  <c r="C22" i="67" s="1"/>
  <c r="C57" i="2"/>
  <c r="C47" i="56"/>
  <c r="C22" i="56" s="1"/>
  <c r="C47" i="57"/>
  <c r="C22" i="57" s="1"/>
  <c r="G22" i="57" s="1"/>
  <c r="K10" i="36"/>
  <c r="K17" i="36" s="1"/>
  <c r="K19" i="36" s="1"/>
  <c r="C22" i="43"/>
  <c r="G22" i="43" s="1"/>
  <c r="C4" i="2"/>
  <c r="H4" i="2" s="1"/>
  <c r="C19" i="43"/>
  <c r="G19" i="43" s="1"/>
  <c r="C34" i="43"/>
  <c r="C40" i="43" s="1"/>
  <c r="C7" i="43"/>
  <c r="G7" i="43" s="1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M14" i="36"/>
  <c r="C11" i="43"/>
  <c r="G11" i="43" s="1"/>
  <c r="C12" i="43"/>
  <c r="G12" i="43" s="1"/>
  <c r="C13" i="43"/>
  <c r="G13" i="43" s="1"/>
  <c r="C20" i="43"/>
  <c r="G20" i="43" s="1"/>
  <c r="E14" i="53" l="1"/>
  <c r="D33" i="56"/>
  <c r="D10" i="56" s="1"/>
  <c r="C21" i="68"/>
  <c r="C46" i="68" s="1"/>
  <c r="D21" i="68"/>
  <c r="D46" i="68" s="1"/>
  <c r="E21" i="68"/>
  <c r="E46" i="68" s="1"/>
  <c r="F21" i="68"/>
  <c r="F46" i="68" s="1"/>
  <c r="G51" i="2"/>
  <c r="E34" i="67"/>
  <c r="E40" i="67" s="1"/>
  <c r="E15" i="67"/>
  <c r="C34" i="68"/>
  <c r="C40" i="68" s="1"/>
  <c r="C15" i="68"/>
  <c r="F34" i="56"/>
  <c r="F40" i="56" s="1"/>
  <c r="F15" i="56"/>
  <c r="F16" i="56" s="1"/>
  <c r="G22" i="56"/>
  <c r="D20" i="2" s="1"/>
  <c r="D52" i="2" s="1"/>
  <c r="G22" i="67"/>
  <c r="G22" i="68"/>
  <c r="G10" i="43"/>
  <c r="C8" i="2" s="1"/>
  <c r="E34" i="68"/>
  <c r="E40" i="68" s="1"/>
  <c r="E15" i="68"/>
  <c r="E16" i="68" s="1"/>
  <c r="G18" i="56"/>
  <c r="C58" i="2"/>
  <c r="C56" i="2" s="1"/>
  <c r="D15" i="56"/>
  <c r="D16" i="56" s="1"/>
  <c r="E15" i="56"/>
  <c r="E16" i="56" s="1"/>
  <c r="C9" i="43"/>
  <c r="G9" i="43" s="1"/>
  <c r="C5" i="2"/>
  <c r="H5" i="2" s="1"/>
  <c r="G18" i="43"/>
  <c r="F18" i="43" s="1"/>
  <c r="F17" i="43" s="1"/>
  <c r="D34" i="43"/>
  <c r="D40" i="43" s="1"/>
  <c r="D15" i="43"/>
  <c r="C34" i="56"/>
  <c r="C40" i="56" s="1"/>
  <c r="C14" i="43"/>
  <c r="G14" i="43" s="1"/>
  <c r="G17" i="36"/>
  <c r="G19" i="36" s="1"/>
  <c r="G18" i="57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G21" i="56"/>
  <c r="F21" i="56" s="1"/>
  <c r="F46" i="56" s="1"/>
  <c r="G21" i="57"/>
  <c r="F21" i="57" s="1"/>
  <c r="F46" i="57" s="1"/>
  <c r="C18" i="2"/>
  <c r="C10" i="2"/>
  <c r="G21" i="43"/>
  <c r="F21" i="43" s="1"/>
  <c r="F46" i="43" s="1"/>
  <c r="F48" i="43" s="1"/>
  <c r="G21" i="67"/>
  <c r="D28" i="51"/>
  <c r="M17" i="36"/>
  <c r="E15" i="53" l="1"/>
  <c r="D33" i="57"/>
  <c r="D10" i="57" s="1"/>
  <c r="D15" i="57" s="1"/>
  <c r="D16" i="57" s="1"/>
  <c r="C48" i="68"/>
  <c r="E48" i="68"/>
  <c r="E34" i="56"/>
  <c r="E40" i="56" s="1"/>
  <c r="C34" i="67"/>
  <c r="C40" i="67" s="1"/>
  <c r="C15" i="67"/>
  <c r="C16" i="67" s="1"/>
  <c r="D34" i="56"/>
  <c r="D40" i="56" s="1"/>
  <c r="F34" i="57"/>
  <c r="F40" i="57" s="1"/>
  <c r="F48" i="57" s="1"/>
  <c r="F15" i="57"/>
  <c r="F16" i="57" s="1"/>
  <c r="C31" i="2"/>
  <c r="C36" i="2"/>
  <c r="H10" i="2"/>
  <c r="H36" i="2" s="1"/>
  <c r="C44" i="2"/>
  <c r="H18" i="2"/>
  <c r="H44" i="2" s="1"/>
  <c r="F21" i="67"/>
  <c r="D21" i="67"/>
  <c r="E21" i="67"/>
  <c r="C21" i="67"/>
  <c r="G18" i="68"/>
  <c r="G26" i="51"/>
  <c r="G18" i="67" s="1"/>
  <c r="F48" i="56"/>
  <c r="G52" i="2"/>
  <c r="E16" i="67"/>
  <c r="C16" i="68"/>
  <c r="G10" i="56"/>
  <c r="D8" i="2" s="1"/>
  <c r="D31" i="2" s="1"/>
  <c r="E61" i="2"/>
  <c r="F18" i="57"/>
  <c r="F17" i="57" s="1"/>
  <c r="F23" i="43"/>
  <c r="F24" i="43" s="1"/>
  <c r="D61" i="2"/>
  <c r="F18" i="56"/>
  <c r="F17" i="56" s="1"/>
  <c r="F23" i="56" s="1"/>
  <c r="F24" i="56" s="1"/>
  <c r="F25" i="56" s="1"/>
  <c r="F26" i="56" s="1"/>
  <c r="F27" i="56" s="1"/>
  <c r="C18" i="43"/>
  <c r="C61" i="2"/>
  <c r="M19" i="36"/>
  <c r="C34" i="57"/>
  <c r="C40" i="57" s="1"/>
  <c r="I22" i="36"/>
  <c r="E34" i="57"/>
  <c r="E40" i="57" s="1"/>
  <c r="E15" i="57"/>
  <c r="E16" i="57" s="1"/>
  <c r="F6" i="36"/>
  <c r="F5" i="36" s="1"/>
  <c r="F17" i="36" s="1"/>
  <c r="F19" i="36" s="1"/>
  <c r="L6" i="36"/>
  <c r="L5" i="36" s="1"/>
  <c r="L17" i="36" s="1"/>
  <c r="L19" i="36" s="1"/>
  <c r="I23" i="36"/>
  <c r="D21" i="56"/>
  <c r="E21" i="56"/>
  <c r="C18" i="57"/>
  <c r="C17" i="57" s="1"/>
  <c r="E18" i="57"/>
  <c r="E17" i="57" s="1"/>
  <c r="D18" i="57"/>
  <c r="D17" i="57" s="1"/>
  <c r="C21" i="43"/>
  <c r="D21" i="43"/>
  <c r="D46" i="43" s="1"/>
  <c r="D48" i="43" s="1"/>
  <c r="E21" i="43"/>
  <c r="E46" i="43" s="1"/>
  <c r="E21" i="57"/>
  <c r="D21" i="57"/>
  <c r="D16" i="43"/>
  <c r="E34" i="43"/>
  <c r="E40" i="43" s="1"/>
  <c r="E15" i="43"/>
  <c r="C7" i="2"/>
  <c r="H7" i="2" s="1"/>
  <c r="C15" i="56"/>
  <c r="G15" i="56" s="1"/>
  <c r="C20" i="36"/>
  <c r="D20" i="36" s="1"/>
  <c r="E20" i="36" s="1"/>
  <c r="C17" i="2"/>
  <c r="H17" i="2" s="1"/>
  <c r="D19" i="2"/>
  <c r="D51" i="2" s="1"/>
  <c r="C21" i="56"/>
  <c r="C46" i="56" s="1"/>
  <c r="C48" i="56" s="1"/>
  <c r="E19" i="2"/>
  <c r="E51" i="2" s="1"/>
  <c r="C21" i="57"/>
  <c r="C46" i="57" s="1"/>
  <c r="C9" i="2"/>
  <c r="C11" i="2"/>
  <c r="C15" i="43"/>
  <c r="E28" i="51"/>
  <c r="I27" i="51"/>
  <c r="C20" i="2"/>
  <c r="F28" i="51"/>
  <c r="C19" i="2"/>
  <c r="E16" i="53" l="1"/>
  <c r="D33" i="67" s="1"/>
  <c r="D33" i="68"/>
  <c r="D34" i="57"/>
  <c r="D40" i="57" s="1"/>
  <c r="F34" i="68"/>
  <c r="F40" i="68" s="1"/>
  <c r="F48" i="68" s="1"/>
  <c r="C37" i="2"/>
  <c r="H11" i="2"/>
  <c r="C35" i="2"/>
  <c r="H9" i="2"/>
  <c r="H35" i="2" s="1"/>
  <c r="H19" i="2"/>
  <c r="C46" i="67"/>
  <c r="C48" i="67" s="1"/>
  <c r="F25" i="43"/>
  <c r="F26" i="43" s="1"/>
  <c r="F27" i="43" s="1"/>
  <c r="F18" i="67"/>
  <c r="F17" i="67" s="1"/>
  <c r="F23" i="67" s="1"/>
  <c r="E18" i="67"/>
  <c r="E17" i="67" s="1"/>
  <c r="E23" i="67" s="1"/>
  <c r="E24" i="67" s="1"/>
  <c r="E25" i="67" s="1"/>
  <c r="E26" i="67" s="1"/>
  <c r="E27" i="67" s="1"/>
  <c r="C18" i="67"/>
  <c r="C17" i="67" s="1"/>
  <c r="C23" i="67" s="1"/>
  <c r="C24" i="67" s="1"/>
  <c r="C25" i="67" s="1"/>
  <c r="C26" i="67" s="1"/>
  <c r="C27" i="67" s="1"/>
  <c r="D18" i="67"/>
  <c r="D17" i="67" s="1"/>
  <c r="D23" i="67" s="1"/>
  <c r="E46" i="67"/>
  <c r="E48" i="67" s="1"/>
  <c r="G61" i="2"/>
  <c r="F18" i="68"/>
  <c r="F17" i="68" s="1"/>
  <c r="F23" i="68" s="1"/>
  <c r="E18" i="68"/>
  <c r="E17" i="68" s="1"/>
  <c r="E23" i="68" s="1"/>
  <c r="E24" i="68" s="1"/>
  <c r="E25" i="68" s="1"/>
  <c r="E26" i="68" s="1"/>
  <c r="E27" i="68" s="1"/>
  <c r="D18" i="68"/>
  <c r="D17" i="68" s="1"/>
  <c r="D23" i="68" s="1"/>
  <c r="C18" i="68"/>
  <c r="C17" i="68" s="1"/>
  <c r="D46" i="67"/>
  <c r="F46" i="67"/>
  <c r="G10" i="57"/>
  <c r="E8" i="2" s="1"/>
  <c r="E31" i="2" s="1"/>
  <c r="G15" i="43"/>
  <c r="G17" i="57"/>
  <c r="F23" i="57"/>
  <c r="F24" i="57" s="1"/>
  <c r="F25" i="57" s="1"/>
  <c r="F26" i="57" s="1"/>
  <c r="F27" i="57" s="1"/>
  <c r="D32" i="2"/>
  <c r="D33" i="2" s="1"/>
  <c r="H43" i="2"/>
  <c r="C43" i="2"/>
  <c r="C50" i="2"/>
  <c r="C30" i="2"/>
  <c r="C32" i="2" s="1"/>
  <c r="C33" i="2" s="1"/>
  <c r="C52" i="2"/>
  <c r="C51" i="2"/>
  <c r="C48" i="2"/>
  <c r="F20" i="36"/>
  <c r="G20" i="36" s="1"/>
  <c r="H20" i="36" s="1"/>
  <c r="I24" i="36" s="1"/>
  <c r="F18" i="36"/>
  <c r="G18" i="36" s="1"/>
  <c r="H18" i="36" s="1"/>
  <c r="E24" i="36" s="1"/>
  <c r="E48" i="43"/>
  <c r="C16" i="43"/>
  <c r="E46" i="57"/>
  <c r="E48" i="57" s="1"/>
  <c r="E23" i="57"/>
  <c r="E24" i="57" s="1"/>
  <c r="E25" i="57" s="1"/>
  <c r="E46" i="56"/>
  <c r="E48" i="56" s="1"/>
  <c r="D46" i="57"/>
  <c r="D23" i="57"/>
  <c r="D24" i="57" s="1"/>
  <c r="D46" i="56"/>
  <c r="D48" i="56" s="1"/>
  <c r="C16" i="56"/>
  <c r="G16" i="56"/>
  <c r="D14" i="2" s="1"/>
  <c r="E16" i="43"/>
  <c r="C48" i="57"/>
  <c r="C15" i="57"/>
  <c r="G15" i="57" s="1"/>
  <c r="C23" i="57"/>
  <c r="C12" i="2"/>
  <c r="H12" i="2" s="1"/>
  <c r="C46" i="43"/>
  <c r="C48" i="43" s="1"/>
  <c r="G28" i="51"/>
  <c r="D10" i="68" l="1"/>
  <c r="D15" i="68" s="1"/>
  <c r="D16" i="68" s="1"/>
  <c r="D34" i="68"/>
  <c r="D40" i="68" s="1"/>
  <c r="D48" i="68" s="1"/>
  <c r="D48" i="57"/>
  <c r="D48" i="67"/>
  <c r="D10" i="67"/>
  <c r="D15" i="67" s="1"/>
  <c r="D16" i="67" s="1"/>
  <c r="D34" i="67"/>
  <c r="D40" i="67" s="1"/>
  <c r="F15" i="68"/>
  <c r="F24" i="68" s="1"/>
  <c r="F25" i="68" s="1"/>
  <c r="F26" i="68" s="1"/>
  <c r="F27" i="68" s="1"/>
  <c r="F34" i="67"/>
  <c r="F40" i="67" s="1"/>
  <c r="F48" i="67" s="1"/>
  <c r="G17" i="68"/>
  <c r="C23" i="68"/>
  <c r="C24" i="68" s="1"/>
  <c r="C25" i="68" s="1"/>
  <c r="C26" i="68" s="1"/>
  <c r="C27" i="68" s="1"/>
  <c r="G17" i="67"/>
  <c r="E15" i="2"/>
  <c r="E49" i="2" s="1"/>
  <c r="E32" i="2"/>
  <c r="E33" i="2" s="1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H48" i="2"/>
  <c r="H37" i="2"/>
  <c r="H30" i="2"/>
  <c r="H50" i="2"/>
  <c r="H51" i="2"/>
  <c r="E26" i="57"/>
  <c r="E27" i="57" s="1"/>
  <c r="D13" i="2"/>
  <c r="D39" i="2" s="1"/>
  <c r="C16" i="57"/>
  <c r="C24" i="57"/>
  <c r="H28" i="51"/>
  <c r="I26" i="51"/>
  <c r="H61" i="2" s="1"/>
  <c r="D24" i="68" l="1"/>
  <c r="D25" i="68" s="1"/>
  <c r="D26" i="68" s="1"/>
  <c r="D27" i="68" s="1"/>
  <c r="G10" i="68"/>
  <c r="D24" i="67"/>
  <c r="D25" i="67" s="1"/>
  <c r="D26" i="67" s="1"/>
  <c r="D27" i="67" s="1"/>
  <c r="F15" i="67"/>
  <c r="G10" i="67"/>
  <c r="G8" i="2" s="1"/>
  <c r="F16" i="68"/>
  <c r="G15" i="68"/>
  <c r="F13" i="2" s="1"/>
  <c r="G23" i="68"/>
  <c r="G23" i="67"/>
  <c r="E42" i="2"/>
  <c r="C25" i="57"/>
  <c r="C26" i="57" s="1"/>
  <c r="C27" i="57" s="1"/>
  <c r="G16" i="43"/>
  <c r="C13" i="2"/>
  <c r="C39" i="2" s="1"/>
  <c r="E13" i="2"/>
  <c r="E39" i="2" s="1"/>
  <c r="G16" i="57"/>
  <c r="E14" i="2" s="1"/>
  <c r="G31" i="2" l="1"/>
  <c r="G32" i="2" s="1"/>
  <c r="G33" i="2" s="1"/>
  <c r="F8" i="2"/>
  <c r="H8" i="2" s="1"/>
  <c r="G16" i="68"/>
  <c r="F14" i="2" s="1"/>
  <c r="F16" i="67"/>
  <c r="G15" i="67"/>
  <c r="G13" i="2" s="1"/>
  <c r="G39" i="2" s="1"/>
  <c r="F24" i="67"/>
  <c r="F25" i="67" s="1"/>
  <c r="F26" i="67" s="1"/>
  <c r="F27" i="67" s="1"/>
  <c r="G24" i="68"/>
  <c r="F22" i="2" s="1"/>
  <c r="G42" i="2"/>
  <c r="G49" i="2"/>
  <c r="C14" i="2"/>
  <c r="G40" i="2" l="1"/>
  <c r="G16" i="67"/>
  <c r="G14" i="2" s="1"/>
  <c r="G24" i="67"/>
  <c r="G25" i="68"/>
  <c r="F23" i="2" s="1"/>
  <c r="H13" i="2"/>
  <c r="H31" i="2"/>
  <c r="H32" i="2" s="1"/>
  <c r="H33" i="2" s="1"/>
  <c r="G25" i="67" l="1"/>
  <c r="G23" i="2" s="1"/>
  <c r="G22" i="2"/>
  <c r="G54" i="2" s="1"/>
  <c r="G26" i="67"/>
  <c r="G26" i="68"/>
  <c r="F24" i="2" s="1"/>
  <c r="H14" i="2"/>
  <c r="H39" i="2"/>
  <c r="G27" i="67" l="1"/>
  <c r="G25" i="2" s="1"/>
  <c r="G24" i="2"/>
  <c r="G60" i="2" s="1"/>
  <c r="G59" i="2" s="1"/>
  <c r="G27" i="68"/>
  <c r="F25" i="2" s="1"/>
  <c r="G53" i="2"/>
  <c r="E18" i="43"/>
  <c r="E17" i="43" s="1"/>
  <c r="E23" i="43" s="1"/>
  <c r="E24" i="43" s="1"/>
  <c r="E25" i="43" s="1"/>
  <c r="D18" i="43"/>
  <c r="D17" i="43" s="1"/>
  <c r="D23" i="43" s="1"/>
  <c r="D24" i="43" s="1"/>
  <c r="D25" i="43" s="1"/>
  <c r="C17" i="43"/>
  <c r="G17" i="43" l="1"/>
  <c r="C23" i="43"/>
  <c r="C24" i="43" s="1"/>
  <c r="C25" i="43" s="1"/>
  <c r="D26" i="43"/>
  <c r="D27" i="43" s="1"/>
  <c r="E26" i="43"/>
  <c r="E27" i="43" s="1"/>
  <c r="G23" i="43" l="1"/>
  <c r="G24" i="43" s="1"/>
  <c r="C15" i="2"/>
  <c r="C26" i="43"/>
  <c r="G25" i="43" l="1"/>
  <c r="G26" i="43" s="1"/>
  <c r="G27" i="43" s="1"/>
  <c r="C42" i="2"/>
  <c r="C49" i="2"/>
  <c r="C27" i="43"/>
  <c r="C21" i="2"/>
  <c r="C40" i="2" s="1"/>
  <c r="C22" i="2" l="1"/>
  <c r="C54" i="2" l="1"/>
  <c r="C23" i="2"/>
  <c r="C24" i="2" s="1"/>
  <c r="C60" i="2" l="1"/>
  <c r="C59" i="2" s="1"/>
  <c r="C53" i="2"/>
  <c r="C25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G17" i="56" l="1"/>
  <c r="E26" i="56"/>
  <c r="E27" i="56" s="1"/>
  <c r="C23" i="56"/>
  <c r="C24" i="56" s="1"/>
  <c r="C25" i="56" s="1"/>
  <c r="D26" i="56"/>
  <c r="D27" i="56" s="1"/>
  <c r="D15" i="2" l="1"/>
  <c r="H15" i="2" s="1"/>
  <c r="G23" i="56"/>
  <c r="C26" i="56"/>
  <c r="D49" i="2" l="1"/>
  <c r="D42" i="2"/>
  <c r="C27" i="56"/>
  <c r="G24" i="56"/>
  <c r="D21" i="2"/>
  <c r="G25" i="56" l="1"/>
  <c r="G26" i="56" s="1"/>
  <c r="D40" i="2"/>
  <c r="H42" i="2"/>
  <c r="H49" i="2"/>
  <c r="D22" i="2"/>
  <c r="D54" i="2" s="1"/>
  <c r="G27" i="56" l="1"/>
  <c r="D23" i="2"/>
  <c r="D24" i="2" l="1"/>
  <c r="D60" i="2" s="1"/>
  <c r="D59" i="2" s="1"/>
  <c r="D25" i="2"/>
  <c r="D53" i="2" l="1"/>
  <c r="E20" i="2" l="1"/>
  <c r="H20" i="2" s="1"/>
  <c r="H52" i="2" s="1"/>
  <c r="G23" i="57"/>
  <c r="G24" i="57" s="1"/>
  <c r="G25" i="57" l="1"/>
  <c r="E23" i="2" s="1"/>
  <c r="E22" i="2"/>
  <c r="E54" i="2" s="1"/>
  <c r="E52" i="2"/>
  <c r="E21" i="2"/>
  <c r="E40" i="2" l="1"/>
  <c r="H21" i="2"/>
  <c r="G26" i="57"/>
  <c r="H22" i="2" l="1"/>
  <c r="H40" i="2"/>
  <c r="G27" i="57"/>
  <c r="E25" i="2" s="1"/>
  <c r="E24" i="2"/>
  <c r="E53" i="2" l="1"/>
  <c r="E60" i="2"/>
  <c r="E59" i="2" s="1"/>
  <c r="H54" i="2"/>
  <c r="H24" i="2"/>
  <c r="H53" i="2" l="1"/>
  <c r="H60" i="2"/>
  <c r="H59" i="2" s="1"/>
  <c r="H25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<sst xmlns="http://schemas.openxmlformats.org/spreadsheetml/2006/main" count="1433" uniqueCount="294">
  <si>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</si>
  <si>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</si>
  <si>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</si>
  <si>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</si>
  <si>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</si>
  <si>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</si>
  <si>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</si>
  <si>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</si>
  <si>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</si>
  <si>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</si>
  <si>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</si>
  <si>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</si>
  <si>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</si>
  <si>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</si>
  <si>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</si>
  <si>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</si>
  <si>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</si>
  <si>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</si>
  <si>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</si>
  <si>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</si>
  <si>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</si>
  <si>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</si>
  <si>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</si>
  <si>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</si>
  <si>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</si>
  <si>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</si>
  <si>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</si>
  <si>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</si>
  <si>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</si>
  <si>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</si>
  <si>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</si>
  <si>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</si>
  <si>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</si>
  <si>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</si>
  <si>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</si>
  <si>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</si>
  <si>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</si>
  <si>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</si>
  <si>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</si>
  <si>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</si>
  <si>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</si>
  <si>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</si>
  <si>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</si>
  <si>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</si>
  <si>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</si>
  <si>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</si>
  <si>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</si>
  <si>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</si>
  <si>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</si>
  <si>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</si>
  <si>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</si>
  <si>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</si>
  <si>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</si>
  <si>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</si>
  <si>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</si>
  <si>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</si>
  <si>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</si>
  <si>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</si>
  <si>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</si>
  <si>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</si>
  <si>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</si>
  <si>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</si>
  <si>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</si>
  <si>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</si>
  <si>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</si>
  <si>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</si>
  <si>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</si>
  <si>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</si>
  <si>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</si>
  <si>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</si>
  <si>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</si>
  <si>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</si>
  <si>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</si>
  <si>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</si>
  <si>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</si>
  <si>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</si>
  <si>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</si>
  <si>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</si>
  <si>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</si>
  <si>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</si>
  <si>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</si>
  <si>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</si>
  <si>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</si>
  <si>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</si>
  <si>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</si>
  <si>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</si>
  <si>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</si>
  <si>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</si>
  <si>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</si>
  <si>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</si>
  <si>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</si>
  <si>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</si>
  <si>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</si>
  <si>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</si>
  <si>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</si>
  <si>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</si>
  <si>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</si>
  <si>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</si>
  <si>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</si>
  <si>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</si>
  <si>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</si>
  <si>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</si>
  <si>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</si>
  <si>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</si>
  <si>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</si>
  <si>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</si>
  <si>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</si>
  <si>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</si>
  <si>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</si>
  <si>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</si>
  <si>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</si>
  <si>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</si>
  <si>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</si>
  <si>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</si>
  <si>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</si>
  <si>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</si>
  <si>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</si>
  <si>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</si>
  <si>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</si>
  <si>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</si>
  <si>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</si>
  <si>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</si>
  <si>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</si>
  <si>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</si>
  <si>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</si>
  <si>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</si>
  <si>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</si>
  <si>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</si>
  <si>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</si>
  <si>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</si>
  <si>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</si>
  <si>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</si>
  <si>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</si>
  <si>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</si>
  <si>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</si>
  <si>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</si>
  <si>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</si>
  <si>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</si>
  <si>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</si>
  <si>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</si>
  <si>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</si>
  <si>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</si>
  <si>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</si>
  <si>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</si>
  <si>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</si>
  <si>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</si>
  <si>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</si>
  <si>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</si>
  <si>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</si>
  <si>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</si>
  <si>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</si>
  <si>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</si>
  <si>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</si>
  <si>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</si>
  <si>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</si>
  <si>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</si>
  <si>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</si>
  <si>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</si>
  <si>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</si>
  <si>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</si>
  <si>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</si>
  <si>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</si>
  <si>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</si>
  <si>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</si>
  <si>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</si>
  <si>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</si>
  <si>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</si>
  <si>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</si>
  <si>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</si>
  <si>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</si>
  <si>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</si>
  <si>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</si>
  <si>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</si>
  <si>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</si>
  <si>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</si>
  <si>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</si>
  <si>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</si>
  <si>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</si>
  <si>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</si>
  <si>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</si>
  <si>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</si>
  <si>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</si>
  <si>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</si>
  <si>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</si>
  <si>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</si>
  <si>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</si>
  <si>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</si>
  <si>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</si>
  <si>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</si>
  <si>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</si>
  <si>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</si>
  <si>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</si>
  <si>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</si>
  <si>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</si>
  <si>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</si>
  <si>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</si>
  <si>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</si>
  <si>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</si>
  <si>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</si>
  <si>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</si>
  <si>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</si>
  <si>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</si>
  <si>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</si>
  <si>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</si>
  <si>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</si>
  <si>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</si>
  <si>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</si>
  <si>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</si>
  <si>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</si>
  <si>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</si>
  <si>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</si>
  <si>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</si>
  <si>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</si>
  <si>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</si>
  <si>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</si>
  <si>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</si>
  <si>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</si>
  <si>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</si>
  <si>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</si>
  <si>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</si>
  <si>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</si>
  <si>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</si>
  <si>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</si>
  <si>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</si>
  <si>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</si>
  <si>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</si>
  <si>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</si>
  <si>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</si>
  <si>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</si>
  <si>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2026年</t>
  </si>
  <si>
    <t>材料成本</t>
    <phoneticPr fontId="39" type="noConversion"/>
  </si>
  <si>
    <t>所得税(税率15%）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</si>
  <si>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</si>
  <si>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</si>
  <si>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>附加值汇总表</t>
    <phoneticPr fontId="39" type="noConversion"/>
  </si>
  <si>
    <t>产品图号</t>
    <phoneticPr fontId="39" type="noConversion"/>
  </si>
  <si>
    <t>名称</t>
    <phoneticPr fontId="39" type="noConversion"/>
  </si>
  <si>
    <t>附加值</t>
    <phoneticPr fontId="39" type="noConversion"/>
  </si>
  <si>
    <t>附加值率</t>
    <phoneticPr fontId="39" type="noConversion"/>
  </si>
  <si>
    <t>备注</t>
    <phoneticPr fontId="39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</si>
  <si>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</si>
  <si>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</si>
  <si>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rPr>
        <b/>
        <sz val="10"/>
        <rFont val="CorpoS"/>
        <family val="1"/>
      </rPr>
      <t>2024年</t>
    </r>
    <r>
      <rPr>
        <sz val="11"/>
        <color theme="1"/>
        <rFont val="宋体"/>
        <family val="2"/>
        <charset val="134"/>
        <scheme val="minor"/>
      </rPr>
      <t/>
    </r>
  </si>
  <si>
    <t>陕重汽</t>
    <phoneticPr fontId="39" type="noConversion"/>
  </si>
  <si>
    <t>4  年</t>
    <phoneticPr fontId="39" type="noConversion"/>
  </si>
  <si>
    <t>供应商年降：    4  年5%</t>
    <phoneticPr fontId="39" type="noConversion"/>
  </si>
  <si>
    <t>111
1111</t>
    <phoneticPr fontId="39" type="noConversion"/>
  </si>
  <si>
    <t>成本预估根据工艺BOM计算。供应商年度降价5%。</t>
    <phoneticPr fontId="39" type="noConversion"/>
  </si>
  <si>
    <t>财务费用按集团平均水平。</t>
    <phoneticPr fontId="39" type="noConversion"/>
  </si>
  <si>
    <t>变动费用参考河北工厂2023年实际及集团汇总数据。</t>
    <phoneticPr fontId="39" type="noConversion"/>
  </si>
  <si>
    <t>西安工厂平均值</t>
    <phoneticPr fontId="39" type="noConversion"/>
  </si>
  <si>
    <t>X5000-S新能源座椅项目</t>
    <phoneticPr fontId="39" type="noConversion"/>
  </si>
  <si>
    <t>单位：未税、元</t>
    <phoneticPr fontId="39" type="noConversion"/>
  </si>
  <si>
    <t>投资收益分析</t>
    <phoneticPr fontId="39" type="noConversion"/>
  </si>
  <si>
    <t xml:space="preserve">座椅项目研发费用预算表 </t>
    <phoneticPr fontId="39" type="noConversion"/>
  </si>
  <si>
    <t xml:space="preserve">2027年  </t>
    <phoneticPr fontId="39" type="noConversion"/>
  </si>
  <si>
    <t xml:space="preserve">2026年  </t>
    <phoneticPr fontId="39" type="noConversion"/>
  </si>
  <si>
    <t xml:space="preserve">2023年  </t>
    <phoneticPr fontId="39" type="noConversion"/>
  </si>
  <si>
    <r>
      <t>2023</t>
    </r>
    <r>
      <rPr>
        <b/>
        <sz val="10"/>
        <rFont val="宋体"/>
        <family val="3"/>
        <charset val="134"/>
      </rPr>
      <t>年</t>
    </r>
    <phoneticPr fontId="39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</si>
  <si>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</si>
  <si>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</si>
  <si>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左空气悬浮座椅总成</t>
  </si>
  <si>
    <t>ZZ16251510101</t>
  </si>
  <si>
    <t>可变阻尼、气动腰托、前后、上下调节、坐垫延伸、集成式安全带</t>
  </si>
  <si>
    <t>右翻板式座椅总成</t>
  </si>
  <si>
    <t>ZZ16251510102</t>
  </si>
  <si>
    <t>翻折、集成安全带</t>
  </si>
  <si>
    <t>2023年</t>
    <phoneticPr fontId="39" type="noConversion"/>
  </si>
  <si>
    <t>2027年</t>
  </si>
  <si>
    <t>合计</t>
    <phoneticPr fontId="39" type="noConversion"/>
  </si>
  <si>
    <t>2024年</t>
    <phoneticPr fontId="39" type="noConversion"/>
  </si>
  <si>
    <t>西安工厂</t>
  </si>
  <si>
    <t>陕西省西咸新区泾河新城</t>
  </si>
  <si>
    <t>送货地点</t>
  </si>
  <si>
    <t>现汇、承兑</t>
  </si>
  <si>
    <t>现汇或承兑的比例</t>
  </si>
  <si>
    <t>要求现场服务</t>
  </si>
  <si>
    <t>包含所有的主、辅料</t>
  </si>
  <si>
    <t>开发费分摊情况</t>
  </si>
  <si>
    <t>客户支付（3-3-3-1）</t>
  </si>
  <si>
    <t>产品应用场景</t>
  </si>
  <si>
    <t>电动牵引车</t>
  </si>
  <si>
    <t>三包周期</t>
  </si>
  <si>
    <t>预计销价</t>
    <phoneticPr fontId="39" type="noConversion"/>
  </si>
  <si>
    <t>原材料成本</t>
    <phoneticPr fontId="39" type="noConversion"/>
  </si>
  <si>
    <t>客户样件需求15台（支付费用），内部实验5台份</t>
    <phoneticPr fontId="36" type="noConversion"/>
  </si>
  <si>
    <t>CQC强检实验+DVP实验（DVP计划视同X5000S实验报告，与客户交流确认中）</t>
    <phoneticPr fontId="36" type="noConversion"/>
  </si>
  <si>
    <t>注：生产线改造、机器人及生产设备等投入费用预算由工厂参与策划预算。</t>
  </si>
  <si>
    <t>预算费用（万元）</t>
    <phoneticPr fontId="36" type="noConversion"/>
  </si>
  <si>
    <t>其它</t>
    <phoneticPr fontId="36" type="noConversion"/>
  </si>
  <si>
    <t>初步技术方案：
1.在现有X5000S座椅的基础上更换重汽造型发泡，及面料样板状态，主驾取消换挡支架，其余不变；不涉及模具投入；
2.主要涉及费用为CQC强检实验认证，DVP实验计划沿用X5000S实验报告，相关实验正与客户交流中；
营销立项申请描述中：未提及更换发泡造型及副驾开发事项，SOP时间节点未填写，实验要求等关键信息均未明确；</t>
    <phoneticPr fontId="36" type="noConversion"/>
  </si>
  <si>
    <t>2023年</t>
    <phoneticPr fontId="39" type="noConversion"/>
  </si>
  <si>
    <t>预计增加发泡河北采购增值及运费22元</t>
    <phoneticPr fontId="39" type="noConversion"/>
  </si>
  <si>
    <t>所得税15%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</si>
</sst>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  <xf numFmtId="0" fontId="30" fillId="0" borderId="0"/>
    <xf numFmtId="0" fontId="41" fillId="0" borderId="1" applyNumberForma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43" fontId="3" fillId="2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3" fontId="5" fillId="2" borderId="1" xfId="1" applyFont="1" applyFill="1" applyBorder="1">
      <alignment vertical="center"/>
    </xf>
    <xf numFmtId="43" fontId="5" fillId="0" borderId="1" xfId="1" applyFont="1" applyBorder="1">
      <alignment vertical="center"/>
    </xf>
    <xf numFmtId="43" fontId="3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178" fontId="3" fillId="0" borderId="0" xfId="1" applyNumberFormat="1" applyFo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78" fontId="6" fillId="3" borderId="1" xfId="0" applyNumberFormat="1" applyFont="1" applyFill="1" applyBorder="1" applyAlignment="1">
      <alignment horizontal="center" wrapText="1" readingOrder="1"/>
    </xf>
    <xf numFmtId="43" fontId="3" fillId="0" borderId="0" xfId="1" applyFont="1">
      <alignment vertical="center"/>
    </xf>
    <xf numFmtId="178" fontId="8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readingOrder="1"/>
    </xf>
    <xf numFmtId="43" fontId="5" fillId="0" borderId="1" xfId="0" applyNumberFormat="1" applyFont="1" applyBorder="1">
      <alignment vertical="center"/>
    </xf>
    <xf numFmtId="43" fontId="5" fillId="0" borderId="1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2" fillId="0" borderId="0" xfId="0" applyFont="1" applyFill="1">
      <alignment vertical="center"/>
    </xf>
    <xf numFmtId="10" fontId="2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3" fillId="0" borderId="0" xfId="0" applyNumberFormat="1" applyFont="1">
      <alignment vertical="center"/>
    </xf>
    <xf numFmtId="43" fontId="3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8" fillId="0" borderId="0" xfId="0" applyFont="1" applyFill="1">
      <alignment vertical="center"/>
    </xf>
    <xf numFmtId="43" fontId="17" fillId="7" borderId="0" xfId="0" applyNumberFormat="1" applyFont="1" applyFill="1">
      <alignment vertical="center"/>
    </xf>
    <xf numFmtId="0" fontId="17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5" fillId="7" borderId="0" xfId="0" applyFont="1" applyFill="1">
      <alignment vertical="center"/>
    </xf>
    <xf numFmtId="43" fontId="11" fillId="8" borderId="1" xfId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5" fillId="0" borderId="1" xfId="1" applyFont="1" applyFill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78" fontId="17" fillId="7" borderId="1" xfId="1" applyNumberFormat="1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43" fontId="28" fillId="0" borderId="0" xfId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2" fillId="8" borderId="0" xfId="1" applyFont="1" applyFill="1" applyBorder="1" applyAlignment="1" applyProtection="1">
      <alignment horizontal="center" vertical="center"/>
    </xf>
    <xf numFmtId="0" fontId="28" fillId="0" borderId="0" xfId="0" applyFont="1" applyBorder="1">
      <alignment vertical="center"/>
    </xf>
    <xf numFmtId="43" fontId="11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2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/>
    <xf numFmtId="49" fontId="45" fillId="0" borderId="1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1" xfId="0" applyFont="1" applyBorder="1">
      <alignment vertical="center"/>
    </xf>
    <xf numFmtId="0" fontId="42" fillId="0" borderId="1" xfId="0" applyFont="1" applyBorder="1" applyAlignment="1">
      <alignment vertical="center" wrapText="1"/>
    </xf>
    <xf numFmtId="43" fontId="17" fillId="0" borderId="0" xfId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47" fillId="0" borderId="0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22" fillId="0" borderId="0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horizontal="right" vertical="center"/>
    </xf>
    <xf numFmtId="2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49" fontId="0" fillId="0" borderId="1" xfId="1" applyNumberFormat="1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46" fillId="7" borderId="1" xfId="0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28" fillId="0" borderId="1" xfId="0" applyFont="1" applyBorder="1" applyAlignment="1">
      <alignment horizontal="center" vertical="center"/>
    </xf>
    <xf numFmtId="43" fontId="42" fillId="0" borderId="1" xfId="1" applyFont="1" applyBorder="1" applyAlignment="1" applyProtection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42" fillId="9" borderId="5" xfId="0" applyFont="1" applyFill="1" applyBorder="1" applyAlignment="1">
      <alignment horizontal="center" vertical="center"/>
    </xf>
    <xf numFmtId="43" fontId="38" fillId="8" borderId="1" xfId="1" applyFill="1" applyBorder="1" applyAlignment="1" applyProtection="1">
      <alignment horizontal="center" vertical="center"/>
    </xf>
    <xf numFmtId="0" fontId="43" fillId="0" borderId="5" xfId="0" applyFont="1" applyBorder="1" applyAlignment="1">
      <alignment horizontal="left" vertical="top" wrapText="1"/>
    </xf>
    <xf numFmtId="0" fontId="42" fillId="9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42" fillId="9" borderId="5" xfId="0" applyFont="1" applyFill="1" applyBorder="1" applyAlignment="1">
      <alignment horizontal="center" vertical="center" wrapText="1"/>
    </xf>
    <xf numFmtId="0" fontId="42" fillId="10" borderId="1" xfId="0" applyFont="1" applyFill="1" applyBorder="1">
      <alignment vertical="center"/>
    </xf>
    <xf numFmtId="0" fontId="42" fillId="10" borderId="1" xfId="0" applyFont="1" applyFill="1" applyBorder="1" applyAlignment="1">
      <alignment vertical="center" wrapText="1"/>
    </xf>
    <xf numFmtId="0" fontId="42" fillId="9" borderId="7" xfId="0" applyFont="1" applyFill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/>
    </xf>
    <xf numFmtId="43" fontId="38" fillId="0" borderId="1" xfId="1" applyBorder="1" applyAlignment="1" applyProtection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top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4" customFormat="1" ht="35.25" customHeight="1">
      <c r="A2" s="135" t="s">
        <v>0</v>
      </c>
      <c r="B2" s="135" t="s">
        <v>1</v>
      </c>
      <c r="C2" s="135" t="s">
        <v>2</v>
      </c>
      <c r="D2" s="136"/>
    </row>
    <row r="3" spans="1:4" s="134" customFormat="1" ht="33.75" customHeight="1">
      <c r="A3" s="137">
        <v>1</v>
      </c>
      <c r="B3" s="137" t="s">
        <v>3</v>
      </c>
      <c r="C3" s="138" t="s">
        <v>4</v>
      </c>
      <c r="D3" s="136"/>
    </row>
    <row r="4" spans="1:4" s="134" customFormat="1" ht="33.75" customHeight="1">
      <c r="A4" s="137">
        <v>2</v>
      </c>
      <c r="B4" s="137" t="s">
        <v>5</v>
      </c>
      <c r="C4" s="138" t="s">
        <v>6</v>
      </c>
    </row>
    <row r="5" spans="1:4" s="134" customFormat="1" ht="33.75" customHeight="1">
      <c r="A5" s="137">
        <v>3</v>
      </c>
      <c r="B5" s="211" t="s">
        <v>7</v>
      </c>
      <c r="C5" s="139" t="s">
        <v>247</v>
      </c>
    </row>
    <row r="6" spans="1:4" s="134" customFormat="1" ht="33.75" customHeight="1">
      <c r="A6" s="137">
        <v>4</v>
      </c>
      <c r="B6" s="212"/>
      <c r="C6" s="138" t="s">
        <v>8</v>
      </c>
    </row>
    <row r="7" spans="1:4" s="134" customFormat="1" ht="33.75" customHeight="1">
      <c r="A7" s="137">
        <v>5</v>
      </c>
      <c r="B7" s="140" t="s">
        <v>9</v>
      </c>
      <c r="C7" s="138" t="s">
        <v>249</v>
      </c>
    </row>
    <row r="8" spans="1:4" s="134" customFormat="1" ht="33.75" customHeight="1">
      <c r="A8" s="137">
        <v>6</v>
      </c>
      <c r="B8" s="211" t="s">
        <v>10</v>
      </c>
      <c r="C8" s="138" t="s">
        <v>11</v>
      </c>
    </row>
    <row r="9" spans="1:4" s="134" customFormat="1" ht="33.75" customHeight="1">
      <c r="A9" s="137">
        <v>7</v>
      </c>
      <c r="B9" s="212"/>
      <c r="C9" s="138" t="s">
        <v>12</v>
      </c>
    </row>
    <row r="10" spans="1:4" s="134" customFormat="1" ht="33.75" customHeight="1">
      <c r="A10" s="137">
        <v>8</v>
      </c>
      <c r="B10" s="212"/>
      <c r="C10" s="139" t="s">
        <v>248</v>
      </c>
    </row>
    <row r="11" spans="1:4" s="134" customFormat="1" ht="33.75" customHeight="1">
      <c r="A11" s="137">
        <v>9</v>
      </c>
      <c r="B11" s="212"/>
      <c r="C11" s="138" t="s">
        <v>13</v>
      </c>
    </row>
    <row r="12" spans="1:4" s="134" customFormat="1" ht="33.75" customHeight="1">
      <c r="A12" s="137">
        <v>10</v>
      </c>
      <c r="B12" s="140" t="s">
        <v>14</v>
      </c>
      <c r="C12" s="138" t="s">
        <v>15</v>
      </c>
    </row>
    <row r="13" spans="1:4" ht="33.75" customHeight="1"/>
    <row r="14" spans="1:4" ht="33.75" customHeight="1"/>
    <row r="15" spans="1:4" ht="33.75" customHeight="1">
      <c r="C15" s="141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F6" sqref="F6"/>
    </sheetView>
  </sheetViews>
  <sheetFormatPr defaultColWidth="9" defaultRowHeight="16.5"/>
  <cols>
    <col min="1" max="1" width="14" style="5" customWidth="1"/>
    <col min="2" max="2" width="14.125" style="5" customWidth="1"/>
    <col min="3" max="8" width="18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188</v>
      </c>
      <c r="E1" s="16"/>
      <c r="F1" s="16"/>
      <c r="G1" s="16"/>
      <c r="H1" s="16"/>
      <c r="I1" s="16"/>
    </row>
    <row r="2" spans="1:12" ht="24" customHeight="1">
      <c r="A2" s="17" t="s">
        <v>189</v>
      </c>
      <c r="E2" s="16"/>
      <c r="F2" s="16"/>
      <c r="G2" s="16"/>
      <c r="H2" s="16"/>
      <c r="I2" s="16"/>
    </row>
    <row r="3" spans="1:12">
      <c r="C3" s="5" t="s">
        <v>190</v>
      </c>
      <c r="D3" s="8" t="s">
        <v>244</v>
      </c>
      <c r="E3" s="158">
        <v>0.05</v>
      </c>
    </row>
    <row r="5" spans="1:12" ht="30.75" customHeight="1">
      <c r="A5" s="236" t="s">
        <v>191</v>
      </c>
      <c r="B5" s="7" t="s">
        <v>144</v>
      </c>
      <c r="C5" s="204" t="s">
        <v>261</v>
      </c>
      <c r="D5" s="204" t="s">
        <v>264</v>
      </c>
      <c r="E5" s="191"/>
      <c r="F5" s="191"/>
      <c r="G5" s="14"/>
      <c r="H5" s="14"/>
      <c r="I5" s="235" t="s">
        <v>18</v>
      </c>
    </row>
    <row r="6" spans="1:12" ht="24" customHeight="1">
      <c r="A6" s="236"/>
      <c r="B6" s="7" t="s">
        <v>145</v>
      </c>
      <c r="C6" s="205" t="s">
        <v>262</v>
      </c>
      <c r="D6" s="205" t="s">
        <v>265</v>
      </c>
      <c r="E6" s="191"/>
      <c r="F6" s="191"/>
      <c r="G6" s="14"/>
      <c r="H6" s="14"/>
      <c r="I6" s="235"/>
      <c r="K6" s="5">
        <v>100</v>
      </c>
    </row>
    <row r="7" spans="1:12" ht="49.5" customHeight="1">
      <c r="A7" s="236"/>
      <c r="B7" s="19" t="s">
        <v>192</v>
      </c>
      <c r="C7" s="21" t="s">
        <v>263</v>
      </c>
      <c r="D7" s="21" t="s">
        <v>266</v>
      </c>
      <c r="E7" s="21"/>
      <c r="F7" s="21"/>
      <c r="G7" s="21"/>
      <c r="H7" s="21"/>
      <c r="I7" s="235"/>
      <c r="K7" s="5">
        <f>K6*(1-$E$3)</f>
        <v>95</v>
      </c>
      <c r="L7" s="5">
        <f>K7/$K$6</f>
        <v>0.95</v>
      </c>
    </row>
    <row r="8" spans="1:12" ht="33">
      <c r="A8" s="236"/>
      <c r="B8" s="19" t="s">
        <v>193</v>
      </c>
      <c r="C8" s="21">
        <v>2220</v>
      </c>
      <c r="D8" s="21">
        <v>825</v>
      </c>
      <c r="E8" s="21"/>
      <c r="F8" s="21"/>
      <c r="G8" s="21"/>
      <c r="H8" s="21"/>
      <c r="I8" s="235"/>
      <c r="K8" s="5">
        <f>K7*(1-$E$3)</f>
        <v>90.25</v>
      </c>
      <c r="L8" s="5">
        <f t="shared" ref="L8:L10" si="0">K8/$K$6</f>
        <v>0.90249999999999997</v>
      </c>
    </row>
    <row r="9" spans="1:12" ht="17.25">
      <c r="A9" s="236" t="s">
        <v>194</v>
      </c>
      <c r="B9" s="169" t="s">
        <v>267</v>
      </c>
      <c r="C9" s="21">
        <v>10</v>
      </c>
      <c r="D9" s="21">
        <v>10</v>
      </c>
      <c r="E9" s="21"/>
      <c r="F9" s="21"/>
      <c r="G9" s="21"/>
      <c r="H9" s="21"/>
      <c r="I9" s="24">
        <f>SUM(C9:H9)</f>
        <v>20</v>
      </c>
      <c r="K9" s="5">
        <f t="shared" ref="K9:K10" si="1">K8*(1-$E$3)</f>
        <v>85.737499999999997</v>
      </c>
      <c r="L9" s="5">
        <f t="shared" si="0"/>
        <v>0.857375</v>
      </c>
    </row>
    <row r="10" spans="1:12" ht="17.25">
      <c r="A10" s="236"/>
      <c r="B10" s="199" t="s">
        <v>184</v>
      </c>
      <c r="C10" s="21">
        <v>800</v>
      </c>
      <c r="D10" s="21">
        <v>800</v>
      </c>
      <c r="E10" s="21"/>
      <c r="F10" s="21"/>
      <c r="G10" s="21"/>
      <c r="H10" s="21"/>
      <c r="I10" s="24">
        <f t="shared" ref="I10:I14" si="2">SUM(C10:H10)</f>
        <v>1600</v>
      </c>
      <c r="K10" s="5">
        <f t="shared" si="1"/>
        <v>81.450624999999988</v>
      </c>
      <c r="L10" s="5">
        <f t="shared" si="0"/>
        <v>0.81450624999999988</v>
      </c>
    </row>
    <row r="11" spans="1:12" ht="17.25">
      <c r="A11" s="236"/>
      <c r="B11" s="199" t="s">
        <v>185</v>
      </c>
      <c r="C11" s="21">
        <v>2000</v>
      </c>
      <c r="D11" s="21">
        <v>2000</v>
      </c>
      <c r="E11" s="21"/>
      <c r="F11" s="21"/>
      <c r="G11" s="21"/>
      <c r="H11" s="21"/>
      <c r="I11" s="24">
        <f t="shared" si="2"/>
        <v>4000</v>
      </c>
    </row>
    <row r="12" spans="1:12" ht="17.25">
      <c r="A12" s="236"/>
      <c r="B12" s="199" t="s">
        <v>229</v>
      </c>
      <c r="C12" s="21">
        <v>2000</v>
      </c>
      <c r="D12" s="21">
        <v>2000</v>
      </c>
      <c r="E12" s="21"/>
      <c r="F12" s="21"/>
      <c r="G12" s="21"/>
      <c r="H12" s="21"/>
      <c r="I12" s="24">
        <f t="shared" si="2"/>
        <v>4000</v>
      </c>
    </row>
    <row r="13" spans="1:12" ht="17.25">
      <c r="A13" s="236"/>
      <c r="B13" s="199" t="s">
        <v>268</v>
      </c>
      <c r="C13" s="21">
        <v>3000</v>
      </c>
      <c r="D13" s="21">
        <v>3000</v>
      </c>
      <c r="E13" s="21"/>
      <c r="F13" s="21"/>
      <c r="G13" s="21"/>
      <c r="H13" s="21"/>
      <c r="I13" s="24">
        <f t="shared" si="2"/>
        <v>6000</v>
      </c>
    </row>
    <row r="14" spans="1:12" ht="17.25">
      <c r="A14" s="236"/>
      <c r="B14" s="169"/>
      <c r="C14" s="21"/>
      <c r="D14" s="21"/>
      <c r="E14" s="21"/>
      <c r="F14" s="21"/>
      <c r="G14" s="21"/>
      <c r="H14" s="21"/>
      <c r="I14" s="24">
        <f t="shared" si="2"/>
        <v>0</v>
      </c>
    </row>
    <row r="15" spans="1:12" ht="17.25">
      <c r="A15" s="235" t="s">
        <v>18</v>
      </c>
      <c r="B15" s="235"/>
      <c r="C15" s="22">
        <f t="shared" ref="C15:I15" si="3">SUM(C9:C14)</f>
        <v>7810</v>
      </c>
      <c r="D15" s="22">
        <f t="shared" si="3"/>
        <v>7810</v>
      </c>
      <c r="E15" s="22">
        <f t="shared" si="3"/>
        <v>0</v>
      </c>
      <c r="F15" s="22">
        <f t="shared" si="3"/>
        <v>0</v>
      </c>
      <c r="G15" s="22">
        <f t="shared" si="3"/>
        <v>0</v>
      </c>
      <c r="H15" s="22">
        <f t="shared" si="3"/>
        <v>0</v>
      </c>
      <c r="I15" s="22">
        <f t="shared" si="3"/>
        <v>15620</v>
      </c>
    </row>
    <row r="16" spans="1:12">
      <c r="A16" s="23"/>
      <c r="B16" s="23"/>
      <c r="C16" s="23"/>
    </row>
  </sheetData>
  <mergeCells count="4">
    <mergeCell ref="A15:B15"/>
    <mergeCell ref="A5:A8"/>
    <mergeCell ref="A9:A14"/>
    <mergeCell ref="I5:I8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workbookViewId="0">
      <pane xSplit="3" ySplit="5" topLeftCell="D6" activePane="bottomRight" state="frozen"/>
      <selection pane="topRight"/>
      <selection pane="bottomLeft"/>
      <selection pane="bottomRight" activeCell="I10" sqref="I10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5.75" style="5" customWidth="1"/>
    <col min="6" max="6" width="12.125" style="5" customWidth="1"/>
    <col min="7" max="9" width="14.375" style="5" customWidth="1"/>
    <col min="10" max="10" width="17.375" style="5" customWidth="1"/>
    <col min="11" max="11" width="16" style="5" customWidth="1"/>
    <col min="12" max="16384" width="9" style="5"/>
  </cols>
  <sheetData>
    <row r="1" spans="1:12" s="4" customFormat="1" ht="28.5" customHeight="1">
      <c r="A1" s="248" t="s">
        <v>7</v>
      </c>
      <c r="B1" s="248"/>
      <c r="C1" s="6"/>
      <c r="K1" s="13"/>
    </row>
    <row r="2" spans="1:12">
      <c r="A2" s="249" t="s">
        <v>195</v>
      </c>
      <c r="B2" s="249"/>
      <c r="C2" s="250"/>
      <c r="D2" s="250"/>
      <c r="E2" s="251" t="s">
        <v>245</v>
      </c>
      <c r="F2" s="252"/>
      <c r="G2" s="252"/>
      <c r="H2" s="252"/>
      <c r="I2" s="252"/>
      <c r="J2" s="253"/>
    </row>
    <row r="3" spans="1:12">
      <c r="A3" s="242" t="s">
        <v>16</v>
      </c>
      <c r="B3" s="242" t="s">
        <v>196</v>
      </c>
      <c r="C3" s="7" t="s">
        <v>197</v>
      </c>
      <c r="D3" s="254" t="str">
        <f>损益表!A1</f>
        <v>X5000-S新能源座椅项目</v>
      </c>
      <c r="E3" s="254"/>
      <c r="F3" s="7" t="s">
        <v>198</v>
      </c>
      <c r="G3" s="245"/>
      <c r="H3" s="246"/>
      <c r="I3" s="247"/>
      <c r="J3" s="255" t="s">
        <v>154</v>
      </c>
    </row>
    <row r="4" spans="1:12">
      <c r="A4" s="242"/>
      <c r="B4" s="242"/>
      <c r="C4" s="7" t="s">
        <v>144</v>
      </c>
      <c r="D4" s="156" t="str">
        <f>销量!C5</f>
        <v>左空气悬浮座椅总成</v>
      </c>
      <c r="E4" s="156" t="str">
        <f>销量!D5</f>
        <v>右翻板式座椅总成</v>
      </c>
      <c r="F4" s="156">
        <f>销量!E5</f>
        <v>0</v>
      </c>
      <c r="G4" s="156">
        <f>销量!F5</f>
        <v>0</v>
      </c>
      <c r="H4" s="156">
        <f>销量!G5</f>
        <v>0</v>
      </c>
      <c r="I4" s="156">
        <f>销量!H5</f>
        <v>0</v>
      </c>
      <c r="J4" s="256"/>
    </row>
    <row r="5" spans="1:12">
      <c r="A5" s="242"/>
      <c r="B5" s="242"/>
      <c r="C5" s="7" t="s">
        <v>145</v>
      </c>
      <c r="D5" s="156" t="str">
        <f>销量!C6</f>
        <v>ZZ16251510101</v>
      </c>
      <c r="E5" s="156" t="str">
        <f>销量!D6</f>
        <v>ZZ16251510102</v>
      </c>
      <c r="F5" s="156">
        <f>销量!E6</f>
        <v>0</v>
      </c>
      <c r="G5" s="156">
        <f>销量!F6</f>
        <v>0</v>
      </c>
      <c r="H5" s="156">
        <f>销量!G6</f>
        <v>0</v>
      </c>
      <c r="I5" s="156">
        <f>销量!H6</f>
        <v>0</v>
      </c>
      <c r="J5" s="257"/>
    </row>
    <row r="6" spans="1:12" ht="16.5" customHeight="1">
      <c r="A6" s="10">
        <v>1</v>
      </c>
      <c r="B6" s="243" t="s">
        <v>230</v>
      </c>
      <c r="C6" s="244"/>
      <c r="D6" s="192">
        <f>1399.75+22</f>
        <v>1421.75</v>
      </c>
      <c r="E6" s="192">
        <f>531.98+22</f>
        <v>553.98</v>
      </c>
      <c r="F6" s="192"/>
      <c r="G6" s="192"/>
      <c r="H6" s="11"/>
      <c r="I6" s="11"/>
      <c r="J6" s="171" t="s">
        <v>292</v>
      </c>
    </row>
    <row r="7" spans="1:12" ht="16.5" customHeight="1">
      <c r="A7" s="10">
        <v>2</v>
      </c>
      <c r="B7" s="243"/>
      <c r="C7" s="244"/>
      <c r="D7" s="9"/>
      <c r="E7" s="9"/>
      <c r="F7" s="192"/>
      <c r="G7" s="9"/>
      <c r="H7" s="9"/>
      <c r="I7" s="9"/>
      <c r="J7" s="14"/>
    </row>
    <row r="8" spans="1:12" ht="16.5" customHeight="1">
      <c r="A8" s="10">
        <v>3</v>
      </c>
      <c r="B8" s="243"/>
      <c r="C8" s="244"/>
      <c r="D8" s="11"/>
      <c r="E8" s="9"/>
      <c r="F8" s="11"/>
      <c r="G8" s="9"/>
      <c r="H8" s="11"/>
      <c r="I8" s="11"/>
      <c r="J8" s="14"/>
    </row>
    <row r="9" spans="1:12">
      <c r="A9" s="10">
        <v>4</v>
      </c>
      <c r="B9" s="243"/>
      <c r="C9" s="244"/>
      <c r="D9" s="11"/>
      <c r="E9" s="9"/>
      <c r="F9" s="11"/>
      <c r="G9" s="9"/>
      <c r="H9" s="9"/>
      <c r="I9" s="9"/>
      <c r="J9" s="14"/>
    </row>
    <row r="10" spans="1:12" ht="16.5" customHeight="1">
      <c r="A10" s="10">
        <v>5</v>
      </c>
      <c r="B10" s="243"/>
      <c r="C10" s="244"/>
      <c r="D10" s="11"/>
      <c r="E10" s="11"/>
      <c r="F10" s="11"/>
      <c r="G10" s="9"/>
      <c r="H10" s="9"/>
      <c r="I10" s="9"/>
      <c r="J10" s="14"/>
      <c r="K10" s="237"/>
      <c r="L10" s="238"/>
    </row>
    <row r="11" spans="1:12" ht="16.5" customHeight="1">
      <c r="A11" s="10">
        <v>6</v>
      </c>
      <c r="B11" s="243"/>
      <c r="C11" s="244"/>
      <c r="D11" s="11"/>
      <c r="E11" s="9"/>
      <c r="F11" s="11"/>
      <c r="G11" s="9"/>
      <c r="H11" s="9"/>
      <c r="I11" s="9"/>
      <c r="J11" s="14"/>
      <c r="K11" s="237"/>
      <c r="L11" s="238"/>
    </row>
    <row r="12" spans="1:12" ht="22.5" customHeight="1">
      <c r="A12" s="239" t="s">
        <v>199</v>
      </c>
      <c r="B12" s="240"/>
      <c r="C12" s="241"/>
      <c r="D12" s="12">
        <f t="shared" ref="D12:I12" si="0">SUM(D6:D11)</f>
        <v>1421.75</v>
      </c>
      <c r="E12" s="12">
        <f t="shared" si="0"/>
        <v>553.98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4"/>
    </row>
    <row r="13" spans="1:12">
      <c r="C13" s="5" t="s">
        <v>270</v>
      </c>
      <c r="D13" s="159">
        <f>D12*0.95</f>
        <v>1350.6624999999999</v>
      </c>
      <c r="E13" s="159">
        <f>E12*0.95</f>
        <v>526.28099999999995</v>
      </c>
    </row>
    <row r="14" spans="1:12">
      <c r="C14" s="5" t="s">
        <v>185</v>
      </c>
      <c r="D14" s="159">
        <f t="shared" ref="D14:D16" si="1">D13*0.95</f>
        <v>1283.1293749999998</v>
      </c>
      <c r="E14" s="159">
        <f t="shared" ref="E14:E16" si="2">E13*0.95</f>
        <v>499.96694999999994</v>
      </c>
    </row>
    <row r="15" spans="1:12">
      <c r="C15" s="5" t="s">
        <v>229</v>
      </c>
      <c r="D15" s="159">
        <f t="shared" si="1"/>
        <v>1218.9729062499996</v>
      </c>
      <c r="E15" s="159">
        <f t="shared" si="2"/>
        <v>474.96860249999992</v>
      </c>
    </row>
    <row r="16" spans="1:12">
      <c r="C16" s="5" t="s">
        <v>268</v>
      </c>
      <c r="D16" s="159">
        <f t="shared" si="1"/>
        <v>1158.0242609374995</v>
      </c>
      <c r="E16" s="159">
        <f t="shared" si="2"/>
        <v>451.22017237499989</v>
      </c>
    </row>
  </sheetData>
  <mergeCells count="17">
    <mergeCell ref="A1:B1"/>
    <mergeCell ref="A2:D2"/>
    <mergeCell ref="E2:J2"/>
    <mergeCell ref="D3:E3"/>
    <mergeCell ref="J3:J5"/>
    <mergeCell ref="K10:L10"/>
    <mergeCell ref="K11:L11"/>
    <mergeCell ref="A12:C12"/>
    <mergeCell ref="A3:A5"/>
    <mergeCell ref="B3:B5"/>
    <mergeCell ref="B11:C11"/>
    <mergeCell ref="G3:I3"/>
    <mergeCell ref="B6:C6"/>
    <mergeCell ref="B7:C7"/>
    <mergeCell ref="B8:C8"/>
    <mergeCell ref="B9:C9"/>
    <mergeCell ref="B10:C10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pane xSplit="2" ySplit="1" topLeftCell="C2" activePane="bottomRight" state="frozen"/>
      <selection pane="topRight"/>
      <selection pane="bottomLeft"/>
      <selection pane="bottomRight" activeCell="G10" sqref="G10"/>
    </sheetView>
  </sheetViews>
  <sheetFormatPr defaultColWidth="9" defaultRowHeight="13.5"/>
  <cols>
    <col min="1" max="1" width="5" style="3" customWidth="1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4" ht="27" customHeight="1">
      <c r="A1" s="206" t="s">
        <v>16</v>
      </c>
      <c r="B1" s="206" t="s">
        <v>200</v>
      </c>
      <c r="C1" s="206" t="s">
        <v>201</v>
      </c>
      <c r="D1" s="206" t="s">
        <v>202</v>
      </c>
    </row>
    <row r="2" spans="1:4">
      <c r="A2" s="206">
        <v>1</v>
      </c>
      <c r="B2" s="207" t="s">
        <v>203</v>
      </c>
      <c r="C2" s="208" t="s">
        <v>271</v>
      </c>
      <c r="D2" s="206"/>
    </row>
    <row r="3" spans="1:4">
      <c r="A3" s="206">
        <v>2</v>
      </c>
      <c r="B3" s="207" t="s">
        <v>204</v>
      </c>
      <c r="C3" s="209" t="s">
        <v>272</v>
      </c>
      <c r="D3" s="206" t="s">
        <v>273</v>
      </c>
    </row>
    <row r="4" spans="1:4">
      <c r="A4" s="206">
        <v>3</v>
      </c>
      <c r="B4" s="207" t="s">
        <v>205</v>
      </c>
      <c r="C4" s="208" t="s">
        <v>274</v>
      </c>
      <c r="D4" s="206" t="s">
        <v>275</v>
      </c>
    </row>
    <row r="5" spans="1:4">
      <c r="A5" s="206">
        <v>4</v>
      </c>
      <c r="B5" s="207" t="s">
        <v>206</v>
      </c>
      <c r="C5" s="208"/>
      <c r="D5" s="206"/>
    </row>
    <row r="6" spans="1:4">
      <c r="A6" s="206">
        <v>5</v>
      </c>
      <c r="B6" s="207" t="s">
        <v>207</v>
      </c>
      <c r="C6" s="208"/>
      <c r="D6" s="206"/>
    </row>
    <row r="7" spans="1:4">
      <c r="A7" s="206">
        <v>6</v>
      </c>
      <c r="B7" s="206" t="s">
        <v>208</v>
      </c>
      <c r="C7" s="209"/>
      <c r="D7" s="206"/>
    </row>
    <row r="8" spans="1:4">
      <c r="A8" s="206">
        <v>7</v>
      </c>
      <c r="B8" s="207" t="s">
        <v>209</v>
      </c>
      <c r="C8" s="210" t="s">
        <v>276</v>
      </c>
      <c r="D8" s="206"/>
    </row>
    <row r="9" spans="1:4">
      <c r="A9" s="206">
        <v>8</v>
      </c>
      <c r="B9" s="206" t="s">
        <v>210</v>
      </c>
      <c r="C9" s="210"/>
      <c r="D9" s="206"/>
    </row>
    <row r="10" spans="1:4">
      <c r="A10" s="206">
        <v>9</v>
      </c>
      <c r="B10" s="206" t="s">
        <v>211</v>
      </c>
      <c r="C10" s="210"/>
      <c r="D10" s="206"/>
    </row>
    <row r="11" spans="1:4">
      <c r="A11" s="206">
        <v>10</v>
      </c>
      <c r="B11" s="206" t="s">
        <v>212</v>
      </c>
      <c r="C11" s="210"/>
      <c r="D11" s="206" t="s">
        <v>277</v>
      </c>
    </row>
    <row r="12" spans="1:4">
      <c r="A12" s="206">
        <v>11</v>
      </c>
      <c r="B12" s="206" t="s">
        <v>213</v>
      </c>
      <c r="C12" s="210"/>
      <c r="D12" s="206"/>
    </row>
    <row r="13" spans="1:4">
      <c r="A13" s="206">
        <v>12</v>
      </c>
      <c r="B13" s="207" t="s">
        <v>278</v>
      </c>
      <c r="C13" s="210" t="s">
        <v>279</v>
      </c>
      <c r="D13" s="206"/>
    </row>
    <row r="14" spans="1:4">
      <c r="A14" s="206">
        <v>13</v>
      </c>
      <c r="B14" s="207" t="s">
        <v>280</v>
      </c>
      <c r="C14" s="210" t="s">
        <v>281</v>
      </c>
      <c r="D14" s="206"/>
    </row>
    <row r="15" spans="1:4">
      <c r="A15" s="206">
        <v>14</v>
      </c>
      <c r="B15" s="207" t="s">
        <v>282</v>
      </c>
      <c r="C15" s="210">
        <v>12</v>
      </c>
      <c r="D15" s="206"/>
    </row>
    <row r="16" spans="1:4">
      <c r="A16" s="206">
        <v>15</v>
      </c>
      <c r="B16" s="206" t="s">
        <v>130</v>
      </c>
      <c r="C16" s="206"/>
      <c r="D16" s="206"/>
    </row>
  </sheetData>
  <phoneticPr fontId="3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topLeftCell="A7" workbookViewId="0">
      <selection activeCell="F6" sqref="F6"/>
    </sheetView>
  </sheetViews>
  <sheetFormatPr defaultColWidth="9" defaultRowHeight="13.5"/>
  <cols>
    <col min="1" max="2" width="9" style="62"/>
    <col min="3" max="5" width="15.75" style="62" customWidth="1"/>
    <col min="6" max="8" width="11.125" style="62" customWidth="1"/>
    <col min="9" max="9" width="12.875" style="145" customWidth="1"/>
    <col min="10" max="16384" width="9" style="62"/>
  </cols>
  <sheetData>
    <row r="1" spans="1:12" s="142" customFormat="1" ht="18.75" customHeight="1">
      <c r="G1" s="258" t="s">
        <v>214</v>
      </c>
      <c r="H1" s="258"/>
      <c r="I1" s="143"/>
    </row>
    <row r="2" spans="1:12" ht="21.75" customHeight="1">
      <c r="A2" s="264" t="s">
        <v>215</v>
      </c>
      <c r="B2" s="264"/>
      <c r="C2" s="260" t="s">
        <v>250</v>
      </c>
      <c r="D2" s="265"/>
      <c r="E2" s="265"/>
      <c r="F2" s="265"/>
      <c r="G2" s="265"/>
      <c r="H2" s="261"/>
      <c r="I2" s="144" t="s">
        <v>222</v>
      </c>
      <c r="K2" s="162"/>
      <c r="L2" s="162"/>
    </row>
    <row r="3" spans="1:12" ht="34.5" customHeight="1">
      <c r="A3" s="264"/>
      <c r="B3" s="264"/>
      <c r="C3" s="153" t="s">
        <v>224</v>
      </c>
      <c r="D3" s="153" t="s">
        <v>225</v>
      </c>
      <c r="E3" s="153" t="s">
        <v>223</v>
      </c>
      <c r="F3" s="154" t="s">
        <v>228</v>
      </c>
      <c r="G3" s="154" t="s">
        <v>227</v>
      </c>
      <c r="H3" s="154" t="s">
        <v>226</v>
      </c>
      <c r="I3" s="157">
        <f>销量!C8</f>
        <v>2220</v>
      </c>
    </row>
    <row r="4" spans="1:12" ht="24" customHeight="1">
      <c r="A4" s="259" t="s">
        <v>216</v>
      </c>
      <c r="B4" s="259"/>
      <c r="C4" s="2"/>
      <c r="D4" s="146"/>
      <c r="E4" s="147">
        <f>$I$3*F4</f>
        <v>59.94</v>
      </c>
      <c r="F4" s="173">
        <v>2.7E-2</v>
      </c>
      <c r="G4" s="147"/>
      <c r="H4" s="148">
        <v>4.48E-2</v>
      </c>
      <c r="J4" s="160"/>
      <c r="K4" s="63"/>
      <c r="L4" s="63"/>
    </row>
    <row r="5" spans="1:12" ht="24" customHeight="1">
      <c r="A5" s="259" t="s">
        <v>217</v>
      </c>
      <c r="B5" s="149" t="s">
        <v>218</v>
      </c>
      <c r="C5" s="2"/>
      <c r="D5" s="146"/>
      <c r="E5" s="147">
        <f t="shared" ref="E5:E11" si="0">$I$3*F5</f>
        <v>170.94</v>
      </c>
      <c r="F5" s="148">
        <v>7.6999999999999999E-2</v>
      </c>
      <c r="G5" s="148"/>
      <c r="H5" s="148">
        <v>4.0399999999999998E-2</v>
      </c>
      <c r="J5" s="161"/>
      <c r="K5" s="63"/>
      <c r="L5" s="63"/>
    </row>
    <row r="6" spans="1:12" ht="24" customHeight="1">
      <c r="A6" s="259"/>
      <c r="B6" s="149" t="s">
        <v>219</v>
      </c>
      <c r="C6" s="2"/>
      <c r="D6" s="146"/>
      <c r="E6" s="147">
        <f t="shared" si="0"/>
        <v>28.86</v>
      </c>
      <c r="F6" s="173">
        <v>1.2999999999999999E-2</v>
      </c>
      <c r="G6" s="147"/>
      <c r="H6" s="148">
        <v>1.66E-2</v>
      </c>
      <c r="J6" s="160"/>
      <c r="K6" s="63"/>
      <c r="L6" s="63"/>
    </row>
    <row r="7" spans="1:12" ht="24" customHeight="1">
      <c r="A7" s="260" t="s">
        <v>220</v>
      </c>
      <c r="B7" s="261"/>
      <c r="C7" s="150"/>
      <c r="D7" s="151"/>
      <c r="E7" s="147">
        <f t="shared" si="0"/>
        <v>259.74</v>
      </c>
      <c r="F7" s="172">
        <f>SUM(F4:F6)</f>
        <v>0.11699999999999999</v>
      </c>
      <c r="G7" s="147"/>
      <c r="H7" s="152">
        <f>SUM(H4:H6)</f>
        <v>0.1018</v>
      </c>
      <c r="J7" s="160"/>
      <c r="K7" s="63"/>
      <c r="L7" s="63"/>
    </row>
    <row r="8" spans="1:12" ht="24" customHeight="1">
      <c r="A8" s="259" t="s">
        <v>48</v>
      </c>
      <c r="B8" s="259"/>
      <c r="C8" s="2"/>
      <c r="D8" s="146"/>
      <c r="E8" s="147">
        <f t="shared" si="0"/>
        <v>51.06</v>
      </c>
      <c r="F8" s="174">
        <v>2.3E-2</v>
      </c>
      <c r="G8" s="147"/>
      <c r="H8" s="148">
        <f>1.97%+0.75%</f>
        <v>2.7199999999999998E-2</v>
      </c>
      <c r="J8" s="161"/>
      <c r="K8" s="63"/>
      <c r="L8" s="63"/>
    </row>
    <row r="9" spans="1:12" ht="24" customHeight="1">
      <c r="A9" s="262" t="s">
        <v>221</v>
      </c>
      <c r="B9" s="149" t="s">
        <v>218</v>
      </c>
      <c r="C9" s="2"/>
      <c r="D9" s="146"/>
      <c r="E9" s="147">
        <f t="shared" si="0"/>
        <v>37.74</v>
      </c>
      <c r="F9" s="148">
        <v>1.7000000000000001E-2</v>
      </c>
      <c r="G9" s="147"/>
      <c r="H9" s="148">
        <v>5.3E-3</v>
      </c>
      <c r="J9" s="145"/>
      <c r="K9" s="63"/>
      <c r="L9" s="63"/>
    </row>
    <row r="10" spans="1:12" ht="24" customHeight="1">
      <c r="A10" s="263"/>
      <c r="B10" s="149" t="s">
        <v>219</v>
      </c>
      <c r="C10" s="2"/>
      <c r="D10" s="146"/>
      <c r="E10" s="147">
        <f t="shared" si="0"/>
        <v>64.38000000000001</v>
      </c>
      <c r="F10" s="145">
        <v>2.9000000000000001E-2</v>
      </c>
      <c r="G10" s="147"/>
      <c r="H10" s="148">
        <v>3.4099999999999998E-2</v>
      </c>
      <c r="J10" s="145"/>
      <c r="K10" s="63"/>
      <c r="L10" s="63"/>
    </row>
    <row r="11" spans="1:12" ht="24" customHeight="1">
      <c r="A11" s="259" t="s">
        <v>51</v>
      </c>
      <c r="B11" s="259"/>
      <c r="C11" s="2"/>
      <c r="D11" s="146"/>
      <c r="E11" s="147">
        <f t="shared" si="0"/>
        <v>111</v>
      </c>
      <c r="F11" s="148">
        <v>0.05</v>
      </c>
      <c r="G11" s="147"/>
      <c r="H11" s="148">
        <v>1.0999999999999999E-2</v>
      </c>
      <c r="J11" s="145"/>
      <c r="K11" s="63"/>
      <c r="L11" s="63"/>
    </row>
    <row r="15" spans="1:12">
      <c r="A15" s="142"/>
      <c r="B15" s="142"/>
      <c r="C15" s="142"/>
      <c r="D15" s="142"/>
      <c r="E15" s="142"/>
      <c r="F15" s="142"/>
      <c r="G15" s="258" t="s">
        <v>214</v>
      </c>
      <c r="H15" s="258"/>
      <c r="I15" s="143"/>
    </row>
    <row r="16" spans="1:12">
      <c r="A16" s="264" t="s">
        <v>215</v>
      </c>
      <c r="B16" s="264"/>
      <c r="C16" s="260" t="str">
        <f>C2</f>
        <v>西安工厂平均值</v>
      </c>
      <c r="D16" s="265"/>
      <c r="E16" s="265"/>
      <c r="F16" s="265"/>
      <c r="G16" s="265"/>
      <c r="H16" s="261"/>
      <c r="I16" s="144" t="s">
        <v>222</v>
      </c>
    </row>
    <row r="17" spans="1:9" ht="27">
      <c r="A17" s="264"/>
      <c r="B17" s="264"/>
      <c r="C17" s="153" t="s">
        <v>224</v>
      </c>
      <c r="D17" s="153" t="s">
        <v>225</v>
      </c>
      <c r="E17" s="153" t="s">
        <v>223</v>
      </c>
      <c r="F17" s="154" t="s">
        <v>228</v>
      </c>
      <c r="G17" s="154" t="s">
        <v>227</v>
      </c>
      <c r="H17" s="154" t="s">
        <v>226</v>
      </c>
      <c r="I17" s="157">
        <f>销量!D8</f>
        <v>825</v>
      </c>
    </row>
    <row r="18" spans="1:9">
      <c r="A18" s="259" t="s">
        <v>216</v>
      </c>
      <c r="B18" s="259"/>
      <c r="C18" s="2"/>
      <c r="D18" s="146"/>
      <c r="E18" s="147">
        <f>$I$17*F18</f>
        <v>22.274999999999999</v>
      </c>
      <c r="F18" s="173">
        <f t="shared" ref="F18:F25" si="1">F4</f>
        <v>2.7E-2</v>
      </c>
      <c r="G18" s="147"/>
      <c r="H18" s="148">
        <v>4.48E-2</v>
      </c>
    </row>
    <row r="19" spans="1:9">
      <c r="A19" s="259" t="s">
        <v>217</v>
      </c>
      <c r="B19" s="170" t="s">
        <v>218</v>
      </c>
      <c r="C19" s="2"/>
      <c r="D19" s="146"/>
      <c r="E19" s="147">
        <f t="shared" ref="E19:E25" si="2">$I$17*F19</f>
        <v>63.524999999999999</v>
      </c>
      <c r="F19" s="148">
        <f t="shared" si="1"/>
        <v>7.6999999999999999E-2</v>
      </c>
      <c r="G19" s="147"/>
      <c r="H19" s="148">
        <v>4.0399999999999998E-2</v>
      </c>
    </row>
    <row r="20" spans="1:9">
      <c r="A20" s="259"/>
      <c r="B20" s="170" t="s">
        <v>219</v>
      </c>
      <c r="C20" s="2"/>
      <c r="D20" s="146"/>
      <c r="E20" s="147">
        <f t="shared" si="2"/>
        <v>10.725</v>
      </c>
      <c r="F20" s="173">
        <f t="shared" si="1"/>
        <v>1.2999999999999999E-2</v>
      </c>
      <c r="G20" s="147"/>
      <c r="H20" s="148">
        <v>1.66E-2</v>
      </c>
    </row>
    <row r="21" spans="1:9">
      <c r="A21" s="260" t="s">
        <v>220</v>
      </c>
      <c r="B21" s="261"/>
      <c r="C21" s="150"/>
      <c r="D21" s="151"/>
      <c r="E21" s="147">
        <f t="shared" si="2"/>
        <v>96.524999999999991</v>
      </c>
      <c r="F21" s="172">
        <f t="shared" si="1"/>
        <v>0.11699999999999999</v>
      </c>
      <c r="G21" s="147"/>
      <c r="H21" s="152">
        <f>SUM(H18:H20)</f>
        <v>0.1018</v>
      </c>
    </row>
    <row r="22" spans="1:9">
      <c r="A22" s="259" t="s">
        <v>48</v>
      </c>
      <c r="B22" s="259"/>
      <c r="C22" s="2"/>
      <c r="D22" s="146"/>
      <c r="E22" s="147">
        <f t="shared" si="2"/>
        <v>18.975000000000001</v>
      </c>
      <c r="F22" s="174">
        <f t="shared" si="1"/>
        <v>2.3E-2</v>
      </c>
      <c r="G22" s="147"/>
      <c r="H22" s="148">
        <f>1.97%+0.75%</f>
        <v>2.7199999999999998E-2</v>
      </c>
    </row>
    <row r="23" spans="1:9">
      <c r="A23" s="262" t="s">
        <v>221</v>
      </c>
      <c r="B23" s="170" t="s">
        <v>218</v>
      </c>
      <c r="C23" s="2"/>
      <c r="D23" s="146"/>
      <c r="E23" s="147">
        <f t="shared" si="2"/>
        <v>14.025</v>
      </c>
      <c r="F23" s="148">
        <f t="shared" si="1"/>
        <v>1.7000000000000001E-2</v>
      </c>
      <c r="G23" s="147"/>
      <c r="H23" s="148">
        <v>5.3E-3</v>
      </c>
    </row>
    <row r="24" spans="1:9">
      <c r="A24" s="263"/>
      <c r="B24" s="170" t="s">
        <v>219</v>
      </c>
      <c r="C24" s="2"/>
      <c r="D24" s="146"/>
      <c r="E24" s="147">
        <f t="shared" si="2"/>
        <v>23.925000000000001</v>
      </c>
      <c r="F24" s="145">
        <f t="shared" si="1"/>
        <v>2.9000000000000001E-2</v>
      </c>
      <c r="G24" s="147"/>
      <c r="H24" s="148">
        <v>3.4099999999999998E-2</v>
      </c>
    </row>
    <row r="25" spans="1:9">
      <c r="A25" s="259" t="s">
        <v>51</v>
      </c>
      <c r="B25" s="259"/>
      <c r="C25" s="2"/>
      <c r="D25" s="146"/>
      <c r="E25" s="147">
        <f t="shared" si="2"/>
        <v>41.25</v>
      </c>
      <c r="F25" s="148">
        <f t="shared" si="1"/>
        <v>0.05</v>
      </c>
      <c r="G25" s="147"/>
      <c r="H25" s="148">
        <v>1.0999999999999999E-2</v>
      </c>
    </row>
    <row r="29" spans="1:9">
      <c r="A29" s="142"/>
      <c r="B29" s="142"/>
      <c r="C29" s="142"/>
      <c r="D29" s="142"/>
      <c r="E29" s="142"/>
      <c r="F29" s="142"/>
      <c r="G29" s="258" t="s">
        <v>214</v>
      </c>
      <c r="H29" s="258"/>
      <c r="I29" s="143"/>
    </row>
    <row r="30" spans="1:9">
      <c r="A30" s="264" t="s">
        <v>215</v>
      </c>
      <c r="B30" s="264"/>
      <c r="C30" s="260" t="str">
        <f>C2</f>
        <v>西安工厂平均值</v>
      </c>
      <c r="D30" s="265"/>
      <c r="E30" s="265"/>
      <c r="F30" s="265"/>
      <c r="G30" s="265"/>
      <c r="H30" s="261"/>
      <c r="I30" s="144" t="s">
        <v>222</v>
      </c>
    </row>
    <row r="31" spans="1:9" ht="27">
      <c r="A31" s="264"/>
      <c r="B31" s="264"/>
      <c r="C31" s="153" t="s">
        <v>224</v>
      </c>
      <c r="D31" s="153" t="s">
        <v>225</v>
      </c>
      <c r="E31" s="153" t="s">
        <v>223</v>
      </c>
      <c r="F31" s="154" t="s">
        <v>228</v>
      </c>
      <c r="G31" s="154" t="s">
        <v>227</v>
      </c>
      <c r="H31" s="154" t="s">
        <v>226</v>
      </c>
      <c r="I31" s="157">
        <f>销量!E8</f>
        <v>0</v>
      </c>
    </row>
    <row r="32" spans="1:9">
      <c r="A32" s="259" t="s">
        <v>216</v>
      </c>
      <c r="B32" s="259"/>
      <c r="C32" s="2"/>
      <c r="D32" s="146"/>
      <c r="E32" s="147">
        <f>$I$31*F32</f>
        <v>0</v>
      </c>
      <c r="F32" s="173">
        <f t="shared" ref="F32:F39" si="3">F4</f>
        <v>2.7E-2</v>
      </c>
      <c r="G32" s="147"/>
      <c r="H32" s="148">
        <v>4.48E-2</v>
      </c>
    </row>
    <row r="33" spans="1:9">
      <c r="A33" s="259" t="s">
        <v>217</v>
      </c>
      <c r="B33" s="170" t="s">
        <v>218</v>
      </c>
      <c r="C33" s="2"/>
      <c r="D33" s="146"/>
      <c r="E33" s="147">
        <f t="shared" ref="E33:E39" si="4">$I$31*F33</f>
        <v>0</v>
      </c>
      <c r="F33" s="148">
        <f t="shared" si="3"/>
        <v>7.6999999999999999E-2</v>
      </c>
      <c r="G33" s="147"/>
      <c r="H33" s="148">
        <v>4.0399999999999998E-2</v>
      </c>
    </row>
    <row r="34" spans="1:9">
      <c r="A34" s="259"/>
      <c r="B34" s="170" t="s">
        <v>219</v>
      </c>
      <c r="C34" s="2"/>
      <c r="D34" s="146"/>
      <c r="E34" s="147">
        <f t="shared" si="4"/>
        <v>0</v>
      </c>
      <c r="F34" s="173">
        <f t="shared" si="3"/>
        <v>1.2999999999999999E-2</v>
      </c>
      <c r="G34" s="147"/>
      <c r="H34" s="148">
        <v>1.66E-2</v>
      </c>
    </row>
    <row r="35" spans="1:9">
      <c r="A35" s="260" t="s">
        <v>220</v>
      </c>
      <c r="B35" s="261"/>
      <c r="C35" s="150"/>
      <c r="D35" s="151"/>
      <c r="E35" s="147">
        <f t="shared" si="4"/>
        <v>0</v>
      </c>
      <c r="F35" s="172">
        <f t="shared" si="3"/>
        <v>0.11699999999999999</v>
      </c>
      <c r="G35" s="152"/>
      <c r="H35" s="152">
        <f>SUM(H32:H34)</f>
        <v>0.1018</v>
      </c>
    </row>
    <row r="36" spans="1:9">
      <c r="A36" s="259" t="s">
        <v>48</v>
      </c>
      <c r="B36" s="259"/>
      <c r="C36" s="2"/>
      <c r="D36" s="146"/>
      <c r="E36" s="147">
        <f t="shared" si="4"/>
        <v>0</v>
      </c>
      <c r="F36" s="174">
        <f t="shared" si="3"/>
        <v>2.3E-2</v>
      </c>
      <c r="G36" s="147"/>
      <c r="H36" s="148">
        <f>1.97%+0.75%</f>
        <v>2.7199999999999998E-2</v>
      </c>
    </row>
    <row r="37" spans="1:9">
      <c r="A37" s="262" t="s">
        <v>221</v>
      </c>
      <c r="B37" s="170" t="s">
        <v>218</v>
      </c>
      <c r="C37" s="2"/>
      <c r="D37" s="146"/>
      <c r="E37" s="147">
        <f t="shared" si="4"/>
        <v>0</v>
      </c>
      <c r="F37" s="148">
        <f t="shared" si="3"/>
        <v>1.7000000000000001E-2</v>
      </c>
      <c r="G37" s="147"/>
      <c r="H37" s="148">
        <v>5.3E-3</v>
      </c>
    </row>
    <row r="38" spans="1:9">
      <c r="A38" s="263"/>
      <c r="B38" s="170" t="s">
        <v>219</v>
      </c>
      <c r="C38" s="2"/>
      <c r="D38" s="146"/>
      <c r="E38" s="147">
        <f t="shared" si="4"/>
        <v>0</v>
      </c>
      <c r="F38" s="145">
        <f t="shared" si="3"/>
        <v>2.9000000000000001E-2</v>
      </c>
      <c r="G38" s="147"/>
      <c r="H38" s="148">
        <v>3.4099999999999998E-2</v>
      </c>
    </row>
    <row r="39" spans="1:9">
      <c r="A39" s="259" t="s">
        <v>51</v>
      </c>
      <c r="B39" s="259"/>
      <c r="C39" s="2"/>
      <c r="D39" s="146"/>
      <c r="E39" s="147">
        <f t="shared" si="4"/>
        <v>0</v>
      </c>
      <c r="F39" s="148">
        <f t="shared" si="3"/>
        <v>0.05</v>
      </c>
      <c r="G39" s="147"/>
      <c r="H39" s="148">
        <v>1.0999999999999999E-2</v>
      </c>
    </row>
    <row r="42" spans="1:9">
      <c r="A42" s="142"/>
      <c r="B42" s="142"/>
      <c r="C42" s="142"/>
      <c r="D42" s="142"/>
      <c r="E42" s="142"/>
      <c r="F42" s="142"/>
      <c r="G42" s="258" t="s">
        <v>214</v>
      </c>
      <c r="H42" s="258"/>
      <c r="I42" s="143"/>
    </row>
    <row r="43" spans="1:9">
      <c r="A43" s="264" t="s">
        <v>215</v>
      </c>
      <c r="B43" s="264"/>
      <c r="C43" s="260" t="str">
        <f>C2</f>
        <v>西安工厂平均值</v>
      </c>
      <c r="D43" s="265"/>
      <c r="E43" s="265"/>
      <c r="F43" s="265"/>
      <c r="G43" s="265"/>
      <c r="H43" s="261"/>
      <c r="I43" s="144" t="s">
        <v>222</v>
      </c>
    </row>
    <row r="44" spans="1:9" ht="27">
      <c r="A44" s="264"/>
      <c r="B44" s="264"/>
      <c r="C44" s="153" t="s">
        <v>224</v>
      </c>
      <c r="D44" s="153" t="s">
        <v>225</v>
      </c>
      <c r="E44" s="153" t="s">
        <v>223</v>
      </c>
      <c r="F44" s="154" t="s">
        <v>228</v>
      </c>
      <c r="G44" s="154" t="s">
        <v>227</v>
      </c>
      <c r="H44" s="154" t="s">
        <v>226</v>
      </c>
      <c r="I44" s="157">
        <f>销量!F8</f>
        <v>0</v>
      </c>
    </row>
    <row r="45" spans="1:9">
      <c r="A45" s="259" t="s">
        <v>216</v>
      </c>
      <c r="B45" s="259"/>
      <c r="C45" s="2"/>
      <c r="D45" s="146"/>
      <c r="E45" s="147">
        <f>$I$44*F45</f>
        <v>0</v>
      </c>
      <c r="F45" s="173">
        <f t="shared" ref="F45:F52" si="5">F4</f>
        <v>2.7E-2</v>
      </c>
      <c r="G45" s="147"/>
      <c r="H45" s="148">
        <v>4.48E-2</v>
      </c>
    </row>
    <row r="46" spans="1:9">
      <c r="A46" s="259" t="s">
        <v>217</v>
      </c>
      <c r="B46" s="170" t="s">
        <v>218</v>
      </c>
      <c r="C46" s="2"/>
      <c r="D46" s="146"/>
      <c r="E46" s="147">
        <f t="shared" ref="E46:E52" si="6">$I$44*F46</f>
        <v>0</v>
      </c>
      <c r="F46" s="148">
        <f t="shared" si="5"/>
        <v>7.6999999999999999E-2</v>
      </c>
      <c r="G46" s="147"/>
      <c r="H46" s="148">
        <v>4.0399999999999998E-2</v>
      </c>
    </row>
    <row r="47" spans="1:9">
      <c r="A47" s="259"/>
      <c r="B47" s="170" t="s">
        <v>219</v>
      </c>
      <c r="C47" s="2"/>
      <c r="D47" s="146"/>
      <c r="E47" s="147">
        <f t="shared" si="6"/>
        <v>0</v>
      </c>
      <c r="F47" s="173">
        <f t="shared" si="5"/>
        <v>1.2999999999999999E-2</v>
      </c>
      <c r="G47" s="147"/>
      <c r="H47" s="148">
        <v>1.66E-2</v>
      </c>
    </row>
    <row r="48" spans="1:9">
      <c r="A48" s="260" t="s">
        <v>220</v>
      </c>
      <c r="B48" s="261"/>
      <c r="C48" s="150"/>
      <c r="D48" s="151"/>
      <c r="E48" s="147">
        <f t="shared" si="6"/>
        <v>0</v>
      </c>
      <c r="F48" s="172">
        <f t="shared" si="5"/>
        <v>0.11699999999999999</v>
      </c>
      <c r="G48" s="152"/>
      <c r="H48" s="152">
        <f>SUM(H45:H47)</f>
        <v>0.1018</v>
      </c>
    </row>
    <row r="49" spans="1:9">
      <c r="A49" s="259" t="s">
        <v>48</v>
      </c>
      <c r="B49" s="259"/>
      <c r="C49" s="2"/>
      <c r="D49" s="146"/>
      <c r="E49" s="147">
        <f t="shared" si="6"/>
        <v>0</v>
      </c>
      <c r="F49" s="174">
        <f t="shared" si="5"/>
        <v>2.3E-2</v>
      </c>
      <c r="G49" s="147"/>
      <c r="H49" s="148">
        <f>1.97%+0.75%</f>
        <v>2.7199999999999998E-2</v>
      </c>
    </row>
    <row r="50" spans="1:9">
      <c r="A50" s="262" t="s">
        <v>221</v>
      </c>
      <c r="B50" s="170" t="s">
        <v>218</v>
      </c>
      <c r="C50" s="2"/>
      <c r="D50" s="146"/>
      <c r="E50" s="147">
        <f t="shared" si="6"/>
        <v>0</v>
      </c>
      <c r="F50" s="148">
        <f t="shared" si="5"/>
        <v>1.7000000000000001E-2</v>
      </c>
      <c r="G50" s="147"/>
      <c r="H50" s="148">
        <v>5.3E-3</v>
      </c>
    </row>
    <row r="51" spans="1:9">
      <c r="A51" s="263"/>
      <c r="B51" s="170" t="s">
        <v>219</v>
      </c>
      <c r="C51" s="2"/>
      <c r="D51" s="146"/>
      <c r="E51" s="147">
        <f t="shared" si="6"/>
        <v>0</v>
      </c>
      <c r="F51" s="145">
        <f t="shared" si="5"/>
        <v>2.9000000000000001E-2</v>
      </c>
      <c r="G51" s="147"/>
      <c r="H51" s="148">
        <v>3.4099999999999998E-2</v>
      </c>
    </row>
    <row r="52" spans="1:9">
      <c r="A52" s="259" t="s">
        <v>51</v>
      </c>
      <c r="B52" s="259"/>
      <c r="C52" s="2"/>
      <c r="D52" s="146"/>
      <c r="E52" s="147">
        <f t="shared" si="6"/>
        <v>0</v>
      </c>
      <c r="F52" s="148">
        <f t="shared" si="5"/>
        <v>0.05</v>
      </c>
      <c r="G52" s="147"/>
      <c r="H52" s="148">
        <v>1.0999999999999999E-2</v>
      </c>
    </row>
    <row r="55" spans="1:9">
      <c r="A55" s="142"/>
      <c r="B55" s="142"/>
      <c r="C55" s="142"/>
      <c r="D55" s="142"/>
      <c r="E55" s="142"/>
      <c r="F55" s="142"/>
      <c r="G55" s="258" t="s">
        <v>214</v>
      </c>
      <c r="H55" s="258"/>
      <c r="I55" s="143"/>
    </row>
    <row r="56" spans="1:9">
      <c r="A56" s="264" t="s">
        <v>215</v>
      </c>
      <c r="B56" s="264"/>
      <c r="C56" s="260" t="str">
        <f>C2</f>
        <v>西安工厂平均值</v>
      </c>
      <c r="D56" s="265"/>
      <c r="E56" s="265"/>
      <c r="F56" s="265"/>
      <c r="G56" s="265"/>
      <c r="H56" s="261"/>
      <c r="I56" s="144" t="s">
        <v>222</v>
      </c>
    </row>
    <row r="57" spans="1:9" ht="27">
      <c r="A57" s="264"/>
      <c r="B57" s="264"/>
      <c r="C57" s="153" t="s">
        <v>224</v>
      </c>
      <c r="D57" s="153" t="s">
        <v>225</v>
      </c>
      <c r="E57" s="153" t="s">
        <v>223</v>
      </c>
      <c r="F57" s="154" t="s">
        <v>228</v>
      </c>
      <c r="G57" s="154" t="s">
        <v>227</v>
      </c>
      <c r="H57" s="154" t="s">
        <v>226</v>
      </c>
      <c r="I57" s="157">
        <f>销量!G8</f>
        <v>0</v>
      </c>
    </row>
    <row r="58" spans="1:9">
      <c r="A58" s="259" t="s">
        <v>216</v>
      </c>
      <c r="B58" s="259"/>
      <c r="C58" s="2"/>
      <c r="D58" s="146"/>
      <c r="E58" s="147">
        <f>$I$57*F58</f>
        <v>0</v>
      </c>
      <c r="F58" s="173">
        <f t="shared" ref="F58:F65" si="7">F4</f>
        <v>2.7E-2</v>
      </c>
      <c r="G58" s="147"/>
      <c r="H58" s="148">
        <v>4.48E-2</v>
      </c>
    </row>
    <row r="59" spans="1:9">
      <c r="A59" s="259" t="s">
        <v>217</v>
      </c>
      <c r="B59" s="170" t="s">
        <v>218</v>
      </c>
      <c r="C59" s="2"/>
      <c r="D59" s="146"/>
      <c r="E59" s="147">
        <f t="shared" ref="E59:E65" si="8">$I$57*F59</f>
        <v>0</v>
      </c>
      <c r="F59" s="148">
        <f t="shared" si="7"/>
        <v>7.6999999999999999E-2</v>
      </c>
      <c r="G59" s="147"/>
      <c r="H59" s="148">
        <v>4.0399999999999998E-2</v>
      </c>
    </row>
    <row r="60" spans="1:9">
      <c r="A60" s="259"/>
      <c r="B60" s="170" t="s">
        <v>219</v>
      </c>
      <c r="C60" s="2"/>
      <c r="D60" s="146"/>
      <c r="E60" s="147">
        <f t="shared" si="8"/>
        <v>0</v>
      </c>
      <c r="F60" s="173">
        <f t="shared" si="7"/>
        <v>1.2999999999999999E-2</v>
      </c>
      <c r="G60" s="147"/>
      <c r="H60" s="148">
        <v>1.66E-2</v>
      </c>
    </row>
    <row r="61" spans="1:9">
      <c r="A61" s="260" t="s">
        <v>220</v>
      </c>
      <c r="B61" s="261"/>
      <c r="C61" s="150"/>
      <c r="D61" s="151"/>
      <c r="E61" s="147">
        <f t="shared" si="8"/>
        <v>0</v>
      </c>
      <c r="F61" s="172">
        <f t="shared" si="7"/>
        <v>0.11699999999999999</v>
      </c>
      <c r="G61" s="152"/>
      <c r="H61" s="152">
        <f>SUM(H58:H60)</f>
        <v>0.1018</v>
      </c>
    </row>
    <row r="62" spans="1:9">
      <c r="A62" s="259" t="s">
        <v>48</v>
      </c>
      <c r="B62" s="259"/>
      <c r="C62" s="2"/>
      <c r="D62" s="146"/>
      <c r="E62" s="147">
        <f t="shared" si="8"/>
        <v>0</v>
      </c>
      <c r="F62" s="174">
        <f t="shared" si="7"/>
        <v>2.3E-2</v>
      </c>
      <c r="G62" s="147"/>
      <c r="H62" s="148">
        <f>1.97%+0.75%</f>
        <v>2.7199999999999998E-2</v>
      </c>
    </row>
    <row r="63" spans="1:9">
      <c r="A63" s="262" t="s">
        <v>221</v>
      </c>
      <c r="B63" s="170" t="s">
        <v>218</v>
      </c>
      <c r="C63" s="2"/>
      <c r="D63" s="146"/>
      <c r="E63" s="147">
        <f t="shared" si="8"/>
        <v>0</v>
      </c>
      <c r="F63" s="148">
        <f t="shared" si="7"/>
        <v>1.7000000000000001E-2</v>
      </c>
      <c r="G63" s="147"/>
      <c r="H63" s="148">
        <v>5.3E-3</v>
      </c>
    </row>
    <row r="64" spans="1:9">
      <c r="A64" s="263"/>
      <c r="B64" s="170" t="s">
        <v>219</v>
      </c>
      <c r="C64" s="2"/>
      <c r="D64" s="146"/>
      <c r="E64" s="147">
        <f t="shared" si="8"/>
        <v>0</v>
      </c>
      <c r="F64" s="145">
        <f t="shared" si="7"/>
        <v>2.9000000000000001E-2</v>
      </c>
      <c r="G64" s="147"/>
      <c r="H64" s="148">
        <v>3.4099999999999998E-2</v>
      </c>
    </row>
    <row r="65" spans="1:9">
      <c r="A65" s="259" t="s">
        <v>51</v>
      </c>
      <c r="B65" s="259"/>
      <c r="C65" s="2"/>
      <c r="D65" s="146"/>
      <c r="E65" s="147">
        <f t="shared" si="8"/>
        <v>0</v>
      </c>
      <c r="F65" s="148">
        <f t="shared" si="7"/>
        <v>0.05</v>
      </c>
      <c r="G65" s="147"/>
      <c r="H65" s="148">
        <v>1.0999999999999999E-2</v>
      </c>
    </row>
    <row r="68" spans="1:9">
      <c r="A68" s="142"/>
      <c r="B68" s="142"/>
      <c r="C68" s="142"/>
      <c r="D68" s="142"/>
      <c r="E68" s="142"/>
      <c r="F68" s="142"/>
      <c r="G68" s="258" t="s">
        <v>214</v>
      </c>
      <c r="H68" s="258"/>
      <c r="I68" s="143"/>
    </row>
    <row r="69" spans="1:9">
      <c r="A69" s="264" t="s">
        <v>215</v>
      </c>
      <c r="B69" s="264"/>
      <c r="C69" s="260" t="str">
        <f>C2</f>
        <v>西安工厂平均值</v>
      </c>
      <c r="D69" s="265"/>
      <c r="E69" s="265"/>
      <c r="F69" s="265"/>
      <c r="G69" s="265"/>
      <c r="H69" s="261"/>
      <c r="I69" s="144" t="s">
        <v>222</v>
      </c>
    </row>
    <row r="70" spans="1:9" ht="27">
      <c r="A70" s="264"/>
      <c r="B70" s="264"/>
      <c r="C70" s="153" t="s">
        <v>224</v>
      </c>
      <c r="D70" s="153" t="s">
        <v>225</v>
      </c>
      <c r="E70" s="153" t="s">
        <v>223</v>
      </c>
      <c r="F70" s="154" t="s">
        <v>228</v>
      </c>
      <c r="G70" s="154" t="s">
        <v>227</v>
      </c>
      <c r="H70" s="154" t="s">
        <v>226</v>
      </c>
      <c r="I70" s="157">
        <f>销量!H8</f>
        <v>0</v>
      </c>
    </row>
    <row r="71" spans="1:9">
      <c r="A71" s="259" t="s">
        <v>216</v>
      </c>
      <c r="B71" s="259"/>
      <c r="C71" s="2"/>
      <c r="D71" s="146"/>
      <c r="E71" s="147">
        <f>$I$70*F71</f>
        <v>0</v>
      </c>
      <c r="F71" s="173">
        <f t="shared" ref="F71:F78" si="9">F4</f>
        <v>2.7E-2</v>
      </c>
      <c r="G71" s="147"/>
      <c r="H71" s="148">
        <v>4.48E-2</v>
      </c>
    </row>
    <row r="72" spans="1:9">
      <c r="A72" s="259" t="s">
        <v>217</v>
      </c>
      <c r="B72" s="170" t="s">
        <v>218</v>
      </c>
      <c r="C72" s="2"/>
      <c r="D72" s="146"/>
      <c r="E72" s="147">
        <f t="shared" ref="E72:E78" si="10">$I$70*F72</f>
        <v>0</v>
      </c>
      <c r="F72" s="148">
        <f t="shared" si="9"/>
        <v>7.6999999999999999E-2</v>
      </c>
      <c r="G72" s="147"/>
      <c r="H72" s="148">
        <v>4.0399999999999998E-2</v>
      </c>
    </row>
    <row r="73" spans="1:9">
      <c r="A73" s="259"/>
      <c r="B73" s="170" t="s">
        <v>219</v>
      </c>
      <c r="C73" s="2"/>
      <c r="D73" s="146"/>
      <c r="E73" s="147">
        <f t="shared" si="10"/>
        <v>0</v>
      </c>
      <c r="F73" s="173">
        <f t="shared" si="9"/>
        <v>1.2999999999999999E-2</v>
      </c>
      <c r="G73" s="147"/>
      <c r="H73" s="148">
        <v>1.66E-2</v>
      </c>
    </row>
    <row r="74" spans="1:9">
      <c r="A74" s="260" t="s">
        <v>220</v>
      </c>
      <c r="B74" s="261"/>
      <c r="C74" s="150"/>
      <c r="D74" s="151"/>
      <c r="E74" s="147">
        <f t="shared" si="10"/>
        <v>0</v>
      </c>
      <c r="F74" s="172">
        <f t="shared" si="9"/>
        <v>0.11699999999999999</v>
      </c>
      <c r="G74" s="152"/>
      <c r="H74" s="152">
        <f>SUM(H71:H73)</f>
        <v>0.1018</v>
      </c>
    </row>
    <row r="75" spans="1:9">
      <c r="A75" s="259" t="s">
        <v>48</v>
      </c>
      <c r="B75" s="259"/>
      <c r="C75" s="2"/>
      <c r="D75" s="146"/>
      <c r="E75" s="147">
        <f t="shared" si="10"/>
        <v>0</v>
      </c>
      <c r="F75" s="174">
        <f t="shared" si="9"/>
        <v>2.3E-2</v>
      </c>
      <c r="G75" s="147"/>
      <c r="H75" s="148">
        <f>1.97%+0.75%</f>
        <v>2.7199999999999998E-2</v>
      </c>
    </row>
    <row r="76" spans="1:9">
      <c r="A76" s="262" t="s">
        <v>221</v>
      </c>
      <c r="B76" s="170" t="s">
        <v>218</v>
      </c>
      <c r="C76" s="2"/>
      <c r="D76" s="146"/>
      <c r="E76" s="147">
        <f t="shared" si="10"/>
        <v>0</v>
      </c>
      <c r="F76" s="148">
        <f t="shared" si="9"/>
        <v>1.7000000000000001E-2</v>
      </c>
      <c r="G76" s="147"/>
      <c r="H76" s="148">
        <v>5.3E-3</v>
      </c>
    </row>
    <row r="77" spans="1:9">
      <c r="A77" s="263"/>
      <c r="B77" s="170" t="s">
        <v>219</v>
      </c>
      <c r="C77" s="2"/>
      <c r="D77" s="146"/>
      <c r="E77" s="147">
        <f t="shared" si="10"/>
        <v>0</v>
      </c>
      <c r="F77" s="145">
        <f t="shared" si="9"/>
        <v>2.9000000000000001E-2</v>
      </c>
      <c r="G77" s="147"/>
      <c r="H77" s="148">
        <v>3.4099999999999998E-2</v>
      </c>
    </row>
    <row r="78" spans="1:9">
      <c r="A78" s="259" t="s">
        <v>51</v>
      </c>
      <c r="B78" s="259"/>
      <c r="C78" s="2"/>
      <c r="D78" s="146"/>
      <c r="E78" s="147">
        <f t="shared" si="10"/>
        <v>0</v>
      </c>
      <c r="F78" s="148">
        <f t="shared" si="9"/>
        <v>0.05</v>
      </c>
      <c r="G78" s="147"/>
      <c r="H78" s="148">
        <v>1.0999999999999999E-2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E15" sqref="E15"/>
    </sheetView>
  </sheetViews>
  <sheetFormatPr defaultRowHeight="13.5"/>
  <cols>
    <col min="1" max="1" width="9" style="267"/>
    <col min="2" max="2" width="14.625" style="195" customWidth="1"/>
    <col min="3" max="3" width="20.125" style="280" customWidth="1"/>
    <col min="4" max="5" width="11.625" style="267" bestFit="1" customWidth="1"/>
    <col min="6" max="6" width="12.75" style="267" bestFit="1" customWidth="1"/>
    <col min="7" max="16384" width="9" style="267"/>
  </cols>
  <sheetData>
    <row r="2" spans="2:8" ht="29.25" customHeight="1">
      <c r="B2" s="266" t="s">
        <v>234</v>
      </c>
      <c r="C2" s="266"/>
      <c r="D2" s="266"/>
      <c r="E2" s="266"/>
      <c r="F2" s="266"/>
      <c r="G2" s="266"/>
      <c r="H2" s="266"/>
    </row>
    <row r="3" spans="2:8" ht="22.5" customHeight="1">
      <c r="B3" s="1" t="s">
        <v>235</v>
      </c>
      <c r="C3" s="268" t="s">
        <v>236</v>
      </c>
      <c r="D3" s="281" t="s">
        <v>284</v>
      </c>
      <c r="E3" s="281" t="s">
        <v>283</v>
      </c>
      <c r="F3" s="1" t="s">
        <v>237</v>
      </c>
      <c r="G3" s="269" t="s">
        <v>238</v>
      </c>
      <c r="H3" s="1" t="s">
        <v>239</v>
      </c>
    </row>
    <row r="4" spans="2:8" ht="18" customHeight="1">
      <c r="B4" s="191" t="str">
        <f>销量!C6</f>
        <v>ZZ16251510101</v>
      </c>
      <c r="C4" s="270" t="str">
        <f>销量!C5</f>
        <v>左空气悬浮座椅总成</v>
      </c>
      <c r="D4" s="271">
        <v>1026</v>
      </c>
      <c r="E4" s="272">
        <f>销量!C8</f>
        <v>2220</v>
      </c>
      <c r="F4" s="271">
        <f>E4-D4</f>
        <v>1194</v>
      </c>
      <c r="G4" s="273">
        <f>F4/E4</f>
        <v>0.53783783783783778</v>
      </c>
      <c r="H4" s="274"/>
    </row>
    <row r="5" spans="2:8" ht="18" customHeight="1">
      <c r="B5" s="191" t="str">
        <f>销量!D6</f>
        <v>ZZ16251510102</v>
      </c>
      <c r="C5" s="270" t="str">
        <f>销量!D5</f>
        <v>右翻板式座椅总成</v>
      </c>
      <c r="D5" s="271">
        <v>477</v>
      </c>
      <c r="E5" s="272">
        <f>销量!D8</f>
        <v>825</v>
      </c>
      <c r="F5" s="271">
        <f>E5-D5</f>
        <v>348</v>
      </c>
      <c r="G5" s="273">
        <f>F5/E5</f>
        <v>0.42181818181818181</v>
      </c>
      <c r="H5" s="274"/>
    </row>
    <row r="6" spans="2:8">
      <c r="B6" s="194">
        <f>销量!E6</f>
        <v>0</v>
      </c>
      <c r="C6" s="193">
        <f>销量!E5</f>
        <v>0</v>
      </c>
      <c r="D6" s="275"/>
      <c r="E6" s="276">
        <f>销量!E8</f>
        <v>0</v>
      </c>
      <c r="F6" s="275">
        <f t="shared" ref="F6:F7" si="0">E6-D6</f>
        <v>0</v>
      </c>
      <c r="G6" s="277" t="e">
        <f t="shared" ref="G6:G7" si="1">F6/E6</f>
        <v>#DIV/0!</v>
      </c>
      <c r="H6" s="278"/>
    </row>
    <row r="7" spans="2:8" ht="31.5" customHeight="1">
      <c r="B7" s="1" t="s">
        <v>269</v>
      </c>
      <c r="C7" s="193"/>
      <c r="D7" s="275">
        <f>SUM(D4:D6)</f>
        <v>1503</v>
      </c>
      <c r="E7" s="275">
        <f>SUM(E4:E6)</f>
        <v>3045</v>
      </c>
      <c r="F7" s="275">
        <f t="shared" si="0"/>
        <v>1542</v>
      </c>
      <c r="G7" s="277">
        <f t="shared" si="1"/>
        <v>0.50640394088669949</v>
      </c>
      <c r="H7" s="279"/>
    </row>
  </sheetData>
  <mergeCells count="1">
    <mergeCell ref="B2:H2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B24" sqref="B24"/>
    </sheetView>
  </sheetViews>
  <sheetFormatPr defaultColWidth="9" defaultRowHeight="16.5"/>
  <cols>
    <col min="1" max="1" width="5.125" style="105" customWidth="1"/>
    <col min="2" max="2" width="35.75" style="105" customWidth="1"/>
    <col min="3" max="3" width="14.5" style="106" customWidth="1"/>
    <col min="4" max="4" width="13" style="106" customWidth="1"/>
    <col min="5" max="7" width="16" style="106" customWidth="1"/>
    <col min="8" max="8" width="16.5" style="106" customWidth="1"/>
    <col min="9" max="9" width="15.5" style="105" customWidth="1"/>
    <col min="10" max="35" width="9" style="105"/>
    <col min="36" max="36" width="4.375" style="105" customWidth="1"/>
    <col min="37" max="37" width="13.875" style="105" customWidth="1"/>
    <col min="38" max="16384" width="9" style="105"/>
  </cols>
  <sheetData>
    <row r="1" spans="1:38" ht="27" customHeight="1">
      <c r="A1" s="213" t="s">
        <v>251</v>
      </c>
      <c r="B1" s="213"/>
      <c r="C1" s="213"/>
      <c r="D1" s="213"/>
      <c r="E1" s="213"/>
      <c r="F1" s="213"/>
      <c r="G1" s="213"/>
      <c r="H1" s="213"/>
    </row>
    <row r="2" spans="1:38" s="203" customFormat="1" ht="27" customHeight="1">
      <c r="A2" s="201"/>
      <c r="B2" s="202"/>
      <c r="C2" s="202"/>
      <c r="D2" s="202" t="s">
        <v>253</v>
      </c>
      <c r="E2" s="202"/>
      <c r="F2" s="202"/>
      <c r="G2" s="202" t="s">
        <v>252</v>
      </c>
      <c r="H2" s="202"/>
    </row>
    <row r="3" spans="1:38" ht="15.75" customHeight="1">
      <c r="A3" s="214" t="s">
        <v>16</v>
      </c>
      <c r="B3" s="107" t="s">
        <v>1</v>
      </c>
      <c r="C3" s="107" t="s">
        <v>258</v>
      </c>
      <c r="D3" s="107" t="s">
        <v>240</v>
      </c>
      <c r="E3" s="107" t="s">
        <v>241</v>
      </c>
      <c r="F3" s="107" t="s">
        <v>259</v>
      </c>
      <c r="G3" s="107" t="s">
        <v>260</v>
      </c>
      <c r="H3" s="47" t="s">
        <v>18</v>
      </c>
      <c r="AL3" s="105" t="s">
        <v>19</v>
      </c>
    </row>
    <row r="4" spans="1:38" s="44" customFormat="1" ht="15.75" customHeight="1">
      <c r="A4" s="215"/>
      <c r="B4" s="49" t="s">
        <v>3</v>
      </c>
      <c r="C4" s="108">
        <f>'2023年'!G6</f>
        <v>20</v>
      </c>
      <c r="D4" s="108">
        <f>'2024年'!G6</f>
        <v>1600</v>
      </c>
      <c r="E4" s="108">
        <f>'2025年'!G6</f>
        <v>4000</v>
      </c>
      <c r="F4" s="108">
        <f>'2026年'!G6</f>
        <v>4000</v>
      </c>
      <c r="G4" s="108">
        <f>'2027年'!G6</f>
        <v>6000</v>
      </c>
      <c r="H4" s="175">
        <f t="shared" ref="H4:H12" si="0">SUM(C4:G4)</f>
        <v>15620</v>
      </c>
      <c r="I4" s="64"/>
      <c r="AJ4" s="48" t="s">
        <v>16</v>
      </c>
      <c r="AK4" s="49" t="s">
        <v>3</v>
      </c>
      <c r="AL4" s="44" t="s">
        <v>20</v>
      </c>
    </row>
    <row r="5" spans="1:38" s="44" customFormat="1" ht="15.75" customHeight="1">
      <c r="A5" s="57">
        <v>1</v>
      </c>
      <c r="B5" s="49" t="s">
        <v>21</v>
      </c>
      <c r="C5" s="108">
        <f>'2023年'!G7</f>
        <v>30450</v>
      </c>
      <c r="D5" s="108">
        <f>'2024年'!G7</f>
        <v>2436000</v>
      </c>
      <c r="E5" s="108">
        <f>'2025年'!G7</f>
        <v>6090000</v>
      </c>
      <c r="F5" s="108">
        <f>'2026年'!G7</f>
        <v>6090000</v>
      </c>
      <c r="G5" s="108">
        <f>'2027年'!G7</f>
        <v>9135000</v>
      </c>
      <c r="H5" s="108">
        <f t="shared" si="0"/>
        <v>23781450</v>
      </c>
      <c r="I5" s="64"/>
      <c r="AJ5" s="48" t="s">
        <v>22</v>
      </c>
      <c r="AK5" s="49" t="s">
        <v>21</v>
      </c>
      <c r="AL5" s="44" t="s">
        <v>20</v>
      </c>
    </row>
    <row r="6" spans="1:38" s="44" customFormat="1" ht="15.75" customHeight="1">
      <c r="A6" s="57">
        <v>2</v>
      </c>
      <c r="B6" s="46" t="s">
        <v>23</v>
      </c>
      <c r="C6" s="108">
        <f>'2023年'!G8</f>
        <v>0</v>
      </c>
      <c r="D6" s="108">
        <f>'2024年'!G8</f>
        <v>121800.0000000001</v>
      </c>
      <c r="E6" s="108">
        <f>'2025年'!G8</f>
        <v>593775.00000000023</v>
      </c>
      <c r="F6" s="108">
        <f>'2026年'!G8</f>
        <v>868586.25</v>
      </c>
      <c r="G6" s="108">
        <f>'2027年'!G8</f>
        <v>1694485.4062500012</v>
      </c>
      <c r="H6" s="108">
        <f t="shared" si="0"/>
        <v>3278646.6562500019</v>
      </c>
      <c r="I6" s="64"/>
      <c r="AJ6" s="48" t="s">
        <v>24</v>
      </c>
      <c r="AK6" s="46" t="s">
        <v>25</v>
      </c>
      <c r="AL6" s="44" t="s">
        <v>20</v>
      </c>
    </row>
    <row r="7" spans="1:38" s="44" customFormat="1" ht="15.75" customHeight="1">
      <c r="A7" s="57">
        <v>3</v>
      </c>
      <c r="B7" s="49" t="s">
        <v>26</v>
      </c>
      <c r="C7" s="109">
        <f>+C5-C6</f>
        <v>30450</v>
      </c>
      <c r="D7" s="109">
        <f>'2024年'!G9</f>
        <v>2314200</v>
      </c>
      <c r="E7" s="109">
        <f>'2025年'!G9</f>
        <v>5496225</v>
      </c>
      <c r="F7" s="109">
        <f>'2026年'!G9</f>
        <v>5221413.75</v>
      </c>
      <c r="G7" s="108">
        <f>'2027年'!G9</f>
        <v>7440514.5937499991</v>
      </c>
      <c r="H7" s="108">
        <f t="shared" si="0"/>
        <v>20502803.34375</v>
      </c>
      <c r="I7" s="64"/>
      <c r="AJ7" s="48" t="s">
        <v>27</v>
      </c>
      <c r="AK7" s="49" t="s">
        <v>26</v>
      </c>
      <c r="AL7" s="44" t="s">
        <v>28</v>
      </c>
    </row>
    <row r="8" spans="1:38" s="44" customFormat="1" ht="15.75" customHeight="1">
      <c r="A8" s="57">
        <v>4</v>
      </c>
      <c r="B8" s="48" t="s">
        <v>29</v>
      </c>
      <c r="C8" s="108">
        <f>'2023年'!G10</f>
        <v>19757.3</v>
      </c>
      <c r="D8" s="108">
        <f>'2024年'!G10</f>
        <v>1501554.7999999998</v>
      </c>
      <c r="E8" s="108">
        <f>'2025年'!G10</f>
        <v>3566192.6499999994</v>
      </c>
      <c r="F8" s="108">
        <f>'2026年'!G10</f>
        <v>3387883.0174999991</v>
      </c>
      <c r="G8" s="108">
        <f>'2027年'!G10</f>
        <v>4827733.2999374978</v>
      </c>
      <c r="H8" s="108">
        <f t="shared" si="0"/>
        <v>13303121.067437496</v>
      </c>
      <c r="I8" s="64"/>
      <c r="AJ8" s="48" t="s">
        <v>30</v>
      </c>
      <c r="AK8" s="48" t="s">
        <v>29</v>
      </c>
      <c r="AL8" s="44" t="s">
        <v>31</v>
      </c>
    </row>
    <row r="9" spans="1:38" s="44" customFormat="1" ht="15.75" customHeight="1">
      <c r="A9" s="57">
        <v>5</v>
      </c>
      <c r="B9" s="48" t="s">
        <v>32</v>
      </c>
      <c r="C9" s="108">
        <f>'2023年'!G11</f>
        <v>822.15</v>
      </c>
      <c r="D9" s="108">
        <f>'2024年'!G11</f>
        <v>65772</v>
      </c>
      <c r="E9" s="108">
        <f>'2025年'!G11</f>
        <v>164430</v>
      </c>
      <c r="F9" s="108">
        <f>'2026年'!G11</f>
        <v>164430</v>
      </c>
      <c r="G9" s="108">
        <f>'2027年'!G11</f>
        <v>246645</v>
      </c>
      <c r="H9" s="108">
        <f t="shared" si="0"/>
        <v>642099.15</v>
      </c>
      <c r="I9" s="64"/>
      <c r="AJ9" s="48" t="s">
        <v>33</v>
      </c>
      <c r="AK9" s="48" t="s">
        <v>32</v>
      </c>
    </row>
    <row r="10" spans="1:38" s="44" customFormat="1" ht="15.75" customHeight="1">
      <c r="A10" s="57">
        <v>6</v>
      </c>
      <c r="B10" s="48" t="s">
        <v>34</v>
      </c>
      <c r="C10" s="108">
        <f>'2023年'!G12</f>
        <v>395.85</v>
      </c>
      <c r="D10" s="108">
        <f>'2024年'!G12</f>
        <v>31668</v>
      </c>
      <c r="E10" s="108">
        <f>'2025年'!G12</f>
        <v>79170</v>
      </c>
      <c r="F10" s="108">
        <f>'2026年'!G12</f>
        <v>79170</v>
      </c>
      <c r="G10" s="108">
        <f>'2027年'!G12</f>
        <v>118755</v>
      </c>
      <c r="H10" s="108">
        <f t="shared" si="0"/>
        <v>309158.84999999998</v>
      </c>
      <c r="I10" s="64"/>
      <c r="AJ10" s="48" t="s">
        <v>35</v>
      </c>
      <c r="AK10" s="48" t="s">
        <v>34</v>
      </c>
    </row>
    <row r="11" spans="1:38" s="44" customFormat="1" ht="15.75" customHeight="1">
      <c r="A11" s="57">
        <v>7</v>
      </c>
      <c r="B11" s="110" t="s">
        <v>36</v>
      </c>
      <c r="C11" s="108">
        <f>'2023年'!G13</f>
        <v>883.05000000000007</v>
      </c>
      <c r="D11" s="108">
        <f>'2024年'!G13</f>
        <v>70644</v>
      </c>
      <c r="E11" s="108">
        <f>'2025年'!G13</f>
        <v>176610</v>
      </c>
      <c r="F11" s="108">
        <f>'2026年'!G13</f>
        <v>176610</v>
      </c>
      <c r="G11" s="108">
        <f>'2027年'!G13</f>
        <v>264915</v>
      </c>
      <c r="H11" s="108">
        <f t="shared" si="0"/>
        <v>689662.05</v>
      </c>
      <c r="I11" s="64"/>
      <c r="AJ11" s="48" t="s">
        <v>37</v>
      </c>
      <c r="AK11" s="48" t="s">
        <v>36</v>
      </c>
      <c r="AL11" s="44" t="s">
        <v>20</v>
      </c>
    </row>
    <row r="12" spans="1:38" s="44" customFormat="1" ht="15.75" customHeight="1">
      <c r="A12" s="57">
        <v>8</v>
      </c>
      <c r="B12" s="111" t="s">
        <v>38</v>
      </c>
      <c r="C12" s="112">
        <f>'2023年'!G14</f>
        <v>2101.0500000000002</v>
      </c>
      <c r="D12" s="112">
        <f>'2024年'!G14</f>
        <v>168084</v>
      </c>
      <c r="E12" s="112">
        <f>'2025年'!G14</f>
        <v>420210</v>
      </c>
      <c r="F12" s="112">
        <f>'2026年'!G14</f>
        <v>420210</v>
      </c>
      <c r="G12" s="112">
        <f>'2027年'!G14</f>
        <v>630315</v>
      </c>
      <c r="H12" s="112">
        <f t="shared" si="0"/>
        <v>1640920.05</v>
      </c>
      <c r="I12" s="64"/>
      <c r="AJ12" s="48" t="s">
        <v>39</v>
      </c>
      <c r="AK12" s="51" t="s">
        <v>38</v>
      </c>
    </row>
    <row r="13" spans="1:38" s="44" customFormat="1" ht="15.75" customHeight="1">
      <c r="A13" s="57">
        <v>9</v>
      </c>
      <c r="B13" s="113" t="s">
        <v>40</v>
      </c>
      <c r="C13" s="108">
        <f>'2023年'!G15</f>
        <v>8591.65</v>
      </c>
      <c r="D13" s="108">
        <f>'2024年'!G15</f>
        <v>644561.20000000007</v>
      </c>
      <c r="E13" s="108">
        <f>'2025年'!G15</f>
        <v>1509822.3500000006</v>
      </c>
      <c r="F13" s="108">
        <f>'2026年'!G15</f>
        <v>1413320.7325000011</v>
      </c>
      <c r="G13" s="108">
        <f>'2027年'!G15</f>
        <v>1982466.2938125005</v>
      </c>
      <c r="H13" s="108">
        <f>H7-H8-H12</f>
        <v>5558762.2263125041</v>
      </c>
      <c r="I13" s="64"/>
      <c r="K13" s="105"/>
      <c r="L13" s="105"/>
      <c r="M13" s="105"/>
      <c r="N13" s="105"/>
      <c r="O13" s="105"/>
      <c r="P13" s="105"/>
      <c r="AJ13" s="48" t="s">
        <v>41</v>
      </c>
      <c r="AK13" s="51" t="s">
        <v>40</v>
      </c>
    </row>
    <row r="14" spans="1:38" ht="15.75" customHeight="1">
      <c r="A14" s="57">
        <v>10</v>
      </c>
      <c r="B14" s="114" t="s">
        <v>42</v>
      </c>
      <c r="C14" s="115">
        <f>+C13/C7</f>
        <v>0.28215599343185549</v>
      </c>
      <c r="D14" s="115">
        <f>'2024年'!G16</f>
        <v>0.27852441448448712</v>
      </c>
      <c r="E14" s="115">
        <f>'2025年'!G16</f>
        <v>0.27470169980304676</v>
      </c>
      <c r="F14" s="115">
        <f>'2026年'!G16</f>
        <v>0.27067778961205691</v>
      </c>
      <c r="G14" s="115">
        <f>'2027年'!G16</f>
        <v>0.26644209467417268</v>
      </c>
      <c r="H14" s="115">
        <f>+H13/H7</f>
        <v>0.27112205746279167</v>
      </c>
      <c r="I14" s="64"/>
      <c r="AJ14" s="114" t="s">
        <v>43</v>
      </c>
      <c r="AK14" s="114" t="s">
        <v>42</v>
      </c>
    </row>
    <row r="15" spans="1:38" ht="15.75" customHeight="1">
      <c r="A15" s="57">
        <v>11</v>
      </c>
      <c r="B15" s="114" t="s">
        <v>44</v>
      </c>
      <c r="C15" s="108">
        <f>'2023年'!G17</f>
        <v>2344.65</v>
      </c>
      <c r="D15" s="108">
        <f>'2024年'!G17</f>
        <v>187572</v>
      </c>
      <c r="E15" s="108">
        <f>'2025年'!G17</f>
        <v>468930</v>
      </c>
      <c r="F15" s="108">
        <f>'2026年'!G17</f>
        <v>468930</v>
      </c>
      <c r="G15" s="108">
        <f>'2027年'!G17</f>
        <v>703395</v>
      </c>
      <c r="H15" s="108">
        <f>SUM(C15:G15)</f>
        <v>1831171.65</v>
      </c>
      <c r="I15" s="64"/>
      <c r="AJ15" s="114" t="s">
        <v>45</v>
      </c>
      <c r="AK15" s="114" t="s">
        <v>44</v>
      </c>
    </row>
    <row r="16" spans="1:38" ht="15.75" hidden="1" customHeight="1">
      <c r="A16" s="155"/>
      <c r="B16" s="114"/>
      <c r="C16" s="108"/>
      <c r="D16" s="108"/>
      <c r="E16" s="108"/>
      <c r="F16" s="108">
        <f>'2026年'!G18</f>
        <v>0</v>
      </c>
      <c r="G16" s="108">
        <f>'2027年'!G18</f>
        <v>0</v>
      </c>
      <c r="H16" s="108"/>
      <c r="I16" s="64"/>
      <c r="AJ16" s="114"/>
      <c r="AK16" s="114"/>
    </row>
    <row r="17" spans="1:38" ht="15.75" customHeight="1">
      <c r="A17" s="57">
        <v>12</v>
      </c>
      <c r="B17" s="114" t="s">
        <v>46</v>
      </c>
      <c r="C17" s="116">
        <f>'2023年'!G19</f>
        <v>517.65000000000009</v>
      </c>
      <c r="D17" s="116">
        <f>'2024年'!G19</f>
        <v>41412</v>
      </c>
      <c r="E17" s="116">
        <f>'2025年'!G19</f>
        <v>103530</v>
      </c>
      <c r="F17" s="116">
        <f>'2026年'!G19</f>
        <v>103530</v>
      </c>
      <c r="G17" s="108">
        <f>'2027年'!G19</f>
        <v>155295</v>
      </c>
      <c r="H17" s="108">
        <f>SUM(C17:G17)</f>
        <v>404284.65</v>
      </c>
      <c r="I17" s="64"/>
      <c r="Q17" s="64"/>
      <c r="AJ17" s="114" t="s">
        <v>47</v>
      </c>
      <c r="AK17" s="114" t="s">
        <v>46</v>
      </c>
      <c r="AL17" s="105" t="s">
        <v>20</v>
      </c>
    </row>
    <row r="18" spans="1:38" ht="15.75" customHeight="1">
      <c r="A18" s="57">
        <v>13</v>
      </c>
      <c r="B18" s="114" t="s">
        <v>48</v>
      </c>
      <c r="C18" s="116">
        <f>'2023年'!G20</f>
        <v>700.35</v>
      </c>
      <c r="D18" s="116">
        <f>'2024年'!G20</f>
        <v>56028</v>
      </c>
      <c r="E18" s="116">
        <f>'2025年'!G20</f>
        <v>140070</v>
      </c>
      <c r="F18" s="116">
        <f>'2026年'!G20</f>
        <v>140070</v>
      </c>
      <c r="G18" s="108">
        <f>'2027年'!G20</f>
        <v>210105</v>
      </c>
      <c r="H18" s="108">
        <f>SUM(C18:G18)</f>
        <v>546973.35</v>
      </c>
      <c r="I18" s="64"/>
      <c r="AJ18" s="114" t="s">
        <v>49</v>
      </c>
      <c r="AK18" s="114" t="s">
        <v>48</v>
      </c>
    </row>
    <row r="19" spans="1:38" s="43" customFormat="1" ht="15.75" customHeight="1">
      <c r="A19" s="57">
        <v>14</v>
      </c>
      <c r="B19" s="56" t="s">
        <v>50</v>
      </c>
      <c r="C19" s="117">
        <f>'2023年'!G21</f>
        <v>53000</v>
      </c>
      <c r="D19" s="117">
        <f>'2024年'!G21</f>
        <v>53000</v>
      </c>
      <c r="E19" s="117">
        <f>'2025年'!G21</f>
        <v>53000</v>
      </c>
      <c r="F19" s="117">
        <f>'2026年'!G21</f>
        <v>53000</v>
      </c>
      <c r="G19" s="108">
        <f>'2027年'!G21</f>
        <v>53000</v>
      </c>
      <c r="H19" s="108">
        <f>SUM(C19:G19)</f>
        <v>265000</v>
      </c>
      <c r="I19" s="64"/>
      <c r="AJ19" s="56"/>
      <c r="AK19" s="56"/>
    </row>
    <row r="20" spans="1:38" s="44" customFormat="1" ht="15.75" customHeight="1">
      <c r="A20" s="57">
        <v>15</v>
      </c>
      <c r="B20" s="48" t="s">
        <v>51</v>
      </c>
      <c r="C20" s="116">
        <f>'2023年'!G22</f>
        <v>1522.5</v>
      </c>
      <c r="D20" s="116">
        <f>'2024年'!G22</f>
        <v>121800</v>
      </c>
      <c r="E20" s="116">
        <f>'2025年'!G22</f>
        <v>304500</v>
      </c>
      <c r="F20" s="116">
        <f>'2026年'!G22</f>
        <v>304500</v>
      </c>
      <c r="G20" s="108">
        <f>'2027年'!G22</f>
        <v>456750</v>
      </c>
      <c r="H20" s="108">
        <f>SUM(C20:G20)</f>
        <v>1189072.5</v>
      </c>
      <c r="I20" s="64"/>
      <c r="AJ20" s="48" t="s">
        <v>52</v>
      </c>
      <c r="AK20" s="48" t="s">
        <v>51</v>
      </c>
    </row>
    <row r="21" spans="1:38" s="103" customFormat="1" ht="15.75" customHeight="1">
      <c r="A21" s="57">
        <v>16</v>
      </c>
      <c r="B21" s="118" t="s">
        <v>53</v>
      </c>
      <c r="C21" s="112">
        <f t="shared" ref="C21" si="1">+C20+C19+C18+C17+C15</f>
        <v>58085.15</v>
      </c>
      <c r="D21" s="112">
        <f>'2024年'!G23</f>
        <v>459812</v>
      </c>
      <c r="E21" s="112">
        <f>'2025年'!G23</f>
        <v>1070030</v>
      </c>
      <c r="F21" s="112">
        <f>'2026年'!G23</f>
        <v>1070030</v>
      </c>
      <c r="G21" s="112">
        <f>'2027年'!G23</f>
        <v>1578545</v>
      </c>
      <c r="H21" s="112">
        <f>SUM(C21:G21)</f>
        <v>4236502.1500000004</v>
      </c>
      <c r="I21" s="64"/>
      <c r="AJ21" s="131" t="s">
        <v>54</v>
      </c>
      <c r="AK21" s="132" t="s">
        <v>53</v>
      </c>
    </row>
    <row r="22" spans="1:38" ht="15.75" customHeight="1">
      <c r="A22" s="57">
        <v>17</v>
      </c>
      <c r="B22" s="114" t="s">
        <v>55</v>
      </c>
      <c r="C22" s="119">
        <f>+C13-C21</f>
        <v>-49493.5</v>
      </c>
      <c r="D22" s="119">
        <f>'2024年'!G24</f>
        <v>184749.20000000007</v>
      </c>
      <c r="E22" s="119">
        <f>'2025年'!G24</f>
        <v>439792.35000000056</v>
      </c>
      <c r="F22" s="119">
        <f>'2026年'!G24</f>
        <v>343290.73250000109</v>
      </c>
      <c r="G22" s="108">
        <f>'2027年'!G24</f>
        <v>403921.29381250055</v>
      </c>
      <c r="H22" s="119">
        <f>+H13-H21</f>
        <v>1322260.0763125038</v>
      </c>
      <c r="I22" s="64"/>
      <c r="AJ22" s="114" t="s">
        <v>56</v>
      </c>
      <c r="AK22" s="114" t="s">
        <v>55</v>
      </c>
    </row>
    <row r="23" spans="1:38" ht="15.75" customHeight="1">
      <c r="A23" s="57">
        <v>18</v>
      </c>
      <c r="B23" s="114" t="s">
        <v>293</v>
      </c>
      <c r="C23" s="119">
        <f>IF(C22&lt;0,0,C22*0.15)</f>
        <v>0</v>
      </c>
      <c r="D23" s="119">
        <f>'2024年'!G25</f>
        <v>27712.380000000008</v>
      </c>
      <c r="E23" s="119">
        <f>'2025年'!G25</f>
        <v>65968.852500000081</v>
      </c>
      <c r="F23" s="119">
        <f>'2026年'!G25</f>
        <v>51493.609875000162</v>
      </c>
      <c r="G23" s="108">
        <f>'2027年'!G25</f>
        <v>60588.194071875077</v>
      </c>
      <c r="H23" s="119">
        <f>IF(H22&lt;0,0,H22*0.15)</f>
        <v>198339.01144687555</v>
      </c>
      <c r="I23" s="64"/>
      <c r="AJ23" s="114" t="s">
        <v>58</v>
      </c>
      <c r="AK23" s="114" t="s">
        <v>57</v>
      </c>
    </row>
    <row r="24" spans="1:38" ht="15.75" customHeight="1">
      <c r="A24" s="57">
        <v>19</v>
      </c>
      <c r="B24" s="114" t="s">
        <v>59</v>
      </c>
      <c r="C24" s="119">
        <f>C22-C23</f>
        <v>-49493.5</v>
      </c>
      <c r="D24" s="119">
        <f>'2024年'!G26</f>
        <v>157036.82000000007</v>
      </c>
      <c r="E24" s="119">
        <f>'2025年'!G26</f>
        <v>373823.49750000046</v>
      </c>
      <c r="F24" s="119">
        <f>'2026年'!G26</f>
        <v>291797.12262500095</v>
      </c>
      <c r="G24" s="108">
        <f>'2027年'!G26</f>
        <v>343333.09974062548</v>
      </c>
      <c r="H24" s="175">
        <f>H22-H23</f>
        <v>1123921.0648656283</v>
      </c>
      <c r="I24" s="64"/>
      <c r="AJ24" s="114" t="s">
        <v>60</v>
      </c>
      <c r="AK24" s="114" t="s">
        <v>59</v>
      </c>
    </row>
    <row r="25" spans="1:38" ht="15.75" customHeight="1">
      <c r="A25" s="57">
        <v>20</v>
      </c>
      <c r="B25" s="114" t="s">
        <v>61</v>
      </c>
      <c r="C25" s="120">
        <f>(C24/C5)*100%</f>
        <v>-1.6254022988505747</v>
      </c>
      <c r="D25" s="120">
        <f>'2024年'!G27</f>
        <v>6.4465032840722525E-2</v>
      </c>
      <c r="E25" s="120">
        <f>'2025年'!G27</f>
        <v>6.13831687192119E-2</v>
      </c>
      <c r="F25" s="120">
        <f>'2026年'!G27</f>
        <v>4.791414164614137E-2</v>
      </c>
      <c r="G25" s="120">
        <f>'2027年'!G27</f>
        <v>3.7584356840790964E-2</v>
      </c>
      <c r="H25" s="120">
        <f>(H24/H5)*100%</f>
        <v>4.7260409473166197E-2</v>
      </c>
      <c r="I25" s="64"/>
      <c r="AJ25" s="133" t="s">
        <v>62</v>
      </c>
      <c r="AK25" s="133" t="s">
        <v>63</v>
      </c>
    </row>
    <row r="26" spans="1:38" s="104" customFormat="1" ht="15.75" customHeight="1">
      <c r="C26" s="121"/>
      <c r="D26" s="121"/>
      <c r="E26" s="121"/>
      <c r="F26" s="121"/>
      <c r="G26" s="121"/>
      <c r="H26" s="121"/>
      <c r="I26" s="130"/>
    </row>
    <row r="27" spans="1:38" s="104" customFormat="1" ht="15.75" customHeight="1">
      <c r="A27" s="104" t="s">
        <v>64</v>
      </c>
      <c r="C27" s="122"/>
      <c r="D27" s="122"/>
      <c r="E27" s="122"/>
      <c r="F27" s="122"/>
      <c r="G27" s="122"/>
      <c r="H27" s="122"/>
      <c r="I27" s="130"/>
      <c r="AJ27" s="104" t="s">
        <v>64</v>
      </c>
    </row>
    <row r="28" spans="1:38" ht="15.75" customHeight="1">
      <c r="A28" s="114" t="s">
        <v>16</v>
      </c>
      <c r="B28" s="123" t="s">
        <v>1</v>
      </c>
      <c r="C28" s="107" t="s">
        <v>65</v>
      </c>
      <c r="D28" s="107" t="s">
        <v>17</v>
      </c>
      <c r="E28" s="107" t="s">
        <v>66</v>
      </c>
      <c r="F28" s="107"/>
      <c r="G28" s="107" t="s">
        <v>242</v>
      </c>
      <c r="H28" s="47" t="s">
        <v>18</v>
      </c>
      <c r="AL28" s="105" t="s">
        <v>19</v>
      </c>
    </row>
    <row r="29" spans="1:38" s="44" customFormat="1" ht="15.75" customHeight="1">
      <c r="A29" s="48" t="s">
        <v>67</v>
      </c>
      <c r="B29" s="51" t="s">
        <v>68</v>
      </c>
      <c r="C29" s="55"/>
      <c r="D29" s="55"/>
      <c r="E29" s="55"/>
      <c r="F29" s="55"/>
      <c r="G29" s="55"/>
      <c r="H29" s="55"/>
      <c r="I29" s="64"/>
      <c r="AJ29" s="48" t="s">
        <v>69</v>
      </c>
      <c r="AK29" s="51" t="s">
        <v>68</v>
      </c>
    </row>
    <row r="30" spans="1:38" s="44" customFormat="1" ht="15.75" customHeight="1">
      <c r="A30" s="48" t="s">
        <v>22</v>
      </c>
      <c r="B30" s="48" t="s">
        <v>70</v>
      </c>
      <c r="C30" s="50">
        <f>+C7/C4</f>
        <v>1522.5</v>
      </c>
      <c r="D30" s="50">
        <f t="shared" ref="D30:E30" si="2">+D7/D4</f>
        <v>1446.375</v>
      </c>
      <c r="E30" s="50">
        <f t="shared" si="2"/>
        <v>1374.0562500000001</v>
      </c>
      <c r="F30" s="50"/>
      <c r="G30" s="50">
        <f t="shared" ref="G30" si="3">+G7/G4</f>
        <v>1240.0857656249998</v>
      </c>
      <c r="H30" s="50">
        <f>+H7/H4</f>
        <v>1312.5994458226633</v>
      </c>
      <c r="I30" s="64"/>
      <c r="AJ30" s="48" t="s">
        <v>22</v>
      </c>
      <c r="AK30" s="48" t="s">
        <v>70</v>
      </c>
    </row>
    <row r="31" spans="1:38" s="44" customFormat="1" ht="15.75" customHeight="1">
      <c r="A31" s="48" t="s">
        <v>24</v>
      </c>
      <c r="B31" s="48" t="s">
        <v>71</v>
      </c>
      <c r="C31" s="50">
        <f>+C8/C4</f>
        <v>987.86500000000001</v>
      </c>
      <c r="D31" s="50">
        <f t="shared" ref="D31:E31" si="4">+D8/D4</f>
        <v>938.47174999999993</v>
      </c>
      <c r="E31" s="50">
        <f t="shared" si="4"/>
        <v>891.54816249999988</v>
      </c>
      <c r="F31" s="50"/>
      <c r="G31" s="50">
        <f t="shared" ref="G31" si="5">+G8/G4</f>
        <v>804.62221665624963</v>
      </c>
      <c r="H31" s="50">
        <f>+H8/H4</f>
        <v>851.67228344670264</v>
      </c>
      <c r="I31" s="64"/>
      <c r="AJ31" s="48" t="s">
        <v>24</v>
      </c>
      <c r="AK31" s="48" t="s">
        <v>71</v>
      </c>
    </row>
    <row r="32" spans="1:38" s="44" customFormat="1" ht="15.75" customHeight="1">
      <c r="A32" s="48" t="s">
        <v>72</v>
      </c>
      <c r="B32" s="48" t="s">
        <v>73</v>
      </c>
      <c r="C32" s="55">
        <f t="shared" ref="C32:H32" si="6">C30-C31</f>
        <v>534.63499999999999</v>
      </c>
      <c r="D32" s="55">
        <f t="shared" si="6"/>
        <v>507.90325000000007</v>
      </c>
      <c r="E32" s="55">
        <f t="shared" si="6"/>
        <v>482.50808750000022</v>
      </c>
      <c r="F32" s="55"/>
      <c r="G32" s="55">
        <f t="shared" ref="G32" si="7">G30-G31</f>
        <v>435.46354896875016</v>
      </c>
      <c r="H32" s="55">
        <f t="shared" si="6"/>
        <v>460.92716237596062</v>
      </c>
      <c r="I32" s="64"/>
      <c r="AJ32" s="48" t="s">
        <v>72</v>
      </c>
      <c r="AK32" s="48" t="s">
        <v>73</v>
      </c>
    </row>
    <row r="33" spans="1:37" s="44" customFormat="1" ht="15.75" customHeight="1">
      <c r="A33" s="48">
        <v>3.1</v>
      </c>
      <c r="B33" s="48" t="s">
        <v>74</v>
      </c>
      <c r="C33" s="124">
        <f t="shared" ref="C33:H33" si="8">C32/C30</f>
        <v>0.3511559934318555</v>
      </c>
      <c r="D33" s="124">
        <f t="shared" si="8"/>
        <v>0.35115599343185555</v>
      </c>
      <c r="E33" s="124">
        <f t="shared" si="8"/>
        <v>0.35115599343185566</v>
      </c>
      <c r="F33" s="124"/>
      <c r="G33" s="124">
        <f t="shared" ref="G33" si="9">G32/G30</f>
        <v>0.35115599343185566</v>
      </c>
      <c r="H33" s="124">
        <f t="shared" si="8"/>
        <v>0.35115599343185572</v>
      </c>
      <c r="I33" s="64"/>
      <c r="AJ33" s="48"/>
      <c r="AK33" s="48"/>
    </row>
    <row r="34" spans="1:37" s="44" customFormat="1" ht="15.75" customHeight="1">
      <c r="A34" s="48" t="s">
        <v>69</v>
      </c>
      <c r="B34" s="51" t="s">
        <v>9</v>
      </c>
      <c r="C34" s="55"/>
      <c r="D34" s="55"/>
      <c r="E34" s="55"/>
      <c r="F34" s="55"/>
      <c r="G34" s="55"/>
      <c r="H34" s="55"/>
      <c r="I34" s="64"/>
      <c r="AJ34" s="48" t="s">
        <v>75</v>
      </c>
      <c r="AK34" s="51" t="s">
        <v>9</v>
      </c>
    </row>
    <row r="35" spans="1:37" s="44" customFormat="1" ht="15.75" customHeight="1">
      <c r="A35" s="48" t="s">
        <v>22</v>
      </c>
      <c r="B35" s="56" t="s">
        <v>76</v>
      </c>
      <c r="C35" s="50">
        <f>+C9/C4</f>
        <v>41.107500000000002</v>
      </c>
      <c r="D35" s="50">
        <f t="shared" ref="D35:E35" si="10">+D9/D4</f>
        <v>41.107500000000002</v>
      </c>
      <c r="E35" s="50">
        <f t="shared" si="10"/>
        <v>41.107500000000002</v>
      </c>
      <c r="F35" s="50"/>
      <c r="G35" s="50">
        <f t="shared" ref="G35" si="11">+G9/G4</f>
        <v>41.107500000000002</v>
      </c>
      <c r="H35" s="50">
        <f>+H9/H4</f>
        <v>41.107500000000002</v>
      </c>
      <c r="I35" s="64"/>
      <c r="AJ35" s="48" t="s">
        <v>72</v>
      </c>
      <c r="AK35" s="48" t="s">
        <v>76</v>
      </c>
    </row>
    <row r="36" spans="1:37" s="44" customFormat="1" ht="15.75" customHeight="1">
      <c r="A36" s="48" t="s">
        <v>24</v>
      </c>
      <c r="B36" s="56" t="s">
        <v>77</v>
      </c>
      <c r="C36" s="50">
        <f>+C10/C4</f>
        <v>19.7925</v>
      </c>
      <c r="D36" s="50">
        <f t="shared" ref="D36:E36" si="12">+D10/D4</f>
        <v>19.7925</v>
      </c>
      <c r="E36" s="50">
        <f t="shared" si="12"/>
        <v>19.7925</v>
      </c>
      <c r="F36" s="50"/>
      <c r="G36" s="50">
        <f t="shared" ref="G36" si="13">+G10/G4</f>
        <v>19.7925</v>
      </c>
      <c r="H36" s="50">
        <f>+H10/H4</f>
        <v>19.792499999999997</v>
      </c>
      <c r="I36" s="64"/>
      <c r="AJ36" s="48" t="s">
        <v>27</v>
      </c>
      <c r="AK36" s="48" t="s">
        <v>77</v>
      </c>
    </row>
    <row r="37" spans="1:37" s="44" customFormat="1" ht="15.75" customHeight="1">
      <c r="A37" s="48" t="s">
        <v>72</v>
      </c>
      <c r="B37" s="56" t="s">
        <v>78</v>
      </c>
      <c r="C37" s="50">
        <f>+C11/C4</f>
        <v>44.152500000000003</v>
      </c>
      <c r="D37" s="50">
        <f t="shared" ref="D37:E37" si="14">+D11/D4</f>
        <v>44.152500000000003</v>
      </c>
      <c r="E37" s="50">
        <f t="shared" si="14"/>
        <v>44.152500000000003</v>
      </c>
      <c r="F37" s="50"/>
      <c r="G37" s="50">
        <f t="shared" ref="G37" si="15">+G11/G4</f>
        <v>44.152500000000003</v>
      </c>
      <c r="H37" s="50">
        <f>+H11/H4</f>
        <v>44.152500000000003</v>
      </c>
      <c r="I37" s="64"/>
      <c r="AJ37" s="48" t="s">
        <v>33</v>
      </c>
      <c r="AK37" s="48" t="s">
        <v>78</v>
      </c>
    </row>
    <row r="38" spans="1:37" s="44" customFormat="1" ht="15.75" customHeight="1">
      <c r="A38" s="48" t="s">
        <v>79</v>
      </c>
      <c r="B38" s="113" t="s">
        <v>80</v>
      </c>
      <c r="C38" s="50"/>
      <c r="D38" s="50"/>
      <c r="E38" s="50"/>
      <c r="F38" s="50"/>
      <c r="G38" s="50"/>
      <c r="H38" s="50"/>
      <c r="I38" s="64"/>
      <c r="AJ38" s="48" t="s">
        <v>79</v>
      </c>
      <c r="AK38" s="51" t="s">
        <v>80</v>
      </c>
    </row>
    <row r="39" spans="1:37" s="44" customFormat="1">
      <c r="A39" s="48" t="s">
        <v>22</v>
      </c>
      <c r="B39" s="56" t="s">
        <v>81</v>
      </c>
      <c r="C39" s="50">
        <f>+C13/C4</f>
        <v>429.58249999999998</v>
      </c>
      <c r="D39" s="50">
        <f t="shared" ref="D39:G39" si="16">+D13/D4</f>
        <v>402.85075000000006</v>
      </c>
      <c r="E39" s="50">
        <f t="shared" si="16"/>
        <v>377.45558750000015</v>
      </c>
      <c r="F39" s="50"/>
      <c r="G39" s="50">
        <f t="shared" si="16"/>
        <v>330.41104896875009</v>
      </c>
      <c r="H39" s="50">
        <f>+H13/H4</f>
        <v>355.87466237596055</v>
      </c>
      <c r="I39" s="64"/>
      <c r="AJ39" s="48" t="s">
        <v>22</v>
      </c>
      <c r="AK39" s="48" t="s">
        <v>82</v>
      </c>
    </row>
    <row r="40" spans="1:37" s="44" customFormat="1" ht="15.75" customHeight="1">
      <c r="A40" s="48" t="s">
        <v>24</v>
      </c>
      <c r="B40" s="56" t="s">
        <v>83</v>
      </c>
      <c r="C40" s="108">
        <f t="shared" ref="C40:G40" si="17">+C21/C39</f>
        <v>135.21302660140952</v>
      </c>
      <c r="D40" s="108">
        <f t="shared" si="17"/>
        <v>1141.3954175336646</v>
      </c>
      <c r="E40" s="108">
        <f t="shared" si="17"/>
        <v>2834.8500735864709</v>
      </c>
      <c r="F40" s="108"/>
      <c r="G40" s="108">
        <f t="shared" si="17"/>
        <v>4777.5188055206263</v>
      </c>
      <c r="H40" s="175">
        <f t="shared" ref="H40" si="18">+H21/H39</f>
        <v>11904.478171374803</v>
      </c>
      <c r="I40" s="64"/>
      <c r="AJ40" s="48" t="s">
        <v>24</v>
      </c>
      <c r="AK40" s="48" t="s">
        <v>83</v>
      </c>
    </row>
    <row r="41" spans="1:37" s="44" customFormat="1" ht="15.75" customHeight="1">
      <c r="A41" s="48" t="s">
        <v>84</v>
      </c>
      <c r="B41" s="51" t="s">
        <v>85</v>
      </c>
      <c r="C41" s="55"/>
      <c r="D41" s="55"/>
      <c r="E41" s="55"/>
      <c r="F41" s="55"/>
      <c r="G41" s="55"/>
      <c r="H41" s="55"/>
      <c r="I41" s="64"/>
      <c r="AJ41" s="48" t="s">
        <v>84</v>
      </c>
      <c r="AK41" s="51" t="s">
        <v>85</v>
      </c>
    </row>
    <row r="42" spans="1:37" s="44" customFormat="1" ht="15.75" customHeight="1">
      <c r="A42" s="48" t="s">
        <v>22</v>
      </c>
      <c r="B42" s="48" t="s">
        <v>86</v>
      </c>
      <c r="C42" s="55">
        <f>+C15/C4</f>
        <v>117.2325</v>
      </c>
      <c r="D42" s="55">
        <f t="shared" ref="D42:E42" si="19">+D15/D4</f>
        <v>117.2325</v>
      </c>
      <c r="E42" s="55">
        <f t="shared" si="19"/>
        <v>117.2325</v>
      </c>
      <c r="F42" s="55"/>
      <c r="G42" s="55">
        <f t="shared" ref="G42" si="20">+G15/G4</f>
        <v>117.2325</v>
      </c>
      <c r="H42" s="55">
        <f>+H15/H4</f>
        <v>117.23249999999999</v>
      </c>
      <c r="I42" s="64"/>
      <c r="AJ42" s="48" t="s">
        <v>22</v>
      </c>
      <c r="AK42" s="48" t="s">
        <v>86</v>
      </c>
    </row>
    <row r="43" spans="1:37" s="44" customFormat="1" ht="15.75" customHeight="1">
      <c r="A43" s="48" t="s">
        <v>24</v>
      </c>
      <c r="B43" s="48" t="s">
        <v>87</v>
      </c>
      <c r="C43" s="55">
        <f>+C17/C4</f>
        <v>25.882500000000004</v>
      </c>
      <c r="D43" s="55">
        <f t="shared" ref="D43:E43" si="21">+D17/D4</f>
        <v>25.8825</v>
      </c>
      <c r="E43" s="55">
        <f t="shared" si="21"/>
        <v>25.8825</v>
      </c>
      <c r="F43" s="55"/>
      <c r="G43" s="55">
        <f t="shared" ref="G43" si="22">+G17/G4</f>
        <v>25.8825</v>
      </c>
      <c r="H43" s="55">
        <f>+H17/H4</f>
        <v>25.8825</v>
      </c>
      <c r="I43" s="64"/>
      <c r="AJ43" s="48" t="s">
        <v>24</v>
      </c>
      <c r="AK43" s="48" t="s">
        <v>87</v>
      </c>
    </row>
    <row r="44" spans="1:37" s="44" customFormat="1" ht="15.75" customHeight="1">
      <c r="A44" s="48" t="s">
        <v>72</v>
      </c>
      <c r="B44" s="48" t="s">
        <v>88</v>
      </c>
      <c r="C44" s="55">
        <f>+C18/C4</f>
        <v>35.017499999999998</v>
      </c>
      <c r="D44" s="55">
        <f t="shared" ref="D44:E44" si="23">+D18/D4</f>
        <v>35.017499999999998</v>
      </c>
      <c r="E44" s="55">
        <f t="shared" si="23"/>
        <v>35.017499999999998</v>
      </c>
      <c r="F44" s="55"/>
      <c r="G44" s="55">
        <f t="shared" ref="G44" si="24">+G18/G4</f>
        <v>35.017499999999998</v>
      </c>
      <c r="H44" s="55">
        <f>+H18/H4</f>
        <v>35.017499999999998</v>
      </c>
      <c r="I44" s="64"/>
      <c r="AJ44" s="48" t="s">
        <v>72</v>
      </c>
      <c r="AK44" s="48" t="s">
        <v>88</v>
      </c>
    </row>
    <row r="45" spans="1:37" s="44" customFormat="1" ht="15.75" customHeight="1">
      <c r="A45" s="48" t="s">
        <v>27</v>
      </c>
      <c r="B45" s="48" t="s">
        <v>89</v>
      </c>
      <c r="C45" s="55"/>
      <c r="D45" s="55"/>
      <c r="E45" s="55"/>
      <c r="F45" s="55"/>
      <c r="G45" s="55"/>
      <c r="H45" s="55"/>
      <c r="I45" s="64"/>
      <c r="AJ45" s="48" t="s">
        <v>27</v>
      </c>
      <c r="AK45" s="48" t="s">
        <v>90</v>
      </c>
    </row>
    <row r="46" spans="1:37" s="44" customFormat="1" ht="15.75" customHeight="1">
      <c r="A46" s="48" t="s">
        <v>30</v>
      </c>
      <c r="B46" s="48" t="s">
        <v>91</v>
      </c>
      <c r="C46" s="55"/>
      <c r="D46" s="55"/>
      <c r="E46" s="55"/>
      <c r="F46" s="55"/>
      <c r="G46" s="55"/>
      <c r="H46" s="55"/>
      <c r="I46" s="64"/>
      <c r="AJ46" s="48" t="s">
        <v>30</v>
      </c>
      <c r="AK46" s="48" t="s">
        <v>91</v>
      </c>
    </row>
    <row r="47" spans="1:37" s="44" customFormat="1" ht="15.75" customHeight="1">
      <c r="A47" s="48" t="s">
        <v>92</v>
      </c>
      <c r="B47" s="51" t="s">
        <v>93</v>
      </c>
      <c r="C47" s="55"/>
      <c r="D47" s="55"/>
      <c r="E47" s="55"/>
      <c r="F47" s="55"/>
      <c r="G47" s="55"/>
      <c r="H47" s="55"/>
      <c r="I47" s="64"/>
      <c r="AJ47" s="48" t="s">
        <v>92</v>
      </c>
      <c r="AK47" s="51" t="s">
        <v>93</v>
      </c>
    </row>
    <row r="48" spans="1:37" s="44" customFormat="1" ht="15.75" customHeight="1">
      <c r="A48" s="48" t="s">
        <v>22</v>
      </c>
      <c r="B48" s="48" t="s">
        <v>94</v>
      </c>
      <c r="C48" s="125">
        <f>+(C11+C17)/C7</f>
        <v>4.6000000000000006E-2</v>
      </c>
      <c r="D48" s="125">
        <f t="shared" ref="D48:E48" si="25">+(D11+D17)/D7</f>
        <v>4.8421052631578948E-2</v>
      </c>
      <c r="E48" s="125">
        <f t="shared" si="25"/>
        <v>5.0969529085872579E-2</v>
      </c>
      <c r="F48" s="125"/>
      <c r="G48" s="125">
        <f t="shared" ref="G48" si="26">+(G11+G17)/G7</f>
        <v>5.6475932505121978E-2</v>
      </c>
      <c r="H48" s="125">
        <f>+(H11+H17)/H7</f>
        <v>5.3355957312709382E-2</v>
      </c>
      <c r="I48" s="64"/>
      <c r="AJ48" s="48" t="s">
        <v>22</v>
      </c>
      <c r="AK48" s="48" t="s">
        <v>94</v>
      </c>
    </row>
    <row r="49" spans="1:37" s="44" customFormat="1" ht="15.75" customHeight="1">
      <c r="A49" s="48" t="s">
        <v>24</v>
      </c>
      <c r="B49" s="48" t="s">
        <v>95</v>
      </c>
      <c r="C49" s="125">
        <f>+(C9+C10+C15)/C7</f>
        <v>0.11700000000000001</v>
      </c>
      <c r="D49" s="125">
        <f t="shared" ref="D49:E49" si="27">+(D9+D10+D15)/D7</f>
        <v>0.12315789473684211</v>
      </c>
      <c r="E49" s="125">
        <f t="shared" si="27"/>
        <v>0.12963988919667591</v>
      </c>
      <c r="F49" s="125"/>
      <c r="G49" s="125">
        <f t="shared" ref="G49" si="28">+(G9+G10+G15)/G7</f>
        <v>0.14364530658911459</v>
      </c>
      <c r="H49" s="125">
        <f>+(H9+H10+H15)/H7</f>
        <v>0.13570971751276079</v>
      </c>
      <c r="I49" s="64"/>
      <c r="AJ49" s="48" t="s">
        <v>24</v>
      </c>
      <c r="AK49" s="48" t="s">
        <v>95</v>
      </c>
    </row>
    <row r="50" spans="1:37" s="44" customFormat="1" ht="15.75" customHeight="1">
      <c r="A50" s="48" t="s">
        <v>72</v>
      </c>
      <c r="B50" s="48" t="s">
        <v>96</v>
      </c>
      <c r="C50" s="125">
        <f>+C18/C7</f>
        <v>2.3E-2</v>
      </c>
      <c r="D50" s="125">
        <f t="shared" ref="D50:E50" si="29">+D18/D7</f>
        <v>2.4210526315789474E-2</v>
      </c>
      <c r="E50" s="125">
        <f t="shared" si="29"/>
        <v>2.548476454293629E-2</v>
      </c>
      <c r="F50" s="125"/>
      <c r="G50" s="125">
        <f t="shared" ref="G50" si="30">+G18/G7</f>
        <v>2.8237966252560989E-2</v>
      </c>
      <c r="H50" s="125">
        <f>+H18/H7</f>
        <v>2.6677978656354684E-2</v>
      </c>
      <c r="I50" s="64"/>
      <c r="AJ50" s="48" t="s">
        <v>72</v>
      </c>
      <c r="AK50" s="48" t="s">
        <v>96</v>
      </c>
    </row>
    <row r="51" spans="1:37" s="44" customFormat="1" ht="15.75" customHeight="1">
      <c r="A51" s="48" t="s">
        <v>27</v>
      </c>
      <c r="B51" s="48" t="s">
        <v>97</v>
      </c>
      <c r="C51" s="125">
        <f>+C19/C7</f>
        <v>1.7405582922824303</v>
      </c>
      <c r="D51" s="125">
        <f t="shared" ref="D51:E51" si="31">+D19/D7</f>
        <v>2.2902082793189872E-2</v>
      </c>
      <c r="E51" s="125">
        <f t="shared" si="31"/>
        <v>9.642982228711525E-3</v>
      </c>
      <c r="F51" s="125"/>
      <c r="G51" s="125">
        <f t="shared" ref="G51" si="32">+G19/G7</f>
        <v>7.1231632345052824E-3</v>
      </c>
      <c r="H51" s="125">
        <f>+H19/H7</f>
        <v>1.2925061785796313E-2</v>
      </c>
      <c r="I51" s="64"/>
      <c r="AJ51" s="48" t="s">
        <v>27</v>
      </c>
      <c r="AK51" s="48" t="s">
        <v>97</v>
      </c>
    </row>
    <row r="52" spans="1:37" s="44" customFormat="1" ht="15.75" customHeight="1">
      <c r="A52" s="48" t="s">
        <v>30</v>
      </c>
      <c r="B52" s="48" t="s">
        <v>98</v>
      </c>
      <c r="C52" s="125">
        <f>+C20/C7</f>
        <v>0.05</v>
      </c>
      <c r="D52" s="125">
        <f t="shared" ref="D52:E52" si="33">+D20/D7</f>
        <v>5.2631578947368418E-2</v>
      </c>
      <c r="E52" s="125">
        <f t="shared" si="33"/>
        <v>5.5401662049861494E-2</v>
      </c>
      <c r="F52" s="125"/>
      <c r="G52" s="125">
        <f t="shared" ref="G52" si="34">+G20/G7</f>
        <v>6.1386883157741275E-2</v>
      </c>
      <c r="H52" s="125">
        <f>+H20/H7</f>
        <v>5.79956057746841E-2</v>
      </c>
      <c r="I52" s="64"/>
      <c r="AJ52" s="48" t="s">
        <v>30</v>
      </c>
      <c r="AK52" s="48" t="s">
        <v>98</v>
      </c>
    </row>
    <row r="53" spans="1:37" s="44" customFormat="1" ht="15.75" customHeight="1">
      <c r="A53" s="48" t="s">
        <v>33</v>
      </c>
      <c r="B53" s="48" t="s">
        <v>99</v>
      </c>
      <c r="C53" s="125">
        <f>+C24/C7</f>
        <v>-1.6254022988505747</v>
      </c>
      <c r="D53" s="125">
        <f t="shared" ref="D53:E53" si="35">+D24/D7</f>
        <v>6.7857929306023704E-2</v>
      </c>
      <c r="E53" s="125">
        <f t="shared" si="35"/>
        <v>6.8014591378628142E-2</v>
      </c>
      <c r="F53" s="125"/>
      <c r="G53" s="125">
        <f t="shared" ref="G53" si="36">+G24/G7</f>
        <v>4.614373043888978E-2</v>
      </c>
      <c r="H53" s="125">
        <f>+H24/H7</f>
        <v>5.4817921531117857E-2</v>
      </c>
      <c r="I53" s="64"/>
      <c r="AJ53" s="48" t="s">
        <v>33</v>
      </c>
      <c r="AK53" s="48" t="s">
        <v>100</v>
      </c>
    </row>
    <row r="54" spans="1:37" s="44" customFormat="1" ht="15.75" customHeight="1">
      <c r="A54" s="48" t="s">
        <v>101</v>
      </c>
      <c r="B54" s="51" t="s">
        <v>102</v>
      </c>
      <c r="C54" s="55">
        <f>+C22/C4</f>
        <v>-2474.6750000000002</v>
      </c>
      <c r="D54" s="55">
        <f t="shared" ref="D54:E54" si="37">+D22/D4</f>
        <v>115.46825000000004</v>
      </c>
      <c r="E54" s="55">
        <f t="shared" si="37"/>
        <v>109.94808750000014</v>
      </c>
      <c r="F54" s="55"/>
      <c r="G54" s="55">
        <f t="shared" ref="G54" si="38">+G22/G4</f>
        <v>67.320215635416758</v>
      </c>
      <c r="H54" s="55">
        <f>+H22/H4</f>
        <v>84.651733438700631</v>
      </c>
      <c r="I54" s="64"/>
      <c r="AJ54" s="48" t="s">
        <v>101</v>
      </c>
      <c r="AK54" s="51" t="s">
        <v>102</v>
      </c>
    </row>
    <row r="55" spans="1:37" s="44" customFormat="1" ht="15.75" customHeight="1">
      <c r="A55" s="48" t="s">
        <v>103</v>
      </c>
      <c r="B55" s="126" t="s">
        <v>104</v>
      </c>
      <c r="C55" s="55"/>
      <c r="D55" s="55"/>
      <c r="E55" s="55"/>
      <c r="F55" s="55"/>
      <c r="G55" s="55"/>
      <c r="H55" s="55"/>
      <c r="I55" s="64"/>
      <c r="AJ55" s="48"/>
      <c r="AK55" s="51"/>
    </row>
    <row r="56" spans="1:37" s="44" customFormat="1" ht="15.75" customHeight="1">
      <c r="A56" s="48" t="s">
        <v>22</v>
      </c>
      <c r="B56" s="48" t="s">
        <v>105</v>
      </c>
      <c r="C56" s="55">
        <f>C57+C58</f>
        <v>265000</v>
      </c>
      <c r="D56" s="55"/>
      <c r="E56" s="55"/>
      <c r="F56" s="55"/>
      <c r="G56" s="55"/>
      <c r="H56" s="55"/>
      <c r="I56" s="64"/>
    </row>
    <row r="57" spans="1:37" s="44" customFormat="1" ht="15.75" customHeight="1">
      <c r="A57" s="48">
        <v>1.1000000000000001</v>
      </c>
      <c r="B57" s="127" t="s">
        <v>106</v>
      </c>
      <c r="C57" s="55">
        <f>项目投资!B27</f>
        <v>265000</v>
      </c>
      <c r="D57" s="55"/>
      <c r="E57" s="55"/>
      <c r="F57" s="55"/>
      <c r="G57" s="55"/>
      <c r="H57" s="55"/>
      <c r="I57" s="64"/>
    </row>
    <row r="58" spans="1:37" s="44" customFormat="1" ht="15.75" customHeight="1">
      <c r="A58" s="48">
        <v>1.2</v>
      </c>
      <c r="B58" s="48" t="s">
        <v>107</v>
      </c>
      <c r="C58" s="55">
        <f>项目投资!B26</f>
        <v>0</v>
      </c>
      <c r="D58" s="55"/>
      <c r="E58" s="55"/>
      <c r="F58" s="55"/>
      <c r="G58" s="55"/>
      <c r="H58" s="55"/>
      <c r="I58" s="64"/>
    </row>
    <row r="59" spans="1:37" ht="15.75" customHeight="1">
      <c r="A59" s="114" t="s">
        <v>24</v>
      </c>
      <c r="B59" s="114" t="s">
        <v>108</v>
      </c>
      <c r="C59" s="128">
        <f t="shared" ref="C59:G59" si="39">C60+C61</f>
        <v>-49493.5</v>
      </c>
      <c r="D59" s="128">
        <f t="shared" si="39"/>
        <v>157036.82000000007</v>
      </c>
      <c r="E59" s="128">
        <f t="shared" si="39"/>
        <v>373823.49750000046</v>
      </c>
      <c r="F59" s="128"/>
      <c r="G59" s="128">
        <f t="shared" si="39"/>
        <v>343333.09974062548</v>
      </c>
      <c r="H59" s="128">
        <f t="shared" ref="H59" si="40">H60+H61</f>
        <v>1123921.0648656283</v>
      </c>
      <c r="I59" s="64"/>
    </row>
    <row r="60" spans="1:37" ht="15.75" customHeight="1">
      <c r="A60" s="114" t="s">
        <v>72</v>
      </c>
      <c r="B60" s="114" t="s">
        <v>109</v>
      </c>
      <c r="C60" s="128">
        <f t="shared" ref="C60:G60" si="41">C24</f>
        <v>-49493.5</v>
      </c>
      <c r="D60" s="128">
        <f t="shared" si="41"/>
        <v>157036.82000000007</v>
      </c>
      <c r="E60" s="128">
        <f t="shared" si="41"/>
        <v>373823.49750000046</v>
      </c>
      <c r="F60" s="128"/>
      <c r="G60" s="128">
        <f t="shared" si="41"/>
        <v>343333.09974062548</v>
      </c>
      <c r="H60" s="128">
        <f t="shared" ref="H60" si="42">H24</f>
        <v>1123921.0648656283</v>
      </c>
      <c r="I60" s="64"/>
    </row>
    <row r="61" spans="1:37" ht="15.75" customHeight="1">
      <c r="A61" s="114" t="s">
        <v>27</v>
      </c>
      <c r="B61" s="114" t="s">
        <v>110</v>
      </c>
      <c r="C61" s="128">
        <f>'2023年'!G18</f>
        <v>0</v>
      </c>
      <c r="D61" s="128">
        <f>'2024年'!G18</f>
        <v>0</v>
      </c>
      <c r="E61" s="128">
        <f>'2025年'!G18</f>
        <v>0</v>
      </c>
      <c r="F61" s="128"/>
      <c r="G61" s="128">
        <f>'2026年'!G18</f>
        <v>0</v>
      </c>
      <c r="H61" s="128">
        <f>项目投资!I26</f>
        <v>0</v>
      </c>
      <c r="I61" s="64"/>
    </row>
    <row r="62" spans="1:37" ht="15.75" customHeight="1">
      <c r="A62" s="114" t="s">
        <v>30</v>
      </c>
      <c r="B62" s="114" t="s">
        <v>111</v>
      </c>
      <c r="C62" s="129"/>
      <c r="D62" s="129"/>
      <c r="E62" s="129"/>
      <c r="F62" s="129"/>
      <c r="G62" s="129"/>
      <c r="H62" s="128"/>
      <c r="I62" s="64"/>
    </row>
    <row r="64" spans="1:37">
      <c r="B64" s="176"/>
    </row>
    <row r="69" spans="7:7" ht="33">
      <c r="G69" s="198" t="s">
        <v>246</v>
      </c>
    </row>
  </sheetData>
  <mergeCells count="2">
    <mergeCell ref="A1:H1"/>
    <mergeCell ref="A3:A4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8" customWidth="1"/>
    <col min="2" max="2" width="28.5" style="68" customWidth="1"/>
    <col min="3" max="4" width="9.125" style="68"/>
    <col min="5" max="5" width="13.875" style="68" customWidth="1"/>
    <col min="6" max="12" width="16.125" style="68" customWidth="1"/>
    <col min="13" max="13" width="10.625" style="68" customWidth="1"/>
    <col min="14" max="254" width="9.125" style="68"/>
    <col min="255" max="255" width="8" style="68" customWidth="1"/>
    <col min="256" max="256" width="28.5" style="68" customWidth="1"/>
    <col min="257" max="268" width="9.125" style="68"/>
    <col min="269" max="269" width="10.625" style="68" customWidth="1"/>
    <col min="270" max="510" width="9.125" style="68"/>
    <col min="511" max="511" width="8" style="68" customWidth="1"/>
    <col min="512" max="512" width="28.5" style="68" customWidth="1"/>
    <col min="513" max="524" width="9.125" style="68"/>
    <col min="525" max="525" width="10.625" style="68" customWidth="1"/>
    <col min="526" max="766" width="9.125" style="68"/>
    <col min="767" max="767" width="8" style="68" customWidth="1"/>
    <col min="768" max="768" width="28.5" style="68" customWidth="1"/>
    <col min="769" max="780" width="9.125" style="68"/>
    <col min="781" max="781" width="10.625" style="68" customWidth="1"/>
    <col min="782" max="1022" width="9.125" style="68"/>
    <col min="1023" max="1023" width="8" style="68" customWidth="1"/>
    <col min="1024" max="1024" width="28.5" style="68" customWidth="1"/>
    <col min="1025" max="1036" width="9.125" style="68"/>
    <col min="1037" max="1037" width="10.625" style="68" customWidth="1"/>
    <col min="1038" max="1278" width="9.125" style="68"/>
    <col min="1279" max="1279" width="8" style="68" customWidth="1"/>
    <col min="1280" max="1280" width="28.5" style="68" customWidth="1"/>
    <col min="1281" max="1292" width="9.125" style="68"/>
    <col min="1293" max="1293" width="10.625" style="68" customWidth="1"/>
    <col min="1294" max="1534" width="9.125" style="68"/>
    <col min="1535" max="1535" width="8" style="68" customWidth="1"/>
    <col min="1536" max="1536" width="28.5" style="68" customWidth="1"/>
    <col min="1537" max="1548" width="9.125" style="68"/>
    <col min="1549" max="1549" width="10.625" style="68" customWidth="1"/>
    <col min="1550" max="1790" width="9.125" style="68"/>
    <col min="1791" max="1791" width="8" style="68" customWidth="1"/>
    <col min="1792" max="1792" width="28.5" style="68" customWidth="1"/>
    <col min="1793" max="1804" width="9.125" style="68"/>
    <col min="1805" max="1805" width="10.625" style="68" customWidth="1"/>
    <col min="1806" max="2046" width="9.125" style="68"/>
    <col min="2047" max="2047" width="8" style="68" customWidth="1"/>
    <col min="2048" max="2048" width="28.5" style="68" customWidth="1"/>
    <col min="2049" max="2060" width="9.125" style="68"/>
    <col min="2061" max="2061" width="10.625" style="68" customWidth="1"/>
    <col min="2062" max="2302" width="9.125" style="68"/>
    <col min="2303" max="2303" width="8" style="68" customWidth="1"/>
    <col min="2304" max="2304" width="28.5" style="68" customWidth="1"/>
    <col min="2305" max="2316" width="9.125" style="68"/>
    <col min="2317" max="2317" width="10.625" style="68" customWidth="1"/>
    <col min="2318" max="2558" width="9.125" style="68"/>
    <col min="2559" max="2559" width="8" style="68" customWidth="1"/>
    <col min="2560" max="2560" width="28.5" style="68" customWidth="1"/>
    <col min="2561" max="2572" width="9.125" style="68"/>
    <col min="2573" max="2573" width="10.625" style="68" customWidth="1"/>
    <col min="2574" max="2814" width="9.125" style="68"/>
    <col min="2815" max="2815" width="8" style="68" customWidth="1"/>
    <col min="2816" max="2816" width="28.5" style="68" customWidth="1"/>
    <col min="2817" max="2828" width="9.125" style="68"/>
    <col min="2829" max="2829" width="10.625" style="68" customWidth="1"/>
    <col min="2830" max="3070" width="9.125" style="68"/>
    <col min="3071" max="3071" width="8" style="68" customWidth="1"/>
    <col min="3072" max="3072" width="28.5" style="68" customWidth="1"/>
    <col min="3073" max="3084" width="9.125" style="68"/>
    <col min="3085" max="3085" width="10.625" style="68" customWidth="1"/>
    <col min="3086" max="3326" width="9.125" style="68"/>
    <col min="3327" max="3327" width="8" style="68" customWidth="1"/>
    <col min="3328" max="3328" width="28.5" style="68" customWidth="1"/>
    <col min="3329" max="3340" width="9.125" style="68"/>
    <col min="3341" max="3341" width="10.625" style="68" customWidth="1"/>
    <col min="3342" max="3582" width="9.125" style="68"/>
    <col min="3583" max="3583" width="8" style="68" customWidth="1"/>
    <col min="3584" max="3584" width="28.5" style="68" customWidth="1"/>
    <col min="3585" max="3596" width="9.125" style="68"/>
    <col min="3597" max="3597" width="10.625" style="68" customWidth="1"/>
    <col min="3598" max="3838" width="9.125" style="68"/>
    <col min="3839" max="3839" width="8" style="68" customWidth="1"/>
    <col min="3840" max="3840" width="28.5" style="68" customWidth="1"/>
    <col min="3841" max="3852" width="9.125" style="68"/>
    <col min="3853" max="3853" width="10.625" style="68" customWidth="1"/>
    <col min="3854" max="4094" width="9.125" style="68"/>
    <col min="4095" max="4095" width="8" style="68" customWidth="1"/>
    <col min="4096" max="4096" width="28.5" style="68" customWidth="1"/>
    <col min="4097" max="4108" width="9.125" style="68"/>
    <col min="4109" max="4109" width="10.625" style="68" customWidth="1"/>
    <col min="4110" max="4350" width="9.125" style="68"/>
    <col min="4351" max="4351" width="8" style="68" customWidth="1"/>
    <col min="4352" max="4352" width="28.5" style="68" customWidth="1"/>
    <col min="4353" max="4364" width="9.125" style="68"/>
    <col min="4365" max="4365" width="10.625" style="68" customWidth="1"/>
    <col min="4366" max="4606" width="9.125" style="68"/>
    <col min="4607" max="4607" width="8" style="68" customWidth="1"/>
    <col min="4608" max="4608" width="28.5" style="68" customWidth="1"/>
    <col min="4609" max="4620" width="9.125" style="68"/>
    <col min="4621" max="4621" width="10.625" style="68" customWidth="1"/>
    <col min="4622" max="4862" width="9.125" style="68"/>
    <col min="4863" max="4863" width="8" style="68" customWidth="1"/>
    <col min="4864" max="4864" width="28.5" style="68" customWidth="1"/>
    <col min="4865" max="4876" width="9.125" style="68"/>
    <col min="4877" max="4877" width="10.625" style="68" customWidth="1"/>
    <col min="4878" max="5118" width="9.125" style="68"/>
    <col min="5119" max="5119" width="8" style="68" customWidth="1"/>
    <col min="5120" max="5120" width="28.5" style="68" customWidth="1"/>
    <col min="5121" max="5132" width="9.125" style="68"/>
    <col min="5133" max="5133" width="10.625" style="68" customWidth="1"/>
    <col min="5134" max="5374" width="9.125" style="68"/>
    <col min="5375" max="5375" width="8" style="68" customWidth="1"/>
    <col min="5376" max="5376" width="28.5" style="68" customWidth="1"/>
    <col min="5377" max="5388" width="9.125" style="68"/>
    <col min="5389" max="5389" width="10.625" style="68" customWidth="1"/>
    <col min="5390" max="5630" width="9.125" style="68"/>
    <col min="5631" max="5631" width="8" style="68" customWidth="1"/>
    <col min="5632" max="5632" width="28.5" style="68" customWidth="1"/>
    <col min="5633" max="5644" width="9.125" style="68"/>
    <col min="5645" max="5645" width="10.625" style="68" customWidth="1"/>
    <col min="5646" max="5886" width="9.125" style="68"/>
    <col min="5887" max="5887" width="8" style="68" customWidth="1"/>
    <col min="5888" max="5888" width="28.5" style="68" customWidth="1"/>
    <col min="5889" max="5900" width="9.125" style="68"/>
    <col min="5901" max="5901" width="10.625" style="68" customWidth="1"/>
    <col min="5902" max="6142" width="9.125" style="68"/>
    <col min="6143" max="6143" width="8" style="68" customWidth="1"/>
    <col min="6144" max="6144" width="28.5" style="68" customWidth="1"/>
    <col min="6145" max="6156" width="9.125" style="68"/>
    <col min="6157" max="6157" width="10.625" style="68" customWidth="1"/>
    <col min="6158" max="6398" width="9.125" style="68"/>
    <col min="6399" max="6399" width="8" style="68" customWidth="1"/>
    <col min="6400" max="6400" width="28.5" style="68" customWidth="1"/>
    <col min="6401" max="6412" width="9.125" style="68"/>
    <col min="6413" max="6413" width="10.625" style="68" customWidth="1"/>
    <col min="6414" max="6654" width="9.125" style="68"/>
    <col min="6655" max="6655" width="8" style="68" customWidth="1"/>
    <col min="6656" max="6656" width="28.5" style="68" customWidth="1"/>
    <col min="6657" max="6668" width="9.125" style="68"/>
    <col min="6669" max="6669" width="10.625" style="68" customWidth="1"/>
    <col min="6670" max="6910" width="9.125" style="68"/>
    <col min="6911" max="6911" width="8" style="68" customWidth="1"/>
    <col min="6912" max="6912" width="28.5" style="68" customWidth="1"/>
    <col min="6913" max="6924" width="9.125" style="68"/>
    <col min="6925" max="6925" width="10.625" style="68" customWidth="1"/>
    <col min="6926" max="7166" width="9.125" style="68"/>
    <col min="7167" max="7167" width="8" style="68" customWidth="1"/>
    <col min="7168" max="7168" width="28.5" style="68" customWidth="1"/>
    <col min="7169" max="7180" width="9.125" style="68"/>
    <col min="7181" max="7181" width="10.625" style="68" customWidth="1"/>
    <col min="7182" max="7422" width="9.125" style="68"/>
    <col min="7423" max="7423" width="8" style="68" customWidth="1"/>
    <col min="7424" max="7424" width="28.5" style="68" customWidth="1"/>
    <col min="7425" max="7436" width="9.125" style="68"/>
    <col min="7437" max="7437" width="10.625" style="68" customWidth="1"/>
    <col min="7438" max="7678" width="9.125" style="68"/>
    <col min="7679" max="7679" width="8" style="68" customWidth="1"/>
    <col min="7680" max="7680" width="28.5" style="68" customWidth="1"/>
    <col min="7681" max="7692" width="9.125" style="68"/>
    <col min="7693" max="7693" width="10.625" style="68" customWidth="1"/>
    <col min="7694" max="7934" width="9.125" style="68"/>
    <col min="7935" max="7935" width="8" style="68" customWidth="1"/>
    <col min="7936" max="7936" width="28.5" style="68" customWidth="1"/>
    <col min="7937" max="7948" width="9.125" style="68"/>
    <col min="7949" max="7949" width="10.625" style="68" customWidth="1"/>
    <col min="7950" max="8190" width="9.125" style="68"/>
    <col min="8191" max="8191" width="8" style="68" customWidth="1"/>
    <col min="8192" max="8192" width="28.5" style="68" customWidth="1"/>
    <col min="8193" max="8204" width="9.125" style="68"/>
    <col min="8205" max="8205" width="10.625" style="68" customWidth="1"/>
    <col min="8206" max="8446" width="9.125" style="68"/>
    <col min="8447" max="8447" width="8" style="68" customWidth="1"/>
    <col min="8448" max="8448" width="28.5" style="68" customWidth="1"/>
    <col min="8449" max="8460" width="9.125" style="68"/>
    <col min="8461" max="8461" width="10.625" style="68" customWidth="1"/>
    <col min="8462" max="8702" width="9.125" style="68"/>
    <col min="8703" max="8703" width="8" style="68" customWidth="1"/>
    <col min="8704" max="8704" width="28.5" style="68" customWidth="1"/>
    <col min="8705" max="8716" width="9.125" style="68"/>
    <col min="8717" max="8717" width="10.625" style="68" customWidth="1"/>
    <col min="8718" max="8958" width="9.125" style="68"/>
    <col min="8959" max="8959" width="8" style="68" customWidth="1"/>
    <col min="8960" max="8960" width="28.5" style="68" customWidth="1"/>
    <col min="8961" max="8972" width="9.125" style="68"/>
    <col min="8973" max="8973" width="10.625" style="68" customWidth="1"/>
    <col min="8974" max="9214" width="9.125" style="68"/>
    <col min="9215" max="9215" width="8" style="68" customWidth="1"/>
    <col min="9216" max="9216" width="28.5" style="68" customWidth="1"/>
    <col min="9217" max="9228" width="9.125" style="68"/>
    <col min="9229" max="9229" width="10.625" style="68" customWidth="1"/>
    <col min="9230" max="9470" width="9.125" style="68"/>
    <col min="9471" max="9471" width="8" style="68" customWidth="1"/>
    <col min="9472" max="9472" width="28.5" style="68" customWidth="1"/>
    <col min="9473" max="9484" width="9.125" style="68"/>
    <col min="9485" max="9485" width="10.625" style="68" customWidth="1"/>
    <col min="9486" max="9726" width="9.125" style="68"/>
    <col min="9727" max="9727" width="8" style="68" customWidth="1"/>
    <col min="9728" max="9728" width="28.5" style="68" customWidth="1"/>
    <col min="9729" max="9740" width="9.125" style="68"/>
    <col min="9741" max="9741" width="10.625" style="68" customWidth="1"/>
    <col min="9742" max="9982" width="9.125" style="68"/>
    <col min="9983" max="9983" width="8" style="68" customWidth="1"/>
    <col min="9984" max="9984" width="28.5" style="68" customWidth="1"/>
    <col min="9985" max="9996" width="9.125" style="68"/>
    <col min="9997" max="9997" width="10.625" style="68" customWidth="1"/>
    <col min="9998" max="10238" width="9.125" style="68"/>
    <col min="10239" max="10239" width="8" style="68" customWidth="1"/>
    <col min="10240" max="10240" width="28.5" style="68" customWidth="1"/>
    <col min="10241" max="10252" width="9.125" style="68"/>
    <col min="10253" max="10253" width="10.625" style="68" customWidth="1"/>
    <col min="10254" max="10494" width="9.125" style="68"/>
    <col min="10495" max="10495" width="8" style="68" customWidth="1"/>
    <col min="10496" max="10496" width="28.5" style="68" customWidth="1"/>
    <col min="10497" max="10508" width="9.125" style="68"/>
    <col min="10509" max="10509" width="10.625" style="68" customWidth="1"/>
    <col min="10510" max="10750" width="9.125" style="68"/>
    <col min="10751" max="10751" width="8" style="68" customWidth="1"/>
    <col min="10752" max="10752" width="28.5" style="68" customWidth="1"/>
    <col min="10753" max="10764" width="9.125" style="68"/>
    <col min="10765" max="10765" width="10.625" style="68" customWidth="1"/>
    <col min="10766" max="11006" width="9.125" style="68"/>
    <col min="11007" max="11007" width="8" style="68" customWidth="1"/>
    <col min="11008" max="11008" width="28.5" style="68" customWidth="1"/>
    <col min="11009" max="11020" width="9.125" style="68"/>
    <col min="11021" max="11021" width="10.625" style="68" customWidth="1"/>
    <col min="11022" max="11262" width="9.125" style="68"/>
    <col min="11263" max="11263" width="8" style="68" customWidth="1"/>
    <col min="11264" max="11264" width="28.5" style="68" customWidth="1"/>
    <col min="11265" max="11276" width="9.125" style="68"/>
    <col min="11277" max="11277" width="10.625" style="68" customWidth="1"/>
    <col min="11278" max="11518" width="9.125" style="68"/>
    <col min="11519" max="11519" width="8" style="68" customWidth="1"/>
    <col min="11520" max="11520" width="28.5" style="68" customWidth="1"/>
    <col min="11521" max="11532" width="9.125" style="68"/>
    <col min="11533" max="11533" width="10.625" style="68" customWidth="1"/>
    <col min="11534" max="11774" width="9.125" style="68"/>
    <col min="11775" max="11775" width="8" style="68" customWidth="1"/>
    <col min="11776" max="11776" width="28.5" style="68" customWidth="1"/>
    <col min="11777" max="11788" width="9.125" style="68"/>
    <col min="11789" max="11789" width="10.625" style="68" customWidth="1"/>
    <col min="11790" max="12030" width="9.125" style="68"/>
    <col min="12031" max="12031" width="8" style="68" customWidth="1"/>
    <col min="12032" max="12032" width="28.5" style="68" customWidth="1"/>
    <col min="12033" max="12044" width="9.125" style="68"/>
    <col min="12045" max="12045" width="10.625" style="68" customWidth="1"/>
    <col min="12046" max="12286" width="9.125" style="68"/>
    <col min="12287" max="12287" width="8" style="68" customWidth="1"/>
    <col min="12288" max="12288" width="28.5" style="68" customWidth="1"/>
    <col min="12289" max="12300" width="9.125" style="68"/>
    <col min="12301" max="12301" width="10.625" style="68" customWidth="1"/>
    <col min="12302" max="12542" width="9.125" style="68"/>
    <col min="12543" max="12543" width="8" style="68" customWidth="1"/>
    <col min="12544" max="12544" width="28.5" style="68" customWidth="1"/>
    <col min="12545" max="12556" width="9.125" style="68"/>
    <col min="12557" max="12557" width="10.625" style="68" customWidth="1"/>
    <col min="12558" max="12798" width="9.125" style="68"/>
    <col min="12799" max="12799" width="8" style="68" customWidth="1"/>
    <col min="12800" max="12800" width="28.5" style="68" customWidth="1"/>
    <col min="12801" max="12812" width="9.125" style="68"/>
    <col min="12813" max="12813" width="10.625" style="68" customWidth="1"/>
    <col min="12814" max="13054" width="9.125" style="68"/>
    <col min="13055" max="13055" width="8" style="68" customWidth="1"/>
    <col min="13056" max="13056" width="28.5" style="68" customWidth="1"/>
    <col min="13057" max="13068" width="9.125" style="68"/>
    <col min="13069" max="13069" width="10.625" style="68" customWidth="1"/>
    <col min="13070" max="13310" width="9.125" style="68"/>
    <col min="13311" max="13311" width="8" style="68" customWidth="1"/>
    <col min="13312" max="13312" width="28.5" style="68" customWidth="1"/>
    <col min="13313" max="13324" width="9.125" style="68"/>
    <col min="13325" max="13325" width="10.625" style="68" customWidth="1"/>
    <col min="13326" max="13566" width="9.125" style="68"/>
    <col min="13567" max="13567" width="8" style="68" customWidth="1"/>
    <col min="13568" max="13568" width="28.5" style="68" customWidth="1"/>
    <col min="13569" max="13580" width="9.125" style="68"/>
    <col min="13581" max="13581" width="10.625" style="68" customWidth="1"/>
    <col min="13582" max="13822" width="9.125" style="68"/>
    <col min="13823" max="13823" width="8" style="68" customWidth="1"/>
    <col min="13824" max="13824" width="28.5" style="68" customWidth="1"/>
    <col min="13825" max="13836" width="9.125" style="68"/>
    <col min="13837" max="13837" width="10.625" style="68" customWidth="1"/>
    <col min="13838" max="14078" width="9.125" style="68"/>
    <col min="14079" max="14079" width="8" style="68" customWidth="1"/>
    <col min="14080" max="14080" width="28.5" style="68" customWidth="1"/>
    <col min="14081" max="14092" width="9.125" style="68"/>
    <col min="14093" max="14093" width="10.625" style="68" customWidth="1"/>
    <col min="14094" max="14334" width="9.125" style="68"/>
    <col min="14335" max="14335" width="8" style="68" customWidth="1"/>
    <col min="14336" max="14336" width="28.5" style="68" customWidth="1"/>
    <col min="14337" max="14348" width="9.125" style="68"/>
    <col min="14349" max="14349" width="10.625" style="68" customWidth="1"/>
    <col min="14350" max="14590" width="9.125" style="68"/>
    <col min="14591" max="14591" width="8" style="68" customWidth="1"/>
    <col min="14592" max="14592" width="28.5" style="68" customWidth="1"/>
    <col min="14593" max="14604" width="9.125" style="68"/>
    <col min="14605" max="14605" width="10.625" style="68" customWidth="1"/>
    <col min="14606" max="14846" width="9.125" style="68"/>
    <col min="14847" max="14847" width="8" style="68" customWidth="1"/>
    <col min="14848" max="14848" width="28.5" style="68" customWidth="1"/>
    <col min="14849" max="14860" width="9.125" style="68"/>
    <col min="14861" max="14861" width="10.625" style="68" customWidth="1"/>
    <col min="14862" max="15102" width="9.125" style="68"/>
    <col min="15103" max="15103" width="8" style="68" customWidth="1"/>
    <col min="15104" max="15104" width="28.5" style="68" customWidth="1"/>
    <col min="15105" max="15116" width="9.125" style="68"/>
    <col min="15117" max="15117" width="10.625" style="68" customWidth="1"/>
    <col min="15118" max="15358" width="9.125" style="68"/>
    <col min="15359" max="15359" width="8" style="68" customWidth="1"/>
    <col min="15360" max="15360" width="28.5" style="68" customWidth="1"/>
    <col min="15361" max="15372" width="9.125" style="68"/>
    <col min="15373" max="15373" width="10.625" style="68" customWidth="1"/>
    <col min="15374" max="15614" width="9.125" style="68"/>
    <col min="15615" max="15615" width="8" style="68" customWidth="1"/>
    <col min="15616" max="15616" width="28.5" style="68" customWidth="1"/>
    <col min="15617" max="15628" width="9.125" style="68"/>
    <col min="15629" max="15629" width="10.625" style="68" customWidth="1"/>
    <col min="15630" max="15870" width="9.125" style="68"/>
    <col min="15871" max="15871" width="8" style="68" customWidth="1"/>
    <col min="15872" max="15872" width="28.5" style="68" customWidth="1"/>
    <col min="15873" max="15884" width="9.125" style="68"/>
    <col min="15885" max="15885" width="10.625" style="68" customWidth="1"/>
    <col min="15886" max="16126" width="9.125" style="68"/>
    <col min="16127" max="16127" width="8" style="68" customWidth="1"/>
    <col min="16128" max="16128" width="28.5" style="68" customWidth="1"/>
    <col min="16129" max="16140" width="9.125" style="68"/>
    <col min="16141" max="16141" width="10.625" style="68" customWidth="1"/>
    <col min="16142" max="16384" width="9.125" style="68"/>
  </cols>
  <sheetData>
    <row r="1" spans="1:13" ht="18.75">
      <c r="A1" s="69" t="s">
        <v>112</v>
      </c>
      <c r="B1" s="70"/>
      <c r="C1" s="71"/>
      <c r="D1" s="71"/>
      <c r="E1" s="70"/>
      <c r="F1" s="71"/>
      <c r="G1" s="71"/>
      <c r="H1" s="70"/>
      <c r="I1" s="71"/>
      <c r="J1" s="71"/>
      <c r="K1" s="71"/>
      <c r="L1" s="71"/>
      <c r="M1" s="71"/>
    </row>
    <row r="2" spans="1:13" ht="12">
      <c r="A2" s="68" t="s">
        <v>113</v>
      </c>
      <c r="B2" s="72"/>
    </row>
    <row r="3" spans="1:13" ht="16.899999999999999" customHeight="1">
      <c r="A3" s="73" t="s">
        <v>16</v>
      </c>
      <c r="B3" s="73" t="s">
        <v>114</v>
      </c>
      <c r="C3" s="216" t="s">
        <v>115</v>
      </c>
      <c r="D3" s="216"/>
      <c r="E3" s="216"/>
      <c r="F3" s="75"/>
      <c r="G3" s="76"/>
      <c r="H3" s="77"/>
      <c r="I3" s="77"/>
      <c r="J3" s="77" t="s">
        <v>116</v>
      </c>
      <c r="K3" s="77"/>
      <c r="L3" s="77"/>
      <c r="M3" s="98"/>
    </row>
    <row r="4" spans="1:13" ht="16.149999999999999" customHeight="1">
      <c r="A4" s="78"/>
      <c r="B4" s="78" t="s">
        <v>117</v>
      </c>
      <c r="C4" s="74">
        <v>2017</v>
      </c>
      <c r="D4" s="74">
        <f t="shared" ref="D4:L4" si="0">C4+1</f>
        <v>2018</v>
      </c>
      <c r="E4" s="74">
        <f t="shared" si="0"/>
        <v>2019</v>
      </c>
      <c r="F4" s="74">
        <f t="shared" si="0"/>
        <v>2020</v>
      </c>
      <c r="G4" s="74">
        <f t="shared" si="0"/>
        <v>2021</v>
      </c>
      <c r="H4" s="79">
        <f t="shared" si="0"/>
        <v>2022</v>
      </c>
      <c r="I4" s="79">
        <f t="shared" si="0"/>
        <v>2023</v>
      </c>
      <c r="J4" s="79">
        <f t="shared" si="0"/>
        <v>2024</v>
      </c>
      <c r="K4" s="79">
        <f t="shared" si="0"/>
        <v>2025</v>
      </c>
      <c r="L4" s="79">
        <f t="shared" si="0"/>
        <v>2026</v>
      </c>
      <c r="M4" s="99" t="s">
        <v>118</v>
      </c>
    </row>
    <row r="5" spans="1:13" ht="15.6" customHeight="1">
      <c r="A5" s="80">
        <v>1</v>
      </c>
      <c r="B5" s="81" t="s">
        <v>119</v>
      </c>
      <c r="C5" s="82">
        <f>SUM(C6:C9)</f>
        <v>0</v>
      </c>
      <c r="D5" s="82">
        <f t="shared" ref="D5:L5" si="1">SUM(D6:D9)</f>
        <v>0</v>
      </c>
      <c r="E5" s="82" t="e">
        <f t="shared" si="1"/>
        <v>#REF!</v>
      </c>
      <c r="F5" s="82">
        <f t="shared" si="1"/>
        <v>30450</v>
      </c>
      <c r="G5" s="82">
        <f t="shared" si="1"/>
        <v>2436000</v>
      </c>
      <c r="H5" s="82">
        <f t="shared" si="1"/>
        <v>6090000</v>
      </c>
      <c r="I5" s="82" t="e">
        <f t="shared" si="1"/>
        <v>#REF!</v>
      </c>
      <c r="J5" s="82" t="e">
        <f t="shared" si="1"/>
        <v>#REF!</v>
      </c>
      <c r="K5" s="82" t="e">
        <f t="shared" si="1"/>
        <v>#REF!</v>
      </c>
      <c r="L5" s="82">
        <f t="shared" si="1"/>
        <v>23781450</v>
      </c>
      <c r="M5" s="86" t="e">
        <f t="shared" ref="M5:M17" si="2">SUM(C5:L5)</f>
        <v>#REF!</v>
      </c>
    </row>
    <row r="6" spans="1:13" ht="15.6" customHeight="1">
      <c r="A6" s="80">
        <v>1.1000000000000001</v>
      </c>
      <c r="B6" s="83" t="s">
        <v>120</v>
      </c>
      <c r="C6" s="84"/>
      <c r="D6" s="84"/>
      <c r="E6" s="84" t="e">
        <f>损益表!#REF!</f>
        <v>#REF!</v>
      </c>
      <c r="F6" s="84">
        <f>损益表!C5</f>
        <v>30450</v>
      </c>
      <c r="G6" s="84">
        <f>损益表!D5</f>
        <v>2436000</v>
      </c>
      <c r="H6" s="84">
        <f>损益表!E5</f>
        <v>6090000</v>
      </c>
      <c r="I6" s="84" t="e">
        <f>损益表!#REF!</f>
        <v>#REF!</v>
      </c>
      <c r="J6" s="84" t="e">
        <f>损益表!#REF!</f>
        <v>#REF!</v>
      </c>
      <c r="K6" s="84" t="e">
        <f>损益表!#REF!</f>
        <v>#REF!</v>
      </c>
      <c r="L6" s="84">
        <f>损益表!H5</f>
        <v>23781450</v>
      </c>
      <c r="M6" s="86" t="e">
        <f t="shared" si="2"/>
        <v>#REF!</v>
      </c>
    </row>
    <row r="7" spans="1:13" ht="15.6" customHeight="1">
      <c r="A7" s="80">
        <v>1.2</v>
      </c>
      <c r="B7" s="83" t="s">
        <v>121</v>
      </c>
      <c r="C7" s="84"/>
      <c r="D7" s="84"/>
      <c r="E7" s="84">
        <f>[1]折、摊!G18</f>
        <v>0</v>
      </c>
      <c r="F7" s="84">
        <f>[1]折、摊!H18</f>
        <v>0</v>
      </c>
      <c r="G7" s="84">
        <f>[1]折、摊!I18</f>
        <v>0</v>
      </c>
      <c r="H7" s="84">
        <f>[1]折、摊!J18</f>
        <v>0</v>
      </c>
      <c r="I7" s="84">
        <f>[1]折、摊!K18</f>
        <v>0</v>
      </c>
      <c r="J7" s="84">
        <f>[1]折、摊!L18</f>
        <v>0</v>
      </c>
      <c r="K7" s="84">
        <f>[1]折、摊!M18</f>
        <v>0</v>
      </c>
      <c r="L7" s="84">
        <f>[1]折、摊!N18</f>
        <v>0</v>
      </c>
      <c r="M7" s="86">
        <f t="shared" si="2"/>
        <v>0</v>
      </c>
    </row>
    <row r="8" spans="1:13" ht="15.6" customHeight="1">
      <c r="A8" s="80">
        <v>1.3</v>
      </c>
      <c r="B8" s="83" t="s">
        <v>122</v>
      </c>
      <c r="C8" s="84" t="s">
        <v>123</v>
      </c>
      <c r="D8" s="84" t="s">
        <v>123</v>
      </c>
      <c r="E8" s="84" t="s">
        <v>123</v>
      </c>
      <c r="F8" s="84" t="s">
        <v>123</v>
      </c>
      <c r="G8" s="84" t="s">
        <v>123</v>
      </c>
      <c r="H8" s="84" t="s">
        <v>123</v>
      </c>
      <c r="I8" s="84" t="s">
        <v>123</v>
      </c>
      <c r="J8" s="84" t="s">
        <v>123</v>
      </c>
      <c r="K8" s="84" t="s">
        <v>123</v>
      </c>
      <c r="L8" s="84"/>
      <c r="M8" s="86">
        <f t="shared" si="2"/>
        <v>0</v>
      </c>
    </row>
    <row r="9" spans="1:13" s="67" customFormat="1" ht="15.6" customHeight="1">
      <c r="A9" s="85">
        <v>1.4</v>
      </c>
      <c r="B9" s="86" t="s">
        <v>124</v>
      </c>
      <c r="C9" s="84" t="s">
        <v>123</v>
      </c>
      <c r="D9" s="84" t="s">
        <v>123</v>
      </c>
      <c r="E9" s="84" t="s">
        <v>123</v>
      </c>
      <c r="F9" s="84" t="s">
        <v>123</v>
      </c>
      <c r="G9" s="84" t="s">
        <v>123</v>
      </c>
      <c r="H9" s="84" t="s">
        <v>123</v>
      </c>
      <c r="I9" s="84" t="s">
        <v>123</v>
      </c>
      <c r="J9" s="84" t="s">
        <v>123</v>
      </c>
      <c r="K9" s="84" t="s">
        <v>123</v>
      </c>
      <c r="L9" s="84" t="s">
        <v>123</v>
      </c>
      <c r="M9" s="86">
        <f t="shared" si="2"/>
        <v>0</v>
      </c>
    </row>
    <row r="10" spans="1:13" ht="15.6" customHeight="1">
      <c r="A10" s="85">
        <v>2</v>
      </c>
      <c r="B10" s="81" t="s">
        <v>125</v>
      </c>
      <c r="C10" s="82">
        <f t="shared" ref="C10:L10" si="3">SUM(C11:C16)</f>
        <v>0</v>
      </c>
      <c r="D10" s="82">
        <f t="shared" si="3"/>
        <v>0</v>
      </c>
      <c r="E10" s="82">
        <f t="shared" si="3"/>
        <v>0</v>
      </c>
      <c r="F10" s="82">
        <f t="shared" si="3"/>
        <v>0</v>
      </c>
      <c r="G10" s="82">
        <f t="shared" si="3"/>
        <v>0</v>
      </c>
      <c r="H10" s="82">
        <f t="shared" si="3"/>
        <v>0</v>
      </c>
      <c r="I10" s="82">
        <f t="shared" si="3"/>
        <v>0</v>
      </c>
      <c r="J10" s="82">
        <f t="shared" si="3"/>
        <v>0</v>
      </c>
      <c r="K10" s="82">
        <f t="shared" si="3"/>
        <v>0</v>
      </c>
      <c r="L10" s="82">
        <f t="shared" si="3"/>
        <v>0</v>
      </c>
      <c r="M10" s="86">
        <f t="shared" si="2"/>
        <v>0</v>
      </c>
    </row>
    <row r="11" spans="1:13" ht="15" customHeight="1">
      <c r="A11" s="80">
        <v>2.1</v>
      </c>
      <c r="B11" s="80" t="s">
        <v>126</v>
      </c>
      <c r="C11" s="84">
        <f>([1]计划!C6-[1]计划!C7)</f>
        <v>0</v>
      </c>
      <c r="D11" s="84">
        <f>([1]计划!D6-[1]计划!D7)</f>
        <v>0</v>
      </c>
      <c r="E11" s="84">
        <f>([1]计划!E6-[1]计划!E7)</f>
        <v>0</v>
      </c>
      <c r="F11" s="84">
        <f>([1]计划!F6-[1]计划!F7)</f>
        <v>0</v>
      </c>
      <c r="G11" s="84">
        <f>([1]计划!G6-[1]计划!G7)</f>
        <v>0</v>
      </c>
      <c r="H11" s="84">
        <f>([1]计划!H6-[1]计划!H7)</f>
        <v>0</v>
      </c>
      <c r="I11" s="84">
        <f>([1]计划!I6-[1]计划!I7)</f>
        <v>0</v>
      </c>
      <c r="J11" s="84">
        <f>([1]计划!J6-[1]计划!J7)</f>
        <v>0</v>
      </c>
      <c r="K11" s="84">
        <f>([1]计划!K6-[1]计划!K7)</f>
        <v>0</v>
      </c>
      <c r="L11" s="84">
        <f>([1]计划!L6-[1]计划!L7)</f>
        <v>0</v>
      </c>
      <c r="M11" s="86">
        <f t="shared" si="2"/>
        <v>0</v>
      </c>
    </row>
    <row r="12" spans="1:13" s="67" customFormat="1" ht="15" customHeight="1">
      <c r="A12" s="80">
        <v>2.2000000000000002</v>
      </c>
      <c r="B12" s="86" t="s">
        <v>127</v>
      </c>
      <c r="C12" s="84">
        <f>[1]计划!C8</f>
        <v>0</v>
      </c>
      <c r="D12" s="84">
        <f>[1]计划!D8</f>
        <v>0</v>
      </c>
      <c r="E12" s="84">
        <f>[1]计划!E8</f>
        <v>0</v>
      </c>
      <c r="F12" s="84">
        <f>[1]计划!F8</f>
        <v>0</v>
      </c>
      <c r="G12" s="84">
        <f>[1]计划!G8</f>
        <v>0</v>
      </c>
      <c r="H12" s="84">
        <f>[1]计划!H8</f>
        <v>0</v>
      </c>
      <c r="I12" s="84">
        <f>[1]计划!I8</f>
        <v>0</v>
      </c>
      <c r="J12" s="84">
        <f>[1]计划!J8</f>
        <v>0</v>
      </c>
      <c r="K12" s="84">
        <f>[1]计划!K8</f>
        <v>0</v>
      </c>
      <c r="L12" s="84">
        <f>[1]计划!L8</f>
        <v>0</v>
      </c>
      <c r="M12" s="86">
        <f t="shared" si="2"/>
        <v>0</v>
      </c>
    </row>
    <row r="13" spans="1:13" ht="15" customHeight="1">
      <c r="A13" s="80">
        <v>2.2999999999999998</v>
      </c>
      <c r="B13" s="83" t="s">
        <v>128</v>
      </c>
      <c r="C13" s="84">
        <f>[1]总成本!C22</f>
        <v>0</v>
      </c>
      <c r="D13" s="84">
        <f>[1]总成本!D22</f>
        <v>0</v>
      </c>
      <c r="E13" s="84">
        <f>[1]总成本!E22</f>
        <v>0</v>
      </c>
      <c r="F13" s="84">
        <f>[1]总成本!F22</f>
        <v>0</v>
      </c>
      <c r="G13" s="84">
        <f>[1]总成本!G22</f>
        <v>0</v>
      </c>
      <c r="H13" s="84">
        <f>[1]总成本!H22</f>
        <v>0</v>
      </c>
      <c r="I13" s="84">
        <f>[1]总成本!I22</f>
        <v>0</v>
      </c>
      <c r="J13" s="84">
        <f>[1]总成本!J22</f>
        <v>0</v>
      </c>
      <c r="K13" s="84">
        <f>[1]总成本!K22</f>
        <v>0</v>
      </c>
      <c r="L13" s="84">
        <f>[1]总成本!L22</f>
        <v>0</v>
      </c>
      <c r="M13" s="86">
        <f t="shared" si="2"/>
        <v>0</v>
      </c>
    </row>
    <row r="14" spans="1:13" ht="15" customHeight="1">
      <c r="A14" s="80">
        <v>2.4</v>
      </c>
      <c r="B14" s="83" t="s">
        <v>129</v>
      </c>
      <c r="C14" s="84">
        <f>[1]价格!D15</f>
        <v>0</v>
      </c>
      <c r="D14" s="84">
        <f>[1]价格!E15</f>
        <v>0</v>
      </c>
      <c r="E14" s="84">
        <f>[1]价格!F15</f>
        <v>0</v>
      </c>
      <c r="F14" s="84">
        <f>[1]价格!G15</f>
        <v>0</v>
      </c>
      <c r="G14" s="84">
        <f>[1]价格!H15</f>
        <v>0</v>
      </c>
      <c r="H14" s="84">
        <f>[1]价格!I15</f>
        <v>0</v>
      </c>
      <c r="I14" s="84">
        <f>[1]价格!J15</f>
        <v>0</v>
      </c>
      <c r="J14" s="84">
        <f>[1]价格!K15</f>
        <v>0</v>
      </c>
      <c r="K14" s="84">
        <f>[1]价格!L15</f>
        <v>0</v>
      </c>
      <c r="L14" s="84">
        <f>[1]价格!M15</f>
        <v>0</v>
      </c>
      <c r="M14" s="86">
        <f t="shared" si="2"/>
        <v>0</v>
      </c>
    </row>
    <row r="15" spans="1:13" ht="15" customHeight="1">
      <c r="A15" s="80">
        <v>2.5</v>
      </c>
      <c r="B15" s="83" t="s">
        <v>57</v>
      </c>
      <c r="C15" s="84">
        <f>[1]利润!C13</f>
        <v>0</v>
      </c>
      <c r="D15" s="84">
        <f>[1]利润!D13</f>
        <v>0</v>
      </c>
      <c r="E15" s="84">
        <f>[1]利润!E13</f>
        <v>0</v>
      </c>
      <c r="F15" s="84">
        <f>[1]利润!F13</f>
        <v>0</v>
      </c>
      <c r="G15" s="84">
        <f>[1]利润!G13</f>
        <v>0</v>
      </c>
      <c r="H15" s="84">
        <f>[1]利润!H13</f>
        <v>0</v>
      </c>
      <c r="I15" s="84">
        <f>[1]利润!I13</f>
        <v>0</v>
      </c>
      <c r="J15" s="84">
        <f>[1]利润!J13</f>
        <v>0</v>
      </c>
      <c r="K15" s="84">
        <f>[1]利润!K13</f>
        <v>0</v>
      </c>
      <c r="L15" s="84">
        <f>[1]利润!L13</f>
        <v>0</v>
      </c>
      <c r="M15" s="86">
        <f t="shared" si="2"/>
        <v>0</v>
      </c>
    </row>
    <row r="16" spans="1:13" ht="15" customHeight="1">
      <c r="A16" s="80">
        <v>2.6</v>
      </c>
      <c r="B16" s="83" t="s">
        <v>130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6">
        <f t="shared" si="2"/>
        <v>0</v>
      </c>
    </row>
    <row r="17" spans="1:18" ht="12">
      <c r="A17" s="80">
        <v>3</v>
      </c>
      <c r="B17" s="81" t="s">
        <v>131</v>
      </c>
      <c r="C17" s="82">
        <f t="shared" ref="C17:L17" si="4">C5-C10</f>
        <v>0</v>
      </c>
      <c r="D17" s="82">
        <f t="shared" si="4"/>
        <v>0</v>
      </c>
      <c r="E17" s="82" t="e">
        <f t="shared" si="4"/>
        <v>#REF!</v>
      </c>
      <c r="F17" s="82">
        <f t="shared" si="4"/>
        <v>30450</v>
      </c>
      <c r="G17" s="82">
        <f t="shared" si="4"/>
        <v>2436000</v>
      </c>
      <c r="H17" s="82">
        <f t="shared" si="4"/>
        <v>6090000</v>
      </c>
      <c r="I17" s="82" t="e">
        <f t="shared" si="4"/>
        <v>#REF!</v>
      </c>
      <c r="J17" s="82" t="e">
        <f t="shared" si="4"/>
        <v>#REF!</v>
      </c>
      <c r="K17" s="82" t="e">
        <f t="shared" si="4"/>
        <v>#REF!</v>
      </c>
      <c r="L17" s="82">
        <f t="shared" si="4"/>
        <v>23781450</v>
      </c>
      <c r="M17" s="86" t="e">
        <f t="shared" si="2"/>
        <v>#REF!</v>
      </c>
    </row>
    <row r="18" spans="1:18" ht="12">
      <c r="A18" s="87">
        <v>4</v>
      </c>
      <c r="B18" s="83" t="s">
        <v>132</v>
      </c>
      <c r="C18" s="84">
        <f>C17</f>
        <v>0</v>
      </c>
      <c r="D18" s="84">
        <f t="shared" ref="D18:L18" si="5">C18+D17</f>
        <v>0</v>
      </c>
      <c r="E18" s="84" t="e">
        <f t="shared" si="5"/>
        <v>#REF!</v>
      </c>
      <c r="F18" s="84" t="e">
        <f t="shared" si="5"/>
        <v>#REF!</v>
      </c>
      <c r="G18" s="84" t="e">
        <f t="shared" si="5"/>
        <v>#REF!</v>
      </c>
      <c r="H18" s="84" t="e">
        <f t="shared" si="5"/>
        <v>#REF!</v>
      </c>
      <c r="I18" s="84" t="e">
        <f t="shared" si="5"/>
        <v>#REF!</v>
      </c>
      <c r="J18" s="84" t="e">
        <f t="shared" si="5"/>
        <v>#REF!</v>
      </c>
      <c r="K18" s="84" t="e">
        <f t="shared" si="5"/>
        <v>#REF!</v>
      </c>
      <c r="L18" s="84" t="e">
        <f t="shared" si="5"/>
        <v>#REF!</v>
      </c>
      <c r="M18" s="83" t="s">
        <v>123</v>
      </c>
    </row>
    <row r="19" spans="1:18" s="67" customFormat="1" ht="12">
      <c r="A19" s="87">
        <v>5</v>
      </c>
      <c r="B19" s="83" t="s">
        <v>133</v>
      </c>
      <c r="C19" s="84">
        <f t="shared" ref="C19:L19" si="6">C17+C15</f>
        <v>0</v>
      </c>
      <c r="D19" s="84">
        <f t="shared" si="6"/>
        <v>0</v>
      </c>
      <c r="E19" s="84" t="e">
        <f t="shared" si="6"/>
        <v>#REF!</v>
      </c>
      <c r="F19" s="84">
        <f t="shared" si="6"/>
        <v>30450</v>
      </c>
      <c r="G19" s="84">
        <f t="shared" si="6"/>
        <v>2436000</v>
      </c>
      <c r="H19" s="84">
        <f t="shared" si="6"/>
        <v>6090000</v>
      </c>
      <c r="I19" s="84" t="e">
        <f t="shared" si="6"/>
        <v>#REF!</v>
      </c>
      <c r="J19" s="84" t="e">
        <f t="shared" si="6"/>
        <v>#REF!</v>
      </c>
      <c r="K19" s="84" t="e">
        <f t="shared" si="6"/>
        <v>#REF!</v>
      </c>
      <c r="L19" s="84">
        <f t="shared" si="6"/>
        <v>23781450</v>
      </c>
      <c r="M19" s="86" t="e">
        <f>SUM(C19:L19)</f>
        <v>#REF!</v>
      </c>
    </row>
    <row r="20" spans="1:18" s="67" customFormat="1" ht="12">
      <c r="A20" s="80">
        <v>6</v>
      </c>
      <c r="B20" s="83" t="s">
        <v>134</v>
      </c>
      <c r="C20" s="84">
        <f>C19</f>
        <v>0</v>
      </c>
      <c r="D20" s="84">
        <f t="shared" ref="D20:L20" si="7">C20+D19</f>
        <v>0</v>
      </c>
      <c r="E20" s="84" t="e">
        <f t="shared" si="7"/>
        <v>#REF!</v>
      </c>
      <c r="F20" s="84" t="e">
        <f t="shared" si="7"/>
        <v>#REF!</v>
      </c>
      <c r="G20" s="84" t="e">
        <f t="shared" si="7"/>
        <v>#REF!</v>
      </c>
      <c r="H20" s="84" t="e">
        <f t="shared" si="7"/>
        <v>#REF!</v>
      </c>
      <c r="I20" s="84" t="e">
        <f t="shared" si="7"/>
        <v>#REF!</v>
      </c>
      <c r="J20" s="84" t="e">
        <f t="shared" si="7"/>
        <v>#REF!</v>
      </c>
      <c r="K20" s="84" t="e">
        <f t="shared" si="7"/>
        <v>#REF!</v>
      </c>
      <c r="L20" s="84" t="e">
        <f t="shared" si="7"/>
        <v>#REF!</v>
      </c>
      <c r="M20" s="83" t="s">
        <v>123</v>
      </c>
    </row>
    <row r="21" spans="1:18" ht="12">
      <c r="A21" s="88"/>
      <c r="B21" s="89" t="s">
        <v>135</v>
      </c>
      <c r="C21" s="89"/>
      <c r="D21" s="89"/>
      <c r="E21" s="89" t="s">
        <v>136</v>
      </c>
      <c r="F21" s="89"/>
      <c r="G21" s="89"/>
      <c r="H21" s="89"/>
      <c r="I21" s="89" t="s">
        <v>137</v>
      </c>
      <c r="J21" s="89"/>
      <c r="K21" s="89"/>
      <c r="L21" s="89"/>
      <c r="M21" s="100"/>
    </row>
    <row r="22" spans="1:18" ht="12">
      <c r="A22" s="90"/>
      <c r="B22" s="91" t="s">
        <v>138</v>
      </c>
      <c r="C22" s="91"/>
      <c r="D22" s="92" t="s">
        <v>139</v>
      </c>
      <c r="E22" s="93" t="e">
        <f>IRR(C17:L17,0.15)</f>
        <v>#VALUE!</v>
      </c>
      <c r="F22" s="91"/>
      <c r="G22" s="91"/>
      <c r="H22" s="91"/>
      <c r="I22" s="93" t="e">
        <f>IRR(C19:L19,0.15)</f>
        <v>#VALUE!</v>
      </c>
      <c r="J22" s="91"/>
      <c r="K22" s="91"/>
      <c r="L22" s="91"/>
      <c r="M22" s="101"/>
    </row>
    <row r="23" spans="1:18" ht="12">
      <c r="A23" s="90"/>
      <c r="B23" s="91" t="s">
        <v>140</v>
      </c>
      <c r="C23" s="91"/>
      <c r="D23" s="91"/>
      <c r="E23" s="94" t="e">
        <f>NPV(0.12,C17:L17)</f>
        <v>#REF!</v>
      </c>
      <c r="F23" s="91"/>
      <c r="G23" s="91"/>
      <c r="H23" s="91"/>
      <c r="I23" s="94" t="e">
        <f>NPV(0.12,C19:L19)</f>
        <v>#REF!</v>
      </c>
      <c r="J23" s="91"/>
      <c r="K23" s="91"/>
      <c r="L23" s="91"/>
      <c r="M23" s="101"/>
      <c r="R23" s="68">
        <f>30.9-29.82</f>
        <v>1.0799999999999983</v>
      </c>
    </row>
    <row r="24" spans="1:18" ht="12">
      <c r="A24" s="95"/>
      <c r="B24" s="96" t="s">
        <v>141</v>
      </c>
      <c r="C24" s="96"/>
      <c r="D24" s="96"/>
      <c r="E24" s="97" t="e">
        <f>6-H18/I17</f>
        <v>#REF!</v>
      </c>
      <c r="F24" s="96"/>
      <c r="G24" s="96"/>
      <c r="H24" s="96"/>
      <c r="I24" s="97" t="e">
        <f>6-H20/I19</f>
        <v>#REF!</v>
      </c>
      <c r="J24" s="96"/>
      <c r="K24" s="96"/>
      <c r="L24" s="96"/>
      <c r="M24" s="102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0" activePane="bottomRight" state="frozen"/>
      <selection pane="topRight"/>
      <selection pane="bottomLeft"/>
      <selection pane="bottomRight" activeCell="D25" sqref="D25"/>
    </sheetView>
  </sheetViews>
  <sheetFormatPr defaultColWidth="9" defaultRowHeight="16.5"/>
  <cols>
    <col min="1" max="1" width="5.125" style="44" customWidth="1"/>
    <col min="2" max="2" width="17.5" style="44" customWidth="1"/>
    <col min="3" max="4" width="13.25" style="45" customWidth="1"/>
    <col min="5" max="5" width="12.875" style="45" bestFit="1" customWidth="1"/>
    <col min="6" max="6" width="12.875" style="45" customWidth="1"/>
    <col min="7" max="7" width="18.75" style="45" customWidth="1"/>
    <col min="8" max="8" width="12.375" style="44" customWidth="1"/>
    <col min="9" max="9" width="10.125" style="44" customWidth="1"/>
    <col min="10" max="16" width="9" style="44" customWidth="1"/>
    <col min="17" max="33" width="9" style="44"/>
    <col min="34" max="34" width="4.375" style="44" customWidth="1"/>
    <col min="35" max="35" width="13.875" style="44" customWidth="1"/>
    <col min="36" max="16384" width="9" style="44"/>
  </cols>
  <sheetData>
    <row r="1" spans="1:36">
      <c r="A1" s="217" t="s">
        <v>142</v>
      </c>
      <c r="B1" s="217"/>
      <c r="C1" s="221" t="s">
        <v>257</v>
      </c>
      <c r="D1" s="222"/>
      <c r="E1" s="222"/>
      <c r="F1" s="222"/>
      <c r="G1" s="223"/>
    </row>
    <row r="2" spans="1:36">
      <c r="A2" s="217" t="s">
        <v>143</v>
      </c>
      <c r="B2" s="217"/>
      <c r="C2" s="224" t="s">
        <v>243</v>
      </c>
      <c r="D2" s="224"/>
      <c r="E2" s="224"/>
      <c r="F2" s="224"/>
      <c r="G2" s="224"/>
    </row>
    <row r="3" spans="1:36" ht="28.5">
      <c r="A3" s="217" t="s">
        <v>144</v>
      </c>
      <c r="B3" s="217"/>
      <c r="C3" s="156" t="str">
        <f>销量!C5</f>
        <v>左空气悬浮座椅总成</v>
      </c>
      <c r="D3" s="156" t="str">
        <f>销量!D5</f>
        <v>右翻板式座椅总成</v>
      </c>
      <c r="E3" s="156">
        <f>销量!E5</f>
        <v>0</v>
      </c>
      <c r="F3" s="156">
        <f>销量!F5</f>
        <v>0</v>
      </c>
      <c r="G3" s="218" t="s">
        <v>18</v>
      </c>
    </row>
    <row r="4" spans="1:36" ht="39" customHeight="1">
      <c r="A4" s="217" t="s">
        <v>145</v>
      </c>
      <c r="B4" s="217"/>
      <c r="C4" s="156" t="str">
        <f>销量!C6</f>
        <v>ZZ16251510101</v>
      </c>
      <c r="D4" s="156" t="str">
        <f>销量!D6</f>
        <v>ZZ16251510102</v>
      </c>
      <c r="E4" s="156">
        <f>销量!E6</f>
        <v>0</v>
      </c>
      <c r="F4" s="156">
        <f>销量!F6</f>
        <v>0</v>
      </c>
      <c r="G4" s="219"/>
    </row>
    <row r="5" spans="1:36">
      <c r="A5" s="217" t="s">
        <v>146</v>
      </c>
      <c r="B5" s="217"/>
      <c r="C5" s="47"/>
      <c r="D5" s="47"/>
      <c r="E5" s="47"/>
      <c r="F5" s="190"/>
      <c r="G5" s="220"/>
      <c r="AJ5" s="44" t="s">
        <v>19</v>
      </c>
    </row>
    <row r="6" spans="1:36" ht="17.25">
      <c r="A6" s="48" t="s">
        <v>16</v>
      </c>
      <c r="B6" s="49" t="s">
        <v>147</v>
      </c>
      <c r="C6" s="21">
        <f>销量!C9</f>
        <v>10</v>
      </c>
      <c r="D6" s="21">
        <f>销量!D9</f>
        <v>10</v>
      </c>
      <c r="E6" s="21">
        <f>销量!E9</f>
        <v>0</v>
      </c>
      <c r="F6" s="21">
        <f>销量!F9</f>
        <v>0</v>
      </c>
      <c r="G6" s="50">
        <f t="shared" ref="G6:G15" si="0">SUM(C6:F6)</f>
        <v>20</v>
      </c>
      <c r="R6" s="49" t="s">
        <v>3</v>
      </c>
      <c r="AH6" s="48" t="s">
        <v>16</v>
      </c>
      <c r="AI6" s="49" t="s">
        <v>3</v>
      </c>
      <c r="AJ6" s="44" t="s">
        <v>20</v>
      </c>
    </row>
    <row r="7" spans="1:36">
      <c r="A7" s="46">
        <v>1</v>
      </c>
      <c r="B7" s="49" t="s">
        <v>21</v>
      </c>
      <c r="C7" s="50">
        <f>C6*销量!C8</f>
        <v>22200</v>
      </c>
      <c r="D7" s="50">
        <f>D6*销量!D8</f>
        <v>8250</v>
      </c>
      <c r="E7" s="50">
        <f>E6*销量!E8</f>
        <v>0</v>
      </c>
      <c r="F7" s="50">
        <f>F6*销量!F8</f>
        <v>0</v>
      </c>
      <c r="G7" s="50">
        <f t="shared" si="0"/>
        <v>30450</v>
      </c>
      <c r="H7" s="45"/>
      <c r="R7" s="49" t="s">
        <v>21</v>
      </c>
      <c r="AH7" s="48" t="s">
        <v>22</v>
      </c>
      <c r="AI7" s="49" t="s">
        <v>21</v>
      </c>
      <c r="AJ7" s="44" t="s">
        <v>20</v>
      </c>
    </row>
    <row r="8" spans="1:36">
      <c r="A8" s="46">
        <v>2</v>
      </c>
      <c r="B8" s="46" t="s">
        <v>23</v>
      </c>
      <c r="C8" s="50"/>
      <c r="D8" s="50"/>
      <c r="E8" s="50"/>
      <c r="F8" s="50"/>
      <c r="G8" s="50">
        <f t="shared" si="0"/>
        <v>0</v>
      </c>
      <c r="H8" s="64"/>
      <c r="R8" s="46" t="s">
        <v>25</v>
      </c>
      <c r="AH8" s="48" t="s">
        <v>24</v>
      </c>
      <c r="AI8" s="46" t="s">
        <v>25</v>
      </c>
      <c r="AJ8" s="44" t="s">
        <v>20</v>
      </c>
    </row>
    <row r="9" spans="1:36">
      <c r="A9" s="46">
        <v>3</v>
      </c>
      <c r="B9" s="49" t="s">
        <v>26</v>
      </c>
      <c r="C9" s="50">
        <f>+C7-C8</f>
        <v>22200</v>
      </c>
      <c r="D9" s="50">
        <f t="shared" ref="D9:E9" si="1">+D7-D8</f>
        <v>8250</v>
      </c>
      <c r="E9" s="50">
        <f t="shared" si="1"/>
        <v>0</v>
      </c>
      <c r="F9" s="50">
        <f>+F7-F8</f>
        <v>0</v>
      </c>
      <c r="G9" s="50">
        <f t="shared" si="0"/>
        <v>30450</v>
      </c>
      <c r="R9" s="49" t="s">
        <v>26</v>
      </c>
      <c r="AH9" s="48" t="s">
        <v>27</v>
      </c>
      <c r="AI9" s="49" t="s">
        <v>26</v>
      </c>
      <c r="AJ9" s="44" t="s">
        <v>28</v>
      </c>
    </row>
    <row r="10" spans="1:36">
      <c r="A10" s="46">
        <v>4</v>
      </c>
      <c r="B10" s="48" t="s">
        <v>29</v>
      </c>
      <c r="C10" s="50">
        <f>C6*C33</f>
        <v>14217.5</v>
      </c>
      <c r="D10" s="50">
        <f t="shared" ref="D10:F10" si="2">D6*D33</f>
        <v>5539.8</v>
      </c>
      <c r="E10" s="50">
        <f t="shared" si="2"/>
        <v>0</v>
      </c>
      <c r="F10" s="50">
        <f t="shared" si="2"/>
        <v>0</v>
      </c>
      <c r="G10" s="50">
        <f t="shared" si="0"/>
        <v>19757.3</v>
      </c>
      <c r="R10" s="48" t="s">
        <v>29</v>
      </c>
      <c r="AH10" s="48" t="s">
        <v>30</v>
      </c>
      <c r="AI10" s="48" t="s">
        <v>29</v>
      </c>
      <c r="AJ10" s="44" t="s">
        <v>31</v>
      </c>
    </row>
    <row r="11" spans="1:36">
      <c r="A11" s="46">
        <v>5</v>
      </c>
      <c r="B11" s="48" t="s">
        <v>32</v>
      </c>
      <c r="C11" s="50">
        <f>+C6*C36</f>
        <v>599.4</v>
      </c>
      <c r="D11" s="50">
        <f t="shared" ref="D11:E11" si="3">+D6*D36</f>
        <v>222.75</v>
      </c>
      <c r="E11" s="50">
        <f t="shared" si="3"/>
        <v>0</v>
      </c>
      <c r="F11" s="50">
        <f>+F6*F36</f>
        <v>0</v>
      </c>
      <c r="G11" s="50">
        <f t="shared" si="0"/>
        <v>822.15</v>
      </c>
      <c r="R11" s="48" t="s">
        <v>32</v>
      </c>
      <c r="AH11" s="48" t="s">
        <v>33</v>
      </c>
      <c r="AI11" s="48" t="s">
        <v>32</v>
      </c>
    </row>
    <row r="12" spans="1:36">
      <c r="A12" s="46">
        <v>6</v>
      </c>
      <c r="B12" s="48" t="s">
        <v>34</v>
      </c>
      <c r="C12" s="50">
        <f>+C6*C37</f>
        <v>288.60000000000002</v>
      </c>
      <c r="D12" s="50">
        <f t="shared" ref="D12:E12" si="4">+D6*D37</f>
        <v>107.25</v>
      </c>
      <c r="E12" s="50">
        <f t="shared" si="4"/>
        <v>0</v>
      </c>
      <c r="F12" s="50">
        <f>+F6*F37</f>
        <v>0</v>
      </c>
      <c r="G12" s="50">
        <f t="shared" si="0"/>
        <v>395.85</v>
      </c>
      <c r="R12" s="48" t="s">
        <v>34</v>
      </c>
      <c r="AH12" s="48" t="s">
        <v>35</v>
      </c>
      <c r="AI12" s="48" t="s">
        <v>34</v>
      </c>
    </row>
    <row r="13" spans="1:36">
      <c r="A13" s="46">
        <v>7</v>
      </c>
      <c r="B13" s="48" t="s">
        <v>36</v>
      </c>
      <c r="C13" s="50">
        <f>+C6*C38</f>
        <v>643.80000000000007</v>
      </c>
      <c r="D13" s="50">
        <f t="shared" ref="D13:E13" si="5">+D6*D38</f>
        <v>239.25</v>
      </c>
      <c r="E13" s="50">
        <f t="shared" si="5"/>
        <v>0</v>
      </c>
      <c r="F13" s="50">
        <f>+F6*F38</f>
        <v>0</v>
      </c>
      <c r="G13" s="50">
        <f t="shared" si="0"/>
        <v>883.05000000000007</v>
      </c>
      <c r="R13" s="48" t="s">
        <v>36</v>
      </c>
      <c r="AH13" s="48" t="s">
        <v>37</v>
      </c>
      <c r="AI13" s="48" t="s">
        <v>36</v>
      </c>
      <c r="AJ13" s="44" t="s">
        <v>20</v>
      </c>
    </row>
    <row r="14" spans="1:36">
      <c r="A14" s="46">
        <v>8</v>
      </c>
      <c r="B14" s="51" t="s">
        <v>38</v>
      </c>
      <c r="C14" s="50">
        <f>SUM(C11:C13)</f>
        <v>1531.8000000000002</v>
      </c>
      <c r="D14" s="50">
        <f t="shared" ref="D14:E14" si="6">SUM(D11:D13)</f>
        <v>569.25</v>
      </c>
      <c r="E14" s="50">
        <f t="shared" si="6"/>
        <v>0</v>
      </c>
      <c r="F14" s="50">
        <f>SUM(F11:F13)</f>
        <v>0</v>
      </c>
      <c r="G14" s="50">
        <f t="shared" si="0"/>
        <v>2101.0500000000002</v>
      </c>
      <c r="R14" s="51" t="s">
        <v>38</v>
      </c>
      <c r="AH14" s="48" t="s">
        <v>39</v>
      </c>
      <c r="AI14" s="51" t="s">
        <v>38</v>
      </c>
    </row>
    <row r="15" spans="1:36">
      <c r="A15" s="46">
        <v>9</v>
      </c>
      <c r="B15" s="51" t="s">
        <v>40</v>
      </c>
      <c r="C15" s="50">
        <f>+C9-C10-C14</f>
        <v>6450.7</v>
      </c>
      <c r="D15" s="50">
        <f t="shared" ref="D15:E15" si="7">+D9-D10-D14</f>
        <v>2140.9499999999998</v>
      </c>
      <c r="E15" s="50">
        <f t="shared" si="7"/>
        <v>0</v>
      </c>
      <c r="F15" s="50">
        <f>+F9-F10-F14</f>
        <v>0</v>
      </c>
      <c r="G15" s="50">
        <f t="shared" si="0"/>
        <v>8591.65</v>
      </c>
      <c r="R15" s="51" t="s">
        <v>40</v>
      </c>
      <c r="AH15" s="48" t="s">
        <v>41</v>
      </c>
      <c r="AI15" s="51" t="s">
        <v>40</v>
      </c>
    </row>
    <row r="16" spans="1:36">
      <c r="A16" s="46">
        <v>10</v>
      </c>
      <c r="B16" s="48" t="s">
        <v>42</v>
      </c>
      <c r="C16" s="52">
        <f>+C15/C9</f>
        <v>0.29057207207207209</v>
      </c>
      <c r="D16" s="52">
        <f t="shared" ref="D16:E16" si="8">+D15/D9</f>
        <v>0.25950909090909091</v>
      </c>
      <c r="E16" s="52" t="e">
        <f t="shared" si="8"/>
        <v>#DIV/0!</v>
      </c>
      <c r="F16" s="52" t="e">
        <f>+F15/F9</f>
        <v>#DIV/0!</v>
      </c>
      <c r="G16" s="52">
        <f t="shared" ref="G16" si="9">+G15/G9</f>
        <v>0.28215599343185549</v>
      </c>
      <c r="R16" s="48" t="s">
        <v>42</v>
      </c>
      <c r="AH16" s="48" t="s">
        <v>43</v>
      </c>
      <c r="AI16" s="48" t="s">
        <v>42</v>
      </c>
    </row>
    <row r="17" spans="1:36">
      <c r="A17" s="46">
        <v>11</v>
      </c>
      <c r="B17" s="48" t="s">
        <v>44</v>
      </c>
      <c r="C17" s="50">
        <f>C6*C43+C18</f>
        <v>1709.4</v>
      </c>
      <c r="D17" s="50">
        <f t="shared" ref="D17:E17" si="10">D6*D43+D18</f>
        <v>635.25</v>
      </c>
      <c r="E17" s="50">
        <f t="shared" si="10"/>
        <v>0</v>
      </c>
      <c r="F17" s="50">
        <f>F6*F43+F18</f>
        <v>0</v>
      </c>
      <c r="G17" s="50">
        <f>SUM(C17:F17)</f>
        <v>2344.65</v>
      </c>
      <c r="H17" s="163"/>
      <c r="I17" s="164"/>
      <c r="J17" s="164"/>
      <c r="R17" s="48" t="s">
        <v>44</v>
      </c>
      <c r="AH17" s="48" t="s">
        <v>45</v>
      </c>
      <c r="AI17" s="48" t="s">
        <v>44</v>
      </c>
    </row>
    <row r="18" spans="1:36" s="42" customFormat="1">
      <c r="A18" s="46">
        <v>12</v>
      </c>
      <c r="B18" s="53" t="s">
        <v>148</v>
      </c>
      <c r="C18" s="54">
        <f>$G$18/$G$6*C6</f>
        <v>0</v>
      </c>
      <c r="D18" s="54">
        <f>$G$18/$G$6*D6</f>
        <v>0</v>
      </c>
      <c r="E18" s="54">
        <f>$G$18/$G$6*E6</f>
        <v>0</v>
      </c>
      <c r="F18" s="54">
        <f>$G$18/$G$6*F6</f>
        <v>0</v>
      </c>
      <c r="G18" s="54">
        <f>项目投资!D26</f>
        <v>0</v>
      </c>
      <c r="H18" s="165" t="s">
        <v>149</v>
      </c>
      <c r="I18" s="165"/>
      <c r="J18" s="165"/>
    </row>
    <row r="19" spans="1:36">
      <c r="A19" s="46">
        <v>13</v>
      </c>
      <c r="B19" s="48" t="s">
        <v>46</v>
      </c>
      <c r="C19" s="50">
        <f>C6*C44</f>
        <v>377.40000000000003</v>
      </c>
      <c r="D19" s="50">
        <f t="shared" ref="D19:E19" si="11">D6*D44</f>
        <v>140.25</v>
      </c>
      <c r="E19" s="50">
        <f t="shared" si="11"/>
        <v>0</v>
      </c>
      <c r="F19" s="50">
        <f>F6*F44</f>
        <v>0</v>
      </c>
      <c r="G19" s="50">
        <f>SUM(C19:F19)</f>
        <v>517.65000000000009</v>
      </c>
      <c r="H19" s="166"/>
      <c r="I19" s="164"/>
      <c r="J19" s="164"/>
      <c r="R19" s="48" t="s">
        <v>46</v>
      </c>
      <c r="AH19" s="48" t="s">
        <v>47</v>
      </c>
      <c r="AI19" s="48" t="s">
        <v>46</v>
      </c>
      <c r="AJ19" s="44" t="s">
        <v>20</v>
      </c>
    </row>
    <row r="20" spans="1:36">
      <c r="A20" s="46">
        <v>14</v>
      </c>
      <c r="B20" s="48" t="s">
        <v>48</v>
      </c>
      <c r="C20" s="50">
        <f>C6*C45</f>
        <v>510.6</v>
      </c>
      <c r="D20" s="50">
        <f t="shared" ref="D20:E20" si="12">D6*D45</f>
        <v>189.75</v>
      </c>
      <c r="E20" s="50">
        <f t="shared" si="12"/>
        <v>0</v>
      </c>
      <c r="F20" s="50">
        <f>F6*F45</f>
        <v>0</v>
      </c>
      <c r="G20" s="50">
        <f>SUM(C20:F20)</f>
        <v>700.35</v>
      </c>
      <c r="R20" s="48" t="s">
        <v>48</v>
      </c>
      <c r="AH20" s="48" t="s">
        <v>49</v>
      </c>
      <c r="AI20" s="48" t="s">
        <v>48</v>
      </c>
    </row>
    <row r="21" spans="1:36">
      <c r="A21" s="46">
        <v>15</v>
      </c>
      <c r="B21" s="48" t="s">
        <v>50</v>
      </c>
      <c r="C21" s="55">
        <f>$G$21/$G$6*C6</f>
        <v>26500</v>
      </c>
      <c r="D21" s="55">
        <f>$G$21/$G$6*D6</f>
        <v>26500</v>
      </c>
      <c r="E21" s="55">
        <f>$G$21/$G$6*E6</f>
        <v>0</v>
      </c>
      <c r="F21" s="55">
        <f>$G$21/$G$6*F6</f>
        <v>0</v>
      </c>
      <c r="G21" s="50">
        <f>项目投资!D27</f>
        <v>53000</v>
      </c>
      <c r="R21" s="48" t="s">
        <v>50</v>
      </c>
      <c r="AH21" s="48"/>
      <c r="AI21" s="48"/>
    </row>
    <row r="22" spans="1:36">
      <c r="A22" s="46">
        <v>16</v>
      </c>
      <c r="B22" s="48" t="s">
        <v>51</v>
      </c>
      <c r="C22" s="50">
        <f>C6*C47</f>
        <v>1110</v>
      </c>
      <c r="D22" s="50">
        <f t="shared" ref="D22:F22" si="13">D6*D47</f>
        <v>412.5</v>
      </c>
      <c r="E22" s="50">
        <f t="shared" si="13"/>
        <v>0</v>
      </c>
      <c r="F22" s="50">
        <f t="shared" si="13"/>
        <v>0</v>
      </c>
      <c r="G22" s="50">
        <f>SUM(C22:F22)</f>
        <v>1522.5</v>
      </c>
      <c r="R22" s="48" t="s">
        <v>51</v>
      </c>
      <c r="AH22" s="48" t="s">
        <v>52</v>
      </c>
      <c r="AI22" s="48" t="s">
        <v>51</v>
      </c>
    </row>
    <row r="23" spans="1:36">
      <c r="A23" s="46">
        <v>17</v>
      </c>
      <c r="B23" s="51" t="s">
        <v>53</v>
      </c>
      <c r="C23" s="55">
        <f>+C22+C21+C20+C19+C17</f>
        <v>30207.4</v>
      </c>
      <c r="D23" s="55">
        <f t="shared" ref="D23:F23" si="14">+D22+D21+D20+D19+D17</f>
        <v>27877.75</v>
      </c>
      <c r="E23" s="55">
        <f t="shared" si="14"/>
        <v>0</v>
      </c>
      <c r="F23" s="55">
        <f t="shared" si="14"/>
        <v>0</v>
      </c>
      <c r="G23" s="55">
        <f t="shared" ref="G23" si="15">+G22+G21+G20+G19+G17</f>
        <v>58085.15</v>
      </c>
      <c r="R23" s="51" t="s">
        <v>53</v>
      </c>
      <c r="AH23" s="48" t="s">
        <v>54</v>
      </c>
      <c r="AI23" s="51" t="s">
        <v>53</v>
      </c>
    </row>
    <row r="24" spans="1:36">
      <c r="A24" s="46">
        <v>18</v>
      </c>
      <c r="B24" s="56" t="s">
        <v>55</v>
      </c>
      <c r="C24" s="55">
        <f>+C15-C23</f>
        <v>-23756.7</v>
      </c>
      <c r="D24" s="55">
        <f t="shared" ref="D24:F24" si="16">+D15-D23</f>
        <v>-25736.799999999999</v>
      </c>
      <c r="E24" s="55">
        <f t="shared" si="16"/>
        <v>0</v>
      </c>
      <c r="F24" s="55">
        <f t="shared" si="16"/>
        <v>0</v>
      </c>
      <c r="G24" s="55">
        <f t="shared" ref="G24" si="17">+G15-G23</f>
        <v>-49493.5</v>
      </c>
      <c r="I24" s="66"/>
      <c r="R24" s="48" t="s">
        <v>55</v>
      </c>
      <c r="AH24" s="48" t="s">
        <v>56</v>
      </c>
      <c r="AI24" s="48" t="s">
        <v>55</v>
      </c>
    </row>
    <row r="25" spans="1:36">
      <c r="A25" s="46">
        <v>19</v>
      </c>
      <c r="B25" s="48" t="s">
        <v>231</v>
      </c>
      <c r="C25" s="55">
        <f>IF(C24&lt;0,0,C24*0.15)</f>
        <v>0</v>
      </c>
      <c r="D25" s="55">
        <f>IF(D24&lt;0,0,D24*0.15)</f>
        <v>0</v>
      </c>
      <c r="E25" s="55">
        <f>IF(E24&lt;0,0,E24*0.15)</f>
        <v>0</v>
      </c>
      <c r="F25" s="55">
        <f>IF(F24&lt;0,0,F24*0.15)</f>
        <v>0</v>
      </c>
      <c r="G25" s="55">
        <f>IF(G24&lt;0,0,G24*0.15)</f>
        <v>0</v>
      </c>
      <c r="H25" s="62"/>
      <c r="I25" s="62"/>
      <c r="J25" s="62"/>
      <c r="R25" s="48" t="s">
        <v>57</v>
      </c>
      <c r="AH25" s="48" t="s">
        <v>58</v>
      </c>
      <c r="AI25" s="48" t="s">
        <v>57</v>
      </c>
    </row>
    <row r="26" spans="1:36">
      <c r="A26" s="46">
        <v>20</v>
      </c>
      <c r="B26" s="48" t="s">
        <v>59</v>
      </c>
      <c r="C26" s="55">
        <f t="shared" ref="C26:F26" si="18">C24-C25</f>
        <v>-23756.7</v>
      </c>
      <c r="D26" s="55">
        <f t="shared" si="18"/>
        <v>-25736.799999999999</v>
      </c>
      <c r="E26" s="55">
        <f t="shared" si="18"/>
        <v>0</v>
      </c>
      <c r="F26" s="55">
        <f t="shared" si="18"/>
        <v>0</v>
      </c>
      <c r="G26" s="50">
        <f>G24-G25</f>
        <v>-49493.5</v>
      </c>
      <c r="H26" s="62"/>
      <c r="I26" s="62"/>
      <c r="J26" s="62"/>
      <c r="R26" s="48" t="s">
        <v>59</v>
      </c>
      <c r="AH26" s="48" t="s">
        <v>60</v>
      </c>
      <c r="AI26" s="48" t="s">
        <v>59</v>
      </c>
    </row>
    <row r="27" spans="1:36">
      <c r="A27" s="46">
        <v>21</v>
      </c>
      <c r="B27" s="48" t="s">
        <v>63</v>
      </c>
      <c r="C27" s="125">
        <f t="shared" ref="C27:G27" si="19">C26/C7</f>
        <v>-1.0701216216216216</v>
      </c>
      <c r="D27" s="125">
        <f t="shared" ref="D27:F27" si="20">D26/D7</f>
        <v>-3.1196121212121213</v>
      </c>
      <c r="E27" s="125" t="e">
        <f t="shared" si="20"/>
        <v>#DIV/0!</v>
      </c>
      <c r="F27" s="125" t="e">
        <f t="shared" si="20"/>
        <v>#DIV/0!</v>
      </c>
      <c r="G27" s="125">
        <f t="shared" si="19"/>
        <v>-1.6254022988505747</v>
      </c>
      <c r="H27" s="62"/>
      <c r="I27" s="62"/>
      <c r="J27" s="62"/>
      <c r="R27" s="48" t="s">
        <v>63</v>
      </c>
      <c r="AH27" s="48" t="s">
        <v>62</v>
      </c>
      <c r="AI27" s="48" t="s">
        <v>63</v>
      </c>
    </row>
    <row r="28" spans="1:36">
      <c r="H28" s="62"/>
      <c r="I28" s="62"/>
      <c r="J28" s="62"/>
      <c r="R28" s="48"/>
    </row>
    <row r="29" spans="1:36">
      <c r="A29" s="44" t="s">
        <v>64</v>
      </c>
      <c r="G29" s="45" t="s">
        <v>150</v>
      </c>
      <c r="H29" s="62"/>
      <c r="I29" s="62"/>
      <c r="J29" s="62"/>
      <c r="R29" s="48"/>
      <c r="AH29" s="44" t="s">
        <v>64</v>
      </c>
    </row>
    <row r="30" spans="1:36">
      <c r="A30" s="48" t="s">
        <v>67</v>
      </c>
      <c r="B30" s="51" t="s">
        <v>68</v>
      </c>
      <c r="C30" s="55"/>
      <c r="D30" s="55"/>
      <c r="E30" s="55"/>
      <c r="F30" s="55"/>
      <c r="G30" s="55"/>
      <c r="H30" s="62"/>
      <c r="I30" s="62"/>
      <c r="J30" s="62"/>
      <c r="L30" s="62"/>
      <c r="R30" s="51" t="s">
        <v>68</v>
      </c>
      <c r="AH30" s="48" t="s">
        <v>69</v>
      </c>
      <c r="AI30" s="51" t="s">
        <v>68</v>
      </c>
    </row>
    <row r="31" spans="1:36">
      <c r="A31" s="57">
        <v>1</v>
      </c>
      <c r="B31" s="53" t="s">
        <v>70</v>
      </c>
      <c r="C31" s="58">
        <f>销量!C8</f>
        <v>2220</v>
      </c>
      <c r="D31" s="58">
        <f>销量!D8</f>
        <v>825</v>
      </c>
      <c r="E31" s="58">
        <f>销量!E8</f>
        <v>0</v>
      </c>
      <c r="F31" s="58">
        <f>销量!F8</f>
        <v>0</v>
      </c>
      <c r="G31" s="55"/>
      <c r="H31" s="62"/>
      <c r="I31" s="62"/>
      <c r="J31" s="62"/>
      <c r="L31" s="62"/>
      <c r="R31" s="48" t="s">
        <v>70</v>
      </c>
      <c r="AH31" s="48" t="s">
        <v>22</v>
      </c>
      <c r="AI31" s="48" t="s">
        <v>70</v>
      </c>
    </row>
    <row r="32" spans="1:36">
      <c r="A32" s="57">
        <v>2</v>
      </c>
      <c r="B32" s="48" t="s">
        <v>151</v>
      </c>
      <c r="C32" s="50">
        <f>C31*1</f>
        <v>2220</v>
      </c>
      <c r="D32" s="50">
        <f t="shared" ref="D32:F32" si="21">D31*1</f>
        <v>825</v>
      </c>
      <c r="E32" s="50">
        <f t="shared" si="21"/>
        <v>0</v>
      </c>
      <c r="F32" s="50">
        <f t="shared" si="21"/>
        <v>0</v>
      </c>
      <c r="G32" s="55"/>
      <c r="H32" s="62"/>
      <c r="I32" s="62"/>
      <c r="J32" s="62"/>
      <c r="K32" s="62"/>
      <c r="L32" s="62"/>
      <c r="M32" s="62"/>
      <c r="N32" s="62"/>
      <c r="AH32" s="48"/>
      <c r="AI32" s="48"/>
    </row>
    <row r="33" spans="1:35">
      <c r="A33" s="57">
        <v>3</v>
      </c>
      <c r="B33" s="53" t="s">
        <v>71</v>
      </c>
      <c r="C33" s="50">
        <f>材料成本!D12</f>
        <v>1421.75</v>
      </c>
      <c r="D33" s="50">
        <f>材料成本!E12</f>
        <v>553.98</v>
      </c>
      <c r="E33" s="50">
        <f>材料成本!F12</f>
        <v>0</v>
      </c>
      <c r="F33" s="50">
        <f>材料成本!G12</f>
        <v>0</v>
      </c>
      <c r="G33" s="55"/>
      <c r="I33" s="62"/>
      <c r="J33" s="62"/>
      <c r="K33" s="62"/>
      <c r="L33" s="62"/>
      <c r="M33" s="62"/>
      <c r="N33" s="62"/>
      <c r="R33" s="48" t="s">
        <v>71</v>
      </c>
      <c r="AH33" s="48" t="s">
        <v>24</v>
      </c>
      <c r="AI33" s="48" t="s">
        <v>71</v>
      </c>
    </row>
    <row r="34" spans="1:35" ht="17.25" customHeight="1">
      <c r="A34" s="57">
        <v>4</v>
      </c>
      <c r="B34" s="48" t="s">
        <v>73</v>
      </c>
      <c r="C34" s="59">
        <f>C32-C33</f>
        <v>798.25</v>
      </c>
      <c r="D34" s="59">
        <f t="shared" ref="D34:F34" si="22">D32-D33</f>
        <v>271.02</v>
      </c>
      <c r="E34" s="59">
        <f t="shared" si="22"/>
        <v>0</v>
      </c>
      <c r="F34" s="59">
        <f t="shared" si="22"/>
        <v>0</v>
      </c>
      <c r="G34" s="55"/>
      <c r="I34" s="62"/>
      <c r="J34" s="62"/>
      <c r="K34" s="62"/>
      <c r="L34" s="62"/>
      <c r="M34" s="62"/>
      <c r="N34" s="62"/>
      <c r="R34" s="48" t="s">
        <v>73</v>
      </c>
      <c r="AH34" s="48" t="s">
        <v>72</v>
      </c>
      <c r="AI34" s="48" t="s">
        <v>73</v>
      </c>
    </row>
    <row r="35" spans="1:35">
      <c r="A35" s="48" t="s">
        <v>69</v>
      </c>
      <c r="B35" s="51" t="s">
        <v>9</v>
      </c>
      <c r="C35" s="55"/>
      <c r="D35" s="55"/>
      <c r="E35" s="55"/>
      <c r="F35" s="55"/>
      <c r="G35" s="5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51" t="s">
        <v>9</v>
      </c>
      <c r="AH35" s="48" t="s">
        <v>75</v>
      </c>
      <c r="AI35" s="51" t="s">
        <v>9</v>
      </c>
    </row>
    <row r="36" spans="1:35">
      <c r="A36" s="57">
        <v>1</v>
      </c>
      <c r="B36" s="48" t="s">
        <v>76</v>
      </c>
      <c r="C36" s="54">
        <f>标准成本!E4</f>
        <v>59.94</v>
      </c>
      <c r="D36" s="54">
        <f>标准成本!E18</f>
        <v>22.274999999999999</v>
      </c>
      <c r="E36" s="54">
        <f>标准成本!E32</f>
        <v>0</v>
      </c>
      <c r="F36" s="54">
        <f>标准成本!E45</f>
        <v>0</v>
      </c>
      <c r="G36" s="5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48" t="s">
        <v>76</v>
      </c>
      <c r="AH36" s="48" t="s">
        <v>72</v>
      </c>
      <c r="AI36" s="48" t="s">
        <v>76</v>
      </c>
    </row>
    <row r="37" spans="1:35">
      <c r="A37" s="57">
        <v>2</v>
      </c>
      <c r="B37" s="48" t="s">
        <v>77</v>
      </c>
      <c r="C37" s="54">
        <f>标准成本!E6</f>
        <v>28.86</v>
      </c>
      <c r="D37" s="54">
        <f>标准成本!E20</f>
        <v>10.725</v>
      </c>
      <c r="E37" s="54">
        <f>标准成本!E34</f>
        <v>0</v>
      </c>
      <c r="F37" s="54">
        <f>标准成本!E47</f>
        <v>0</v>
      </c>
      <c r="G37" s="5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48" t="s">
        <v>77</v>
      </c>
      <c r="AH37" s="48" t="s">
        <v>27</v>
      </c>
      <c r="AI37" s="48" t="s">
        <v>77</v>
      </c>
    </row>
    <row r="38" spans="1:35">
      <c r="A38" s="57">
        <v>3</v>
      </c>
      <c r="B38" s="48" t="s">
        <v>78</v>
      </c>
      <c r="C38" s="54">
        <f>标准成本!E10</f>
        <v>64.38000000000001</v>
      </c>
      <c r="D38" s="54">
        <f>标准成本!E24</f>
        <v>23.925000000000001</v>
      </c>
      <c r="E38" s="54">
        <f>标准成本!E38</f>
        <v>0</v>
      </c>
      <c r="F38" s="54">
        <f>标准成本!E51</f>
        <v>0</v>
      </c>
      <c r="G38" s="5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48" t="s">
        <v>78</v>
      </c>
      <c r="AH38" s="48" t="s">
        <v>33</v>
      </c>
      <c r="AI38" s="48" t="s">
        <v>78</v>
      </c>
    </row>
    <row r="39" spans="1:35">
      <c r="A39" s="48" t="s">
        <v>75</v>
      </c>
      <c r="B39" s="51" t="s">
        <v>80</v>
      </c>
      <c r="C39" s="55"/>
      <c r="D39" s="55"/>
      <c r="E39" s="55"/>
      <c r="F39" s="55"/>
      <c r="G39" s="55"/>
      <c r="R39" s="51" t="s">
        <v>80</v>
      </c>
      <c r="AH39" s="48" t="s">
        <v>79</v>
      </c>
      <c r="AI39" s="51" t="s">
        <v>80</v>
      </c>
    </row>
    <row r="40" spans="1:35">
      <c r="A40" s="57">
        <v>1</v>
      </c>
      <c r="B40" s="48" t="s">
        <v>82</v>
      </c>
      <c r="C40" s="55">
        <f>C34-C36-C37-C38</f>
        <v>645.06999999999994</v>
      </c>
      <c r="D40" s="55">
        <f t="shared" ref="D40:F40" si="23">D34-D36-D37-D38</f>
        <v>214.09499999999997</v>
      </c>
      <c r="E40" s="55">
        <f t="shared" si="23"/>
        <v>0</v>
      </c>
      <c r="F40" s="55">
        <f t="shared" si="23"/>
        <v>0</v>
      </c>
      <c r="G40" s="55"/>
      <c r="R40" s="48" t="s">
        <v>82</v>
      </c>
      <c r="AH40" s="48" t="s">
        <v>22</v>
      </c>
      <c r="AI40" s="48" t="s">
        <v>82</v>
      </c>
    </row>
    <row r="41" spans="1:35">
      <c r="A41" s="57">
        <v>2</v>
      </c>
      <c r="B41" s="48" t="s">
        <v>83</v>
      </c>
      <c r="C41" s="55"/>
      <c r="D41" s="55"/>
      <c r="E41" s="55"/>
      <c r="F41" s="55"/>
      <c r="G41" s="55"/>
      <c r="R41" s="48" t="s">
        <v>83</v>
      </c>
      <c r="AH41" s="48" t="s">
        <v>24</v>
      </c>
      <c r="AI41" s="48" t="s">
        <v>83</v>
      </c>
    </row>
    <row r="42" spans="1:35">
      <c r="A42" s="48" t="s">
        <v>79</v>
      </c>
      <c r="B42" s="51" t="s">
        <v>85</v>
      </c>
      <c r="C42" s="55"/>
      <c r="D42" s="55"/>
      <c r="E42" s="55"/>
      <c r="F42" s="55"/>
      <c r="G42" s="55"/>
      <c r="R42" s="51" t="s">
        <v>85</v>
      </c>
      <c r="AH42" s="48" t="s">
        <v>84</v>
      </c>
      <c r="AI42" s="51" t="s">
        <v>85</v>
      </c>
    </row>
    <row r="43" spans="1:35">
      <c r="A43" s="57">
        <v>1</v>
      </c>
      <c r="B43" s="56" t="s">
        <v>86</v>
      </c>
      <c r="C43" s="54">
        <f>标准成本!E5</f>
        <v>170.94</v>
      </c>
      <c r="D43" s="54">
        <f>标准成本!E19</f>
        <v>63.524999999999999</v>
      </c>
      <c r="E43" s="54">
        <f>标准成本!E33</f>
        <v>0</v>
      </c>
      <c r="F43" s="54">
        <f>标准成本!E46</f>
        <v>0</v>
      </c>
      <c r="G43" s="55"/>
      <c r="R43" s="48" t="s">
        <v>86</v>
      </c>
      <c r="AH43" s="48" t="s">
        <v>22</v>
      </c>
      <c r="AI43" s="48" t="s">
        <v>86</v>
      </c>
    </row>
    <row r="44" spans="1:35">
      <c r="A44" s="57">
        <v>2</v>
      </c>
      <c r="B44" s="56" t="s">
        <v>87</v>
      </c>
      <c r="C44" s="54">
        <f>标准成本!E9</f>
        <v>37.74</v>
      </c>
      <c r="D44" s="54">
        <f>标准成本!E23</f>
        <v>14.025</v>
      </c>
      <c r="E44" s="54">
        <f>标准成本!E37</f>
        <v>0</v>
      </c>
      <c r="F44" s="54">
        <f>标准成本!E50</f>
        <v>0</v>
      </c>
      <c r="G44" s="55"/>
      <c r="R44" s="48" t="s">
        <v>87</v>
      </c>
      <c r="AH44" s="48" t="s">
        <v>24</v>
      </c>
      <c r="AI44" s="48" t="s">
        <v>87</v>
      </c>
    </row>
    <row r="45" spans="1:35">
      <c r="A45" s="57">
        <v>3</v>
      </c>
      <c r="B45" s="56" t="s">
        <v>88</v>
      </c>
      <c r="C45" s="60">
        <f>标准成本!E8</f>
        <v>51.06</v>
      </c>
      <c r="D45" s="60">
        <f>标准成本!E22</f>
        <v>18.975000000000001</v>
      </c>
      <c r="E45" s="60">
        <f>标准成本!E36</f>
        <v>0</v>
      </c>
      <c r="F45" s="60">
        <f>标准成本!E49</f>
        <v>0</v>
      </c>
      <c r="G45" s="55"/>
      <c r="R45" s="48" t="s">
        <v>88</v>
      </c>
      <c r="AH45" s="48" t="s">
        <v>72</v>
      </c>
      <c r="AI45" s="48" t="s">
        <v>88</v>
      </c>
    </row>
    <row r="46" spans="1:35" s="43" customFormat="1">
      <c r="A46" s="57">
        <v>4</v>
      </c>
      <c r="B46" s="56" t="s">
        <v>89</v>
      </c>
      <c r="C46" s="60">
        <f>C21/C6</f>
        <v>2650</v>
      </c>
      <c r="D46" s="60">
        <f t="shared" ref="D46:F46" si="24">D21/D6</f>
        <v>2650</v>
      </c>
      <c r="E46" s="60" t="e">
        <f t="shared" si="24"/>
        <v>#DIV/0!</v>
      </c>
      <c r="F46" s="60" t="e">
        <f t="shared" si="24"/>
        <v>#DIV/0!</v>
      </c>
      <c r="G46" s="60"/>
      <c r="R46" s="56" t="s">
        <v>91</v>
      </c>
      <c r="AH46" s="56" t="s">
        <v>30</v>
      </c>
      <c r="AI46" s="56" t="s">
        <v>91</v>
      </c>
    </row>
    <row r="47" spans="1:35" s="43" customFormat="1">
      <c r="A47" s="57">
        <v>5</v>
      </c>
      <c r="B47" s="56" t="s">
        <v>91</v>
      </c>
      <c r="C47" s="60">
        <f>标准成本!E11</f>
        <v>111</v>
      </c>
      <c r="D47" s="60">
        <f>标准成本!E25</f>
        <v>41.25</v>
      </c>
      <c r="E47" s="60">
        <f>标准成本!E39</f>
        <v>0</v>
      </c>
      <c r="F47" s="60">
        <f>标准成本!E52</f>
        <v>0</v>
      </c>
      <c r="G47" s="60"/>
      <c r="R47" s="56" t="s">
        <v>91</v>
      </c>
      <c r="AH47" s="56" t="s">
        <v>30</v>
      </c>
      <c r="AI47" s="56" t="s">
        <v>91</v>
      </c>
    </row>
    <row r="48" spans="1:35">
      <c r="A48" s="48" t="s">
        <v>84</v>
      </c>
      <c r="B48" s="51" t="s">
        <v>102</v>
      </c>
      <c r="C48" s="55">
        <f>C40-C43-C44-C45-C47-C46</f>
        <v>-2375.67</v>
      </c>
      <c r="D48" s="55">
        <f t="shared" ref="D48:F48" si="25">D40-D43-D44-D45-D47-D46</f>
        <v>-2573.6799999999998</v>
      </c>
      <c r="E48" s="55" t="e">
        <f t="shared" si="25"/>
        <v>#DIV/0!</v>
      </c>
      <c r="F48" s="55" t="e">
        <f t="shared" si="25"/>
        <v>#DIV/0!</v>
      </c>
      <c r="G48" s="55"/>
      <c r="R48" s="51" t="s">
        <v>102</v>
      </c>
      <c r="AH48" s="48" t="s">
        <v>101</v>
      </c>
      <c r="AI48" s="51" t="s">
        <v>102</v>
      </c>
    </row>
    <row r="51" spans="2:12">
      <c r="C51" s="61"/>
      <c r="D51" s="61"/>
      <c r="E51" s="61"/>
      <c r="F51" s="61"/>
    </row>
    <row r="54" spans="2:12">
      <c r="B54" s="62"/>
      <c r="C54" s="63"/>
      <c r="D54" s="63"/>
      <c r="E54" s="63"/>
      <c r="F54" s="63"/>
      <c r="G54" s="63"/>
      <c r="H54" s="62"/>
      <c r="I54" s="62"/>
      <c r="J54" s="62"/>
      <c r="K54" s="62"/>
      <c r="L54" s="62"/>
    </row>
    <row r="55" spans="2:12">
      <c r="B55" s="62"/>
      <c r="C55" s="63"/>
      <c r="D55" s="63"/>
      <c r="E55" s="63"/>
      <c r="F55" s="63"/>
      <c r="G55" s="63"/>
      <c r="H55" s="62"/>
      <c r="I55" s="62"/>
      <c r="J55" s="62"/>
      <c r="K55" s="62"/>
      <c r="L55" s="62"/>
    </row>
    <row r="56" spans="2:12">
      <c r="B56" s="62"/>
      <c r="C56" s="63"/>
      <c r="D56" s="63"/>
      <c r="E56" s="63"/>
      <c r="F56" s="63"/>
      <c r="G56" s="63"/>
      <c r="H56" s="62"/>
      <c r="I56" s="62"/>
      <c r="J56" s="62"/>
      <c r="K56" s="62"/>
      <c r="L56" s="62"/>
    </row>
    <row r="57" spans="2:12">
      <c r="B57" s="62"/>
      <c r="C57" s="63"/>
      <c r="D57" s="63"/>
      <c r="E57" s="63"/>
      <c r="F57" s="63"/>
      <c r="G57" s="63"/>
      <c r="H57" s="62"/>
      <c r="I57" s="62"/>
      <c r="J57" s="62"/>
      <c r="K57" s="62"/>
      <c r="L57" s="62"/>
    </row>
    <row r="58" spans="2:12">
      <c r="B58" s="62"/>
      <c r="C58" s="63"/>
      <c r="D58" s="63"/>
      <c r="E58" s="63"/>
      <c r="F58" s="63"/>
      <c r="G58" s="63"/>
      <c r="H58" s="62"/>
      <c r="I58" s="62"/>
      <c r="J58" s="62"/>
      <c r="K58" s="62"/>
      <c r="L58" s="62"/>
    </row>
    <row r="59" spans="2:12">
      <c r="B59" s="62"/>
      <c r="C59" s="63"/>
      <c r="D59" s="63"/>
      <c r="E59" s="63"/>
      <c r="F59" s="63"/>
      <c r="G59" s="63"/>
      <c r="H59" s="62"/>
      <c r="I59" s="62"/>
      <c r="J59" s="62"/>
      <c r="K59" s="62"/>
      <c r="L59" s="62"/>
    </row>
    <row r="60" spans="2:12">
      <c r="B60" s="62"/>
      <c r="C60" s="63"/>
      <c r="D60" s="63"/>
      <c r="E60" s="63"/>
      <c r="F60" s="63"/>
      <c r="G60" s="63"/>
      <c r="H60" s="62"/>
      <c r="I60" s="62"/>
      <c r="J60" s="62"/>
      <c r="K60" s="62"/>
      <c r="L60" s="62"/>
    </row>
    <row r="61" spans="2:12">
      <c r="B61" s="62"/>
      <c r="C61" s="63"/>
      <c r="D61" s="63"/>
      <c r="E61" s="63"/>
      <c r="F61" s="63"/>
      <c r="G61" s="63"/>
      <c r="H61" s="62"/>
      <c r="I61" s="62"/>
      <c r="J61" s="62"/>
      <c r="K61" s="62"/>
      <c r="L61" s="62"/>
    </row>
    <row r="62" spans="2:12">
      <c r="B62" s="62"/>
      <c r="C62" s="63"/>
      <c r="D62" s="63"/>
      <c r="E62" s="63"/>
      <c r="F62" s="63"/>
      <c r="G62" s="63"/>
      <c r="H62" s="62"/>
      <c r="I62" s="62"/>
      <c r="J62" s="62"/>
      <c r="K62" s="62"/>
      <c r="L62" s="62"/>
    </row>
    <row r="63" spans="2:12">
      <c r="B63" s="62"/>
      <c r="C63" s="63"/>
      <c r="D63" s="63"/>
      <c r="E63" s="63"/>
      <c r="F63" s="63"/>
      <c r="G63" s="63"/>
      <c r="H63" s="62"/>
      <c r="I63" s="62"/>
      <c r="J63" s="62"/>
      <c r="K63" s="62"/>
      <c r="L63" s="62"/>
    </row>
    <row r="64" spans="2:12">
      <c r="B64" s="62"/>
      <c r="C64" s="63"/>
      <c r="D64" s="63"/>
      <c r="E64" s="63"/>
      <c r="F64" s="63"/>
      <c r="G64" s="63"/>
      <c r="H64" s="62"/>
      <c r="I64" s="62"/>
      <c r="J64" s="62"/>
      <c r="K64" s="62"/>
      <c r="L64" s="62"/>
    </row>
    <row r="65" spans="2:12">
      <c r="B65" s="62"/>
      <c r="C65" s="63"/>
      <c r="D65" s="63"/>
      <c r="E65" s="63"/>
      <c r="F65" s="63"/>
      <c r="G65" s="63"/>
      <c r="H65" s="62"/>
      <c r="I65" s="62"/>
      <c r="J65" s="62"/>
      <c r="K65" s="62"/>
      <c r="L65" s="62"/>
    </row>
    <row r="66" spans="2:12">
      <c r="B66" s="62"/>
      <c r="C66" s="63"/>
      <c r="D66" s="63"/>
      <c r="E66" s="63"/>
      <c r="F66" s="63"/>
      <c r="G66" s="63"/>
      <c r="H66" s="62"/>
      <c r="I66" s="62"/>
      <c r="J66" s="62"/>
      <c r="K66" s="62"/>
      <c r="L66" s="62"/>
    </row>
    <row r="67" spans="2:12">
      <c r="B67" s="62"/>
      <c r="C67" s="63"/>
      <c r="D67" s="63"/>
      <c r="E67" s="63"/>
      <c r="F67" s="63"/>
      <c r="G67" s="63"/>
      <c r="H67" s="62"/>
    </row>
    <row r="68" spans="2:12">
      <c r="B68" s="62"/>
      <c r="C68" s="63"/>
      <c r="D68" s="63"/>
      <c r="E68" s="63"/>
      <c r="F68" s="63"/>
      <c r="G68" s="63"/>
      <c r="H68" s="62"/>
    </row>
    <row r="69" spans="2:12">
      <c r="B69" s="62"/>
      <c r="C69" s="63"/>
      <c r="D69" s="63"/>
      <c r="E69" s="63"/>
      <c r="F69" s="63"/>
      <c r="G69" s="63"/>
      <c r="H69" s="62"/>
    </row>
    <row r="70" spans="2:12">
      <c r="B70" s="62"/>
      <c r="C70" s="63"/>
      <c r="D70" s="63"/>
      <c r="E70" s="63"/>
      <c r="F70" s="63"/>
      <c r="G70" s="63"/>
      <c r="H70" s="62"/>
    </row>
    <row r="71" spans="2:12">
      <c r="B71" s="62"/>
      <c r="C71" s="63"/>
      <c r="D71" s="63"/>
      <c r="E71" s="63"/>
      <c r="F71" s="63"/>
      <c r="G71" s="63"/>
      <c r="H71" s="62"/>
    </row>
    <row r="72" spans="2:12">
      <c r="B72" s="62"/>
      <c r="C72" s="63"/>
      <c r="D72" s="63"/>
      <c r="E72" s="63"/>
      <c r="F72" s="63"/>
      <c r="G72" s="63"/>
      <c r="H72" s="62"/>
    </row>
    <row r="73" spans="2:12">
      <c r="B73" s="62"/>
      <c r="C73" s="63"/>
      <c r="D73" s="63"/>
      <c r="E73" s="63"/>
      <c r="F73" s="63"/>
      <c r="G73" s="63"/>
      <c r="H73" s="62"/>
    </row>
    <row r="74" spans="2:12">
      <c r="B74" s="62"/>
      <c r="C74" s="63"/>
      <c r="D74" s="63"/>
      <c r="E74" s="63"/>
      <c r="F74" s="63"/>
      <c r="G74" s="63"/>
      <c r="H74" s="62"/>
    </row>
  </sheetData>
  <mergeCells count="8">
    <mergeCell ref="A4:B4"/>
    <mergeCell ref="A5:B5"/>
    <mergeCell ref="G3:G5"/>
    <mergeCell ref="A1:B1"/>
    <mergeCell ref="C1:G1"/>
    <mergeCell ref="A2:B2"/>
    <mergeCell ref="C2:G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7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44" customWidth="1"/>
    <col min="2" max="2" width="17.5" style="44" customWidth="1"/>
    <col min="3" max="3" width="13.25" style="45" customWidth="1"/>
    <col min="4" max="4" width="16.75" style="45" customWidth="1"/>
    <col min="5" max="6" width="13.25" style="45" customWidth="1"/>
    <col min="7" max="7" width="18.75" style="45" customWidth="1"/>
    <col min="8" max="8" width="12.375" style="44" customWidth="1"/>
    <col min="9" max="9" width="10.125" style="44" customWidth="1"/>
    <col min="10" max="16" width="9" style="44" customWidth="1"/>
    <col min="17" max="33" width="9" style="44"/>
    <col min="34" max="34" width="4.375" style="44" customWidth="1"/>
    <col min="35" max="35" width="13.875" style="44" customWidth="1"/>
    <col min="36" max="16384" width="9" style="44"/>
  </cols>
  <sheetData>
    <row r="1" spans="1:36">
      <c r="A1" s="217" t="s">
        <v>142</v>
      </c>
      <c r="B1" s="217"/>
      <c r="C1" s="221" t="s">
        <v>232</v>
      </c>
      <c r="D1" s="222"/>
      <c r="E1" s="222"/>
      <c r="F1" s="222"/>
      <c r="G1" s="223"/>
    </row>
    <row r="2" spans="1:36">
      <c r="A2" s="217" t="s">
        <v>143</v>
      </c>
      <c r="B2" s="217"/>
      <c r="C2" s="224" t="str">
        <f>'2023年'!C2:G2</f>
        <v>陕重汽</v>
      </c>
      <c r="D2" s="224"/>
      <c r="E2" s="224"/>
      <c r="F2" s="224"/>
      <c r="G2" s="224"/>
    </row>
    <row r="3" spans="1:36" ht="28.5">
      <c r="A3" s="217" t="s">
        <v>144</v>
      </c>
      <c r="B3" s="217"/>
      <c r="C3" s="156" t="str">
        <f>销量!C5</f>
        <v>左空气悬浮座椅总成</v>
      </c>
      <c r="D3" s="156" t="str">
        <f>销量!D5</f>
        <v>右翻板式座椅总成</v>
      </c>
      <c r="E3" s="156">
        <f>销量!E5</f>
        <v>0</v>
      </c>
      <c r="F3" s="156">
        <f>销量!F5</f>
        <v>0</v>
      </c>
      <c r="G3" s="218" t="s">
        <v>18</v>
      </c>
    </row>
    <row r="4" spans="1:36">
      <c r="A4" s="217" t="s">
        <v>145</v>
      </c>
      <c r="B4" s="217"/>
      <c r="C4" s="156" t="str">
        <f>销量!C6</f>
        <v>ZZ16251510101</v>
      </c>
      <c r="D4" s="156" t="str">
        <f>销量!D6</f>
        <v>ZZ16251510102</v>
      </c>
      <c r="E4" s="156">
        <f>销量!E6</f>
        <v>0</v>
      </c>
      <c r="F4" s="156">
        <f>销量!F6</f>
        <v>0</v>
      </c>
      <c r="G4" s="219"/>
    </row>
    <row r="5" spans="1:36">
      <c r="A5" s="217" t="s">
        <v>146</v>
      </c>
      <c r="B5" s="217"/>
      <c r="C5" s="47"/>
      <c r="D5" s="47"/>
      <c r="E5" s="47"/>
      <c r="F5" s="190"/>
      <c r="G5" s="220"/>
      <c r="AJ5" s="44" t="s">
        <v>19</v>
      </c>
    </row>
    <row r="6" spans="1:36" ht="17.25">
      <c r="A6" s="48" t="s">
        <v>16</v>
      </c>
      <c r="B6" s="49" t="s">
        <v>147</v>
      </c>
      <c r="C6" s="21">
        <f>销量!C10</f>
        <v>800</v>
      </c>
      <c r="D6" s="21">
        <f>销量!D10</f>
        <v>800</v>
      </c>
      <c r="E6" s="21">
        <f>销量!E10</f>
        <v>0</v>
      </c>
      <c r="F6" s="21">
        <f>销量!F10</f>
        <v>0</v>
      </c>
      <c r="G6" s="50">
        <f t="shared" ref="G6:G15" si="0">SUM(C6:F6)</f>
        <v>1600</v>
      </c>
      <c r="R6" s="49" t="s">
        <v>3</v>
      </c>
      <c r="AH6" s="48" t="s">
        <v>16</v>
      </c>
      <c r="AI6" s="49" t="s">
        <v>3</v>
      </c>
      <c r="AJ6" s="44" t="s">
        <v>20</v>
      </c>
    </row>
    <row r="7" spans="1:36">
      <c r="A7" s="155">
        <v>1</v>
      </c>
      <c r="B7" s="49" t="s">
        <v>21</v>
      </c>
      <c r="C7" s="50">
        <f>C6*销量!C8</f>
        <v>1776000</v>
      </c>
      <c r="D7" s="50">
        <f>D6*销量!D8</f>
        <v>660000</v>
      </c>
      <c r="E7" s="50">
        <f>E6*销量!E8</f>
        <v>0</v>
      </c>
      <c r="F7" s="50">
        <f>F6*销量!F8</f>
        <v>0</v>
      </c>
      <c r="G7" s="50">
        <f t="shared" si="0"/>
        <v>2436000</v>
      </c>
      <c r="H7" s="45"/>
      <c r="R7" s="49" t="s">
        <v>21</v>
      </c>
      <c r="AH7" s="48" t="s">
        <v>22</v>
      </c>
      <c r="AI7" s="49" t="s">
        <v>21</v>
      </c>
      <c r="AJ7" s="44" t="s">
        <v>20</v>
      </c>
    </row>
    <row r="8" spans="1:36">
      <c r="A8" s="155">
        <v>2</v>
      </c>
      <c r="B8" s="155" t="s">
        <v>23</v>
      </c>
      <c r="C8" s="50">
        <f>C7*(1-销量!$L$7)</f>
        <v>88800.000000000073</v>
      </c>
      <c r="D8" s="50">
        <f>D7*(1-销量!$L$7)</f>
        <v>33000.000000000029</v>
      </c>
      <c r="E8" s="50">
        <f>E7*(1-销量!$L$7)</f>
        <v>0</v>
      </c>
      <c r="F8" s="50">
        <f>F7*(1-销量!$L$7)</f>
        <v>0</v>
      </c>
      <c r="G8" s="50">
        <f t="shared" si="0"/>
        <v>121800.0000000001</v>
      </c>
      <c r="H8" s="64"/>
      <c r="R8" s="155" t="s">
        <v>25</v>
      </c>
      <c r="AH8" s="48" t="s">
        <v>24</v>
      </c>
      <c r="AI8" s="155" t="s">
        <v>25</v>
      </c>
      <c r="AJ8" s="44" t="s">
        <v>20</v>
      </c>
    </row>
    <row r="9" spans="1:36">
      <c r="A9" s="155">
        <v>3</v>
      </c>
      <c r="B9" s="49" t="s">
        <v>26</v>
      </c>
      <c r="C9" s="50">
        <f>+C7-C8</f>
        <v>1687200</v>
      </c>
      <c r="D9" s="50">
        <f t="shared" ref="D9:F9" si="1">+D7-D8</f>
        <v>627000</v>
      </c>
      <c r="E9" s="50">
        <f t="shared" si="1"/>
        <v>0</v>
      </c>
      <c r="F9" s="50">
        <f t="shared" si="1"/>
        <v>0</v>
      </c>
      <c r="G9" s="50">
        <f t="shared" si="0"/>
        <v>2314200</v>
      </c>
      <c r="R9" s="49" t="s">
        <v>26</v>
      </c>
      <c r="AH9" s="48" t="s">
        <v>27</v>
      </c>
      <c r="AI9" s="49" t="s">
        <v>26</v>
      </c>
      <c r="AJ9" s="44" t="s">
        <v>28</v>
      </c>
    </row>
    <row r="10" spans="1:36">
      <c r="A10" s="155">
        <v>4</v>
      </c>
      <c r="B10" s="48" t="s">
        <v>29</v>
      </c>
      <c r="C10" s="50">
        <f>C6*C33</f>
        <v>1080530</v>
      </c>
      <c r="D10" s="50">
        <f t="shared" ref="D10:F10" si="2">D6*D33</f>
        <v>421024.79999999993</v>
      </c>
      <c r="E10" s="50">
        <f t="shared" si="2"/>
        <v>0</v>
      </c>
      <c r="F10" s="50">
        <f t="shared" si="2"/>
        <v>0</v>
      </c>
      <c r="G10" s="50">
        <f t="shared" si="0"/>
        <v>1501554.7999999998</v>
      </c>
      <c r="R10" s="48" t="s">
        <v>29</v>
      </c>
      <c r="AH10" s="48" t="s">
        <v>30</v>
      </c>
      <c r="AI10" s="48" t="s">
        <v>29</v>
      </c>
      <c r="AJ10" s="44" t="s">
        <v>31</v>
      </c>
    </row>
    <row r="11" spans="1:36">
      <c r="A11" s="155">
        <v>5</v>
      </c>
      <c r="B11" s="48" t="s">
        <v>32</v>
      </c>
      <c r="C11" s="50">
        <f>+C6*C36</f>
        <v>47952</v>
      </c>
      <c r="D11" s="50">
        <f>+D6*D36</f>
        <v>17820</v>
      </c>
      <c r="E11" s="50">
        <f t="shared" ref="E11:F11" si="3">+E6*E36</f>
        <v>0</v>
      </c>
      <c r="F11" s="50">
        <f t="shared" si="3"/>
        <v>0</v>
      </c>
      <c r="G11" s="50">
        <f t="shared" si="0"/>
        <v>65772</v>
      </c>
      <c r="R11" s="48" t="s">
        <v>32</v>
      </c>
      <c r="AH11" s="48" t="s">
        <v>33</v>
      </c>
      <c r="AI11" s="48" t="s">
        <v>32</v>
      </c>
    </row>
    <row r="12" spans="1:36">
      <c r="A12" s="155">
        <v>6</v>
      </c>
      <c r="B12" s="48" t="s">
        <v>34</v>
      </c>
      <c r="C12" s="50">
        <f>+C6*C37</f>
        <v>23088</v>
      </c>
      <c r="D12" s="50">
        <f t="shared" ref="D12:E12" si="4">+D6*D37</f>
        <v>8580</v>
      </c>
      <c r="E12" s="50">
        <f t="shared" si="4"/>
        <v>0</v>
      </c>
      <c r="F12" s="50">
        <f t="shared" ref="F12" si="5">+F6*F37</f>
        <v>0</v>
      </c>
      <c r="G12" s="50">
        <f t="shared" si="0"/>
        <v>31668</v>
      </c>
      <c r="R12" s="48" t="s">
        <v>34</v>
      </c>
      <c r="AH12" s="48" t="s">
        <v>35</v>
      </c>
      <c r="AI12" s="48" t="s">
        <v>34</v>
      </c>
    </row>
    <row r="13" spans="1:36">
      <c r="A13" s="155">
        <v>7</v>
      </c>
      <c r="B13" s="48" t="s">
        <v>36</v>
      </c>
      <c r="C13" s="50">
        <f>+C6*C38</f>
        <v>51504.000000000007</v>
      </c>
      <c r="D13" s="50">
        <f t="shared" ref="D13:E13" si="6">+D6*D38</f>
        <v>19140</v>
      </c>
      <c r="E13" s="50">
        <f t="shared" si="6"/>
        <v>0</v>
      </c>
      <c r="F13" s="50">
        <f t="shared" ref="F13" si="7">+F6*F38</f>
        <v>0</v>
      </c>
      <c r="G13" s="50">
        <f t="shared" si="0"/>
        <v>70644</v>
      </c>
      <c r="R13" s="48" t="s">
        <v>36</v>
      </c>
      <c r="AH13" s="48" t="s">
        <v>37</v>
      </c>
      <c r="AI13" s="48" t="s">
        <v>36</v>
      </c>
      <c r="AJ13" s="44" t="s">
        <v>20</v>
      </c>
    </row>
    <row r="14" spans="1:36">
      <c r="A14" s="155">
        <v>8</v>
      </c>
      <c r="B14" s="51" t="s">
        <v>38</v>
      </c>
      <c r="C14" s="50">
        <f>SUM(C11:C13)</f>
        <v>122544</v>
      </c>
      <c r="D14" s="50">
        <f t="shared" ref="D14:F14" si="8">SUM(D11:D13)</f>
        <v>45540</v>
      </c>
      <c r="E14" s="50">
        <f t="shared" si="8"/>
        <v>0</v>
      </c>
      <c r="F14" s="50">
        <f t="shared" si="8"/>
        <v>0</v>
      </c>
      <c r="G14" s="50">
        <f t="shared" si="0"/>
        <v>168084</v>
      </c>
      <c r="R14" s="51" t="s">
        <v>38</v>
      </c>
      <c r="AH14" s="48" t="s">
        <v>39</v>
      </c>
      <c r="AI14" s="51" t="s">
        <v>38</v>
      </c>
    </row>
    <row r="15" spans="1:36">
      <c r="A15" s="155">
        <v>9</v>
      </c>
      <c r="B15" s="51" t="s">
        <v>40</v>
      </c>
      <c r="C15" s="50">
        <f>+C9-C10-C14</f>
        <v>484126</v>
      </c>
      <c r="D15" s="50">
        <f t="shared" ref="D15:F15" si="9">+D9-D10-D14</f>
        <v>160435.20000000007</v>
      </c>
      <c r="E15" s="50">
        <f t="shared" si="9"/>
        <v>0</v>
      </c>
      <c r="F15" s="50">
        <f t="shared" si="9"/>
        <v>0</v>
      </c>
      <c r="G15" s="50">
        <f t="shared" si="0"/>
        <v>644561.20000000007</v>
      </c>
      <c r="R15" s="51" t="s">
        <v>40</v>
      </c>
      <c r="AH15" s="48" t="s">
        <v>41</v>
      </c>
      <c r="AI15" s="51" t="s">
        <v>40</v>
      </c>
    </row>
    <row r="16" spans="1:36">
      <c r="A16" s="155">
        <v>10</v>
      </c>
      <c r="B16" s="48" t="s">
        <v>42</v>
      </c>
      <c r="C16" s="52">
        <f>+C15/C9</f>
        <v>0.28694049312470365</v>
      </c>
      <c r="D16" s="52">
        <f t="shared" ref="D16:F16" si="10">+D15/D9</f>
        <v>0.25587751196172259</v>
      </c>
      <c r="E16" s="52" t="e">
        <f t="shared" si="10"/>
        <v>#DIV/0!</v>
      </c>
      <c r="F16" s="52" t="e">
        <f t="shared" si="10"/>
        <v>#DIV/0!</v>
      </c>
      <c r="G16" s="52">
        <f t="shared" ref="G16" si="11">+G15/G9</f>
        <v>0.27852441448448712</v>
      </c>
      <c r="R16" s="48" t="s">
        <v>42</v>
      </c>
      <c r="AH16" s="48" t="s">
        <v>43</v>
      </c>
      <c r="AI16" s="48" t="s">
        <v>42</v>
      </c>
    </row>
    <row r="17" spans="1:36">
      <c r="A17" s="155">
        <v>11</v>
      </c>
      <c r="B17" s="48" t="s">
        <v>44</v>
      </c>
      <c r="C17" s="50">
        <f>C6*C43+C18</f>
        <v>136752</v>
      </c>
      <c r="D17" s="50">
        <f t="shared" ref="D17:F17" si="12">D6*D43+D18</f>
        <v>50820</v>
      </c>
      <c r="E17" s="50">
        <f t="shared" si="12"/>
        <v>0</v>
      </c>
      <c r="F17" s="50">
        <f t="shared" si="12"/>
        <v>0</v>
      </c>
      <c r="G17" s="50">
        <f>SUM(C17:F17)</f>
        <v>187572</v>
      </c>
      <c r="H17" s="64"/>
      <c r="R17" s="48" t="s">
        <v>44</v>
      </c>
      <c r="AH17" s="48" t="s">
        <v>45</v>
      </c>
      <c r="AI17" s="48" t="s">
        <v>44</v>
      </c>
    </row>
    <row r="18" spans="1:36" s="42" customFormat="1">
      <c r="A18" s="155">
        <v>12</v>
      </c>
      <c r="B18" s="53" t="s">
        <v>148</v>
      </c>
      <c r="C18" s="54">
        <f>$G$18/$G$6*C6</f>
        <v>0</v>
      </c>
      <c r="D18" s="54">
        <f>$G$18/$G$6*D6</f>
        <v>0</v>
      </c>
      <c r="E18" s="54">
        <f>$G$18/$G$6*E6</f>
        <v>0</v>
      </c>
      <c r="F18" s="54">
        <f>$G$18/$G$6*F6</f>
        <v>0</v>
      </c>
      <c r="G18" s="54">
        <f>项目投资!D26</f>
        <v>0</v>
      </c>
      <c r="H18" s="65" t="s">
        <v>149</v>
      </c>
      <c r="I18" s="65"/>
      <c r="J18" s="65"/>
    </row>
    <row r="19" spans="1:36">
      <c r="A19" s="155">
        <v>13</v>
      </c>
      <c r="B19" s="48" t="s">
        <v>46</v>
      </c>
      <c r="C19" s="50">
        <f>C6*C44</f>
        <v>30192</v>
      </c>
      <c r="D19" s="50">
        <f t="shared" ref="D19:F19" si="13">D6*D44</f>
        <v>11220</v>
      </c>
      <c r="E19" s="50">
        <f t="shared" si="13"/>
        <v>0</v>
      </c>
      <c r="F19" s="50">
        <f t="shared" si="13"/>
        <v>0</v>
      </c>
      <c r="G19" s="50">
        <f>SUM(C19:F19)</f>
        <v>41412</v>
      </c>
      <c r="H19" s="42"/>
      <c r="R19" s="48" t="s">
        <v>46</v>
      </c>
      <c r="AH19" s="48" t="s">
        <v>47</v>
      </c>
      <c r="AI19" s="48" t="s">
        <v>46</v>
      </c>
      <c r="AJ19" s="44" t="s">
        <v>20</v>
      </c>
    </row>
    <row r="20" spans="1:36">
      <c r="A20" s="155">
        <v>14</v>
      </c>
      <c r="B20" s="48" t="s">
        <v>48</v>
      </c>
      <c r="C20" s="50">
        <f>C6*C45</f>
        <v>40848</v>
      </c>
      <c r="D20" s="50">
        <f t="shared" ref="D20:F20" si="14">D6*D45</f>
        <v>15180.000000000002</v>
      </c>
      <c r="E20" s="50">
        <f t="shared" si="14"/>
        <v>0</v>
      </c>
      <c r="F20" s="50">
        <f t="shared" si="14"/>
        <v>0</v>
      </c>
      <c r="G20" s="50">
        <f>SUM(C20:F20)</f>
        <v>56028</v>
      </c>
      <c r="R20" s="48" t="s">
        <v>48</v>
      </c>
      <c r="AH20" s="48" t="s">
        <v>49</v>
      </c>
      <c r="AI20" s="48" t="s">
        <v>48</v>
      </c>
    </row>
    <row r="21" spans="1:36">
      <c r="A21" s="155">
        <v>15</v>
      </c>
      <c r="B21" s="48" t="s">
        <v>50</v>
      </c>
      <c r="C21" s="55">
        <f>$G$21/$G$6*C6</f>
        <v>26500</v>
      </c>
      <c r="D21" s="55">
        <f>$G$21/$G$6*D6</f>
        <v>26500</v>
      </c>
      <c r="E21" s="55">
        <f>$G$21/$G$6*E6</f>
        <v>0</v>
      </c>
      <c r="F21" s="55">
        <f>$G$21/$G$6*F6</f>
        <v>0</v>
      </c>
      <c r="G21" s="50">
        <f>项目投资!D27</f>
        <v>53000</v>
      </c>
      <c r="R21" s="48" t="s">
        <v>50</v>
      </c>
      <c r="AH21" s="48"/>
      <c r="AI21" s="48"/>
    </row>
    <row r="22" spans="1:36">
      <c r="A22" s="155">
        <v>16</v>
      </c>
      <c r="B22" s="48" t="s">
        <v>51</v>
      </c>
      <c r="C22" s="50">
        <f>C6*C47</f>
        <v>88800</v>
      </c>
      <c r="D22" s="50">
        <f t="shared" ref="D22:F22" si="15">D6*D47</f>
        <v>33000</v>
      </c>
      <c r="E22" s="50">
        <f t="shared" si="15"/>
        <v>0</v>
      </c>
      <c r="F22" s="50">
        <f t="shared" si="15"/>
        <v>0</v>
      </c>
      <c r="G22" s="50">
        <f>SUM(C22:F22)</f>
        <v>121800</v>
      </c>
      <c r="R22" s="48" t="s">
        <v>51</v>
      </c>
      <c r="AH22" s="48" t="s">
        <v>52</v>
      </c>
      <c r="AI22" s="48" t="s">
        <v>51</v>
      </c>
    </row>
    <row r="23" spans="1:36">
      <c r="A23" s="155">
        <v>17</v>
      </c>
      <c r="B23" s="51" t="s">
        <v>53</v>
      </c>
      <c r="C23" s="55">
        <f>+C22+C21+C20+C19+C17</f>
        <v>323092</v>
      </c>
      <c r="D23" s="55">
        <f t="shared" ref="D23:F23" si="16">+D22+D21+D20+D19+D17</f>
        <v>136720</v>
      </c>
      <c r="E23" s="55">
        <f t="shared" si="16"/>
        <v>0</v>
      </c>
      <c r="F23" s="55">
        <f t="shared" si="16"/>
        <v>0</v>
      </c>
      <c r="G23" s="55">
        <f t="shared" ref="G23" si="17">+G22+G21+G20+G19+G17</f>
        <v>459812</v>
      </c>
      <c r="R23" s="51" t="s">
        <v>53</v>
      </c>
      <c r="AH23" s="48" t="s">
        <v>54</v>
      </c>
      <c r="AI23" s="51" t="s">
        <v>53</v>
      </c>
    </row>
    <row r="24" spans="1:36">
      <c r="A24" s="155">
        <v>18</v>
      </c>
      <c r="B24" s="56" t="s">
        <v>55</v>
      </c>
      <c r="C24" s="55">
        <f>+C15-C23</f>
        <v>161034</v>
      </c>
      <c r="D24" s="55">
        <f t="shared" ref="D24:F24" si="18">+D15-D23</f>
        <v>23715.20000000007</v>
      </c>
      <c r="E24" s="55">
        <f t="shared" si="18"/>
        <v>0</v>
      </c>
      <c r="F24" s="55">
        <f t="shared" si="18"/>
        <v>0</v>
      </c>
      <c r="G24" s="55">
        <f t="shared" ref="G24" si="19">+G15-G23</f>
        <v>184749.20000000007</v>
      </c>
      <c r="I24" s="66"/>
      <c r="R24" s="48" t="s">
        <v>55</v>
      </c>
      <c r="AH24" s="48" t="s">
        <v>56</v>
      </c>
      <c r="AI24" s="48" t="s">
        <v>55</v>
      </c>
    </row>
    <row r="25" spans="1:36">
      <c r="A25" s="155">
        <v>19</v>
      </c>
      <c r="B25" s="48" t="s">
        <v>231</v>
      </c>
      <c r="C25" s="55">
        <f t="shared" ref="C25:G25" si="20">IF(C24&lt;0,0,C24*0.15)</f>
        <v>24155.1</v>
      </c>
      <c r="D25" s="55">
        <f t="shared" si="20"/>
        <v>3557.2800000000102</v>
      </c>
      <c r="E25" s="55">
        <f t="shared" si="20"/>
        <v>0</v>
      </c>
      <c r="F25" s="55">
        <f t="shared" si="20"/>
        <v>0</v>
      </c>
      <c r="G25" s="55">
        <f t="shared" si="20"/>
        <v>27712.380000000008</v>
      </c>
      <c r="H25" s="62"/>
      <c r="I25" s="62"/>
      <c r="J25" s="62"/>
      <c r="R25" s="48" t="s">
        <v>57</v>
      </c>
      <c r="AH25" s="48" t="s">
        <v>58</v>
      </c>
      <c r="AI25" s="48" t="s">
        <v>57</v>
      </c>
    </row>
    <row r="26" spans="1:36">
      <c r="A26" s="155">
        <v>20</v>
      </c>
      <c r="B26" s="48" t="s">
        <v>59</v>
      </c>
      <c r="C26" s="55">
        <f t="shared" ref="C26:G26" si="21">C24-C25</f>
        <v>136878.9</v>
      </c>
      <c r="D26" s="55">
        <f t="shared" si="21"/>
        <v>20157.92000000006</v>
      </c>
      <c r="E26" s="55">
        <f t="shared" si="21"/>
        <v>0</v>
      </c>
      <c r="F26" s="55">
        <f t="shared" si="21"/>
        <v>0</v>
      </c>
      <c r="G26" s="55">
        <f t="shared" si="21"/>
        <v>157036.82000000007</v>
      </c>
      <c r="H26" s="62"/>
      <c r="I26" s="62"/>
      <c r="J26" s="62"/>
      <c r="R26" s="48" t="s">
        <v>59</v>
      </c>
      <c r="AH26" s="48" t="s">
        <v>60</v>
      </c>
      <c r="AI26" s="48" t="s">
        <v>59</v>
      </c>
    </row>
    <row r="27" spans="1:36">
      <c r="A27" s="155">
        <v>21</v>
      </c>
      <c r="B27" s="48" t="s">
        <v>63</v>
      </c>
      <c r="C27" s="125">
        <f t="shared" ref="C27:G27" si="22">C26/C7</f>
        <v>7.70714527027027E-2</v>
      </c>
      <c r="D27" s="125">
        <f t="shared" ref="D27:F27" si="23">D26/D7</f>
        <v>3.0542303030303121E-2</v>
      </c>
      <c r="E27" s="125" t="e">
        <f t="shared" si="23"/>
        <v>#DIV/0!</v>
      </c>
      <c r="F27" s="125" t="e">
        <f t="shared" si="23"/>
        <v>#DIV/0!</v>
      </c>
      <c r="G27" s="125">
        <f t="shared" si="22"/>
        <v>6.4465032840722525E-2</v>
      </c>
      <c r="H27" s="62"/>
      <c r="I27" s="62"/>
      <c r="J27" s="62"/>
      <c r="R27" s="48" t="s">
        <v>63</v>
      </c>
      <c r="AH27" s="48" t="s">
        <v>62</v>
      </c>
      <c r="AI27" s="48" t="s">
        <v>63</v>
      </c>
    </row>
    <row r="28" spans="1:36">
      <c r="H28" s="62"/>
      <c r="I28" s="62"/>
      <c r="J28" s="62"/>
      <c r="R28" s="48"/>
    </row>
    <row r="29" spans="1:36">
      <c r="A29" s="44" t="s">
        <v>64</v>
      </c>
      <c r="G29" s="45" t="s">
        <v>150</v>
      </c>
      <c r="H29" s="62"/>
      <c r="I29" s="62"/>
      <c r="J29" s="62"/>
      <c r="R29" s="48"/>
      <c r="AH29" s="44" t="s">
        <v>64</v>
      </c>
    </row>
    <row r="30" spans="1:36">
      <c r="A30" s="48" t="s">
        <v>67</v>
      </c>
      <c r="B30" s="51" t="s">
        <v>68</v>
      </c>
      <c r="C30" s="55"/>
      <c r="D30" s="55"/>
      <c r="E30" s="55"/>
      <c r="F30" s="55"/>
      <c r="G30" s="55"/>
      <c r="H30" s="62"/>
      <c r="I30" s="62"/>
      <c r="J30" s="62"/>
      <c r="L30" s="62"/>
      <c r="R30" s="51" t="s">
        <v>68</v>
      </c>
      <c r="AH30" s="48" t="s">
        <v>69</v>
      </c>
      <c r="AI30" s="51" t="s">
        <v>68</v>
      </c>
    </row>
    <row r="31" spans="1:36">
      <c r="A31" s="155">
        <v>1</v>
      </c>
      <c r="B31" s="53" t="s">
        <v>70</v>
      </c>
      <c r="C31" s="58">
        <f>销量!C8</f>
        <v>2220</v>
      </c>
      <c r="D31" s="58">
        <f>销量!D8</f>
        <v>825</v>
      </c>
      <c r="E31" s="58">
        <f>销量!E8</f>
        <v>0</v>
      </c>
      <c r="F31" s="58">
        <f>销量!F8</f>
        <v>0</v>
      </c>
      <c r="G31" s="55"/>
      <c r="H31" s="62"/>
      <c r="I31" s="62"/>
      <c r="J31" s="62"/>
      <c r="L31" s="62"/>
      <c r="R31" s="48" t="s">
        <v>70</v>
      </c>
      <c r="AH31" s="48" t="s">
        <v>22</v>
      </c>
      <c r="AI31" s="48" t="s">
        <v>70</v>
      </c>
    </row>
    <row r="32" spans="1:36">
      <c r="A32" s="155">
        <v>2</v>
      </c>
      <c r="B32" s="48" t="s">
        <v>151</v>
      </c>
      <c r="C32" s="50">
        <f>C9/C6</f>
        <v>2109</v>
      </c>
      <c r="D32" s="50">
        <f t="shared" ref="D32:F32" si="24">D9/D6</f>
        <v>783.75</v>
      </c>
      <c r="E32" s="50" t="e">
        <f t="shared" si="24"/>
        <v>#DIV/0!</v>
      </c>
      <c r="F32" s="50" t="e">
        <f t="shared" si="24"/>
        <v>#DIV/0!</v>
      </c>
      <c r="G32" s="55"/>
      <c r="H32" s="62"/>
      <c r="I32" s="62"/>
      <c r="J32" s="62"/>
      <c r="K32" s="62"/>
      <c r="L32" s="62"/>
      <c r="M32" s="62"/>
      <c r="N32" s="62"/>
      <c r="AH32" s="48"/>
      <c r="AI32" s="48"/>
    </row>
    <row r="33" spans="1:35">
      <c r="A33" s="155">
        <v>3</v>
      </c>
      <c r="B33" s="53" t="s">
        <v>71</v>
      </c>
      <c r="C33" s="50">
        <f>材料成本!D13</f>
        <v>1350.6624999999999</v>
      </c>
      <c r="D33" s="50">
        <f>材料成本!E13</f>
        <v>526.28099999999995</v>
      </c>
      <c r="E33" s="50">
        <f>材料成本!F13</f>
        <v>0</v>
      </c>
      <c r="F33" s="50">
        <f>材料成本!G13</f>
        <v>0</v>
      </c>
      <c r="G33" s="55"/>
      <c r="I33" s="62"/>
      <c r="J33" s="62"/>
      <c r="K33" s="62"/>
      <c r="L33" s="62"/>
      <c r="M33" s="62"/>
      <c r="N33" s="62"/>
      <c r="R33" s="48" t="s">
        <v>71</v>
      </c>
      <c r="AH33" s="48" t="s">
        <v>24</v>
      </c>
      <c r="AI33" s="48" t="s">
        <v>71</v>
      </c>
    </row>
    <row r="34" spans="1:35" ht="17.25" customHeight="1">
      <c r="A34" s="155">
        <v>4</v>
      </c>
      <c r="B34" s="48" t="s">
        <v>73</v>
      </c>
      <c r="C34" s="59">
        <f>C32-C33</f>
        <v>758.33750000000009</v>
      </c>
      <c r="D34" s="59">
        <f t="shared" ref="D34:F34" si="25">D32-D33</f>
        <v>257.46900000000005</v>
      </c>
      <c r="E34" s="59" t="e">
        <f t="shared" si="25"/>
        <v>#DIV/0!</v>
      </c>
      <c r="F34" s="59" t="e">
        <f t="shared" si="25"/>
        <v>#DIV/0!</v>
      </c>
      <c r="G34" s="55"/>
      <c r="I34" s="62"/>
      <c r="J34" s="62"/>
      <c r="K34" s="62"/>
      <c r="L34" s="62"/>
      <c r="M34" s="62"/>
      <c r="N34" s="62"/>
      <c r="R34" s="48" t="s">
        <v>73</v>
      </c>
      <c r="AH34" s="48" t="s">
        <v>72</v>
      </c>
      <c r="AI34" s="48" t="s">
        <v>73</v>
      </c>
    </row>
    <row r="35" spans="1:35">
      <c r="A35" s="48" t="s">
        <v>69</v>
      </c>
      <c r="B35" s="51" t="s">
        <v>9</v>
      </c>
      <c r="C35" s="55"/>
      <c r="D35" s="55"/>
      <c r="E35" s="55"/>
      <c r="F35" s="55"/>
      <c r="G35" s="5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51" t="s">
        <v>9</v>
      </c>
      <c r="AH35" s="48" t="s">
        <v>75</v>
      </c>
      <c r="AI35" s="51" t="s">
        <v>9</v>
      </c>
    </row>
    <row r="36" spans="1:35">
      <c r="A36" s="155">
        <v>1</v>
      </c>
      <c r="B36" s="48" t="s">
        <v>76</v>
      </c>
      <c r="C36" s="54">
        <f>'2023年'!C36</f>
        <v>59.94</v>
      </c>
      <c r="D36" s="54">
        <f>'2023年'!D36</f>
        <v>22.274999999999999</v>
      </c>
      <c r="E36" s="54">
        <f>'2023年'!E36</f>
        <v>0</v>
      </c>
      <c r="F36" s="54">
        <f>'2023年'!F36</f>
        <v>0</v>
      </c>
      <c r="G36" s="5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48" t="s">
        <v>76</v>
      </c>
      <c r="AH36" s="48" t="s">
        <v>72</v>
      </c>
      <c r="AI36" s="48" t="s">
        <v>76</v>
      </c>
    </row>
    <row r="37" spans="1:35">
      <c r="A37" s="155">
        <v>2</v>
      </c>
      <c r="B37" s="48" t="s">
        <v>77</v>
      </c>
      <c r="C37" s="54">
        <f>'2023年'!C37</f>
        <v>28.86</v>
      </c>
      <c r="D37" s="54">
        <f>'2023年'!D37</f>
        <v>10.725</v>
      </c>
      <c r="E37" s="54">
        <f>'2023年'!E37</f>
        <v>0</v>
      </c>
      <c r="F37" s="54">
        <f>'2023年'!F37</f>
        <v>0</v>
      </c>
      <c r="G37" s="5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48" t="s">
        <v>77</v>
      </c>
      <c r="AH37" s="48" t="s">
        <v>27</v>
      </c>
      <c r="AI37" s="48" t="s">
        <v>77</v>
      </c>
    </row>
    <row r="38" spans="1:35">
      <c r="A38" s="155">
        <v>3</v>
      </c>
      <c r="B38" s="48" t="s">
        <v>78</v>
      </c>
      <c r="C38" s="54">
        <f>'2023年'!C38</f>
        <v>64.38000000000001</v>
      </c>
      <c r="D38" s="54">
        <f>'2023年'!D38</f>
        <v>23.925000000000001</v>
      </c>
      <c r="E38" s="54">
        <f>'2023年'!E38</f>
        <v>0</v>
      </c>
      <c r="F38" s="54">
        <f>'2023年'!F38</f>
        <v>0</v>
      </c>
      <c r="G38" s="5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48" t="s">
        <v>78</v>
      </c>
      <c r="AH38" s="48" t="s">
        <v>33</v>
      </c>
      <c r="AI38" s="48" t="s">
        <v>78</v>
      </c>
    </row>
    <row r="39" spans="1:35">
      <c r="A39" s="48" t="s">
        <v>75</v>
      </c>
      <c r="B39" s="51" t="s">
        <v>80</v>
      </c>
      <c r="C39" s="55"/>
      <c r="D39" s="55"/>
      <c r="E39" s="55"/>
      <c r="F39" s="55"/>
      <c r="G39" s="55"/>
      <c r="R39" s="51" t="s">
        <v>80</v>
      </c>
      <c r="AH39" s="48" t="s">
        <v>79</v>
      </c>
      <c r="AI39" s="51" t="s">
        <v>80</v>
      </c>
    </row>
    <row r="40" spans="1:35">
      <c r="A40" s="155">
        <v>1</v>
      </c>
      <c r="B40" s="48" t="s">
        <v>82</v>
      </c>
      <c r="C40" s="55">
        <f>C34-C36-C37-C38</f>
        <v>605.15750000000003</v>
      </c>
      <c r="D40" s="55">
        <f t="shared" ref="D40:F40" si="26">D34-D36-D37-D38</f>
        <v>200.54400000000004</v>
      </c>
      <c r="E40" s="55" t="e">
        <f t="shared" si="26"/>
        <v>#DIV/0!</v>
      </c>
      <c r="F40" s="55" t="e">
        <f t="shared" si="26"/>
        <v>#DIV/0!</v>
      </c>
      <c r="G40" s="55"/>
      <c r="R40" s="48" t="s">
        <v>82</v>
      </c>
      <c r="AH40" s="48" t="s">
        <v>22</v>
      </c>
      <c r="AI40" s="48" t="s">
        <v>82</v>
      </c>
    </row>
    <row r="41" spans="1:35">
      <c r="A41" s="155">
        <v>2</v>
      </c>
      <c r="B41" s="48" t="s">
        <v>83</v>
      </c>
      <c r="C41" s="55"/>
      <c r="D41" s="55"/>
      <c r="E41" s="55"/>
      <c r="F41" s="55"/>
      <c r="G41" s="55"/>
      <c r="R41" s="48" t="s">
        <v>83</v>
      </c>
      <c r="AH41" s="48" t="s">
        <v>24</v>
      </c>
      <c r="AI41" s="48" t="s">
        <v>83</v>
      </c>
    </row>
    <row r="42" spans="1:35">
      <c r="A42" s="48" t="s">
        <v>79</v>
      </c>
      <c r="B42" s="51" t="s">
        <v>85</v>
      </c>
      <c r="C42" s="55"/>
      <c r="D42" s="55"/>
      <c r="E42" s="55"/>
      <c r="F42" s="55"/>
      <c r="G42" s="55"/>
      <c r="R42" s="51" t="s">
        <v>85</v>
      </c>
      <c r="AH42" s="48" t="s">
        <v>84</v>
      </c>
      <c r="AI42" s="51" t="s">
        <v>85</v>
      </c>
    </row>
    <row r="43" spans="1:35">
      <c r="A43" s="155">
        <v>1</v>
      </c>
      <c r="B43" s="56" t="s">
        <v>86</v>
      </c>
      <c r="C43" s="54">
        <f>'2023年'!C43</f>
        <v>170.94</v>
      </c>
      <c r="D43" s="54">
        <f>'2023年'!D43</f>
        <v>63.524999999999999</v>
      </c>
      <c r="E43" s="54">
        <f>'2023年'!E43</f>
        <v>0</v>
      </c>
      <c r="F43" s="54">
        <f>'2023年'!F43</f>
        <v>0</v>
      </c>
      <c r="G43" s="55"/>
      <c r="R43" s="48" t="s">
        <v>86</v>
      </c>
      <c r="AH43" s="48" t="s">
        <v>22</v>
      </c>
      <c r="AI43" s="48" t="s">
        <v>86</v>
      </c>
    </row>
    <row r="44" spans="1:35">
      <c r="A44" s="155">
        <v>2</v>
      </c>
      <c r="B44" s="56" t="s">
        <v>87</v>
      </c>
      <c r="C44" s="54">
        <f>'2023年'!C44</f>
        <v>37.74</v>
      </c>
      <c r="D44" s="54">
        <f>'2023年'!D44</f>
        <v>14.025</v>
      </c>
      <c r="E44" s="54">
        <f>'2023年'!E44</f>
        <v>0</v>
      </c>
      <c r="F44" s="54">
        <f>'2023年'!F44</f>
        <v>0</v>
      </c>
      <c r="G44" s="55"/>
      <c r="R44" s="48" t="s">
        <v>87</v>
      </c>
      <c r="AH44" s="48" t="s">
        <v>24</v>
      </c>
      <c r="AI44" s="48" t="s">
        <v>87</v>
      </c>
    </row>
    <row r="45" spans="1:35">
      <c r="A45" s="155">
        <v>3</v>
      </c>
      <c r="B45" s="56" t="s">
        <v>88</v>
      </c>
      <c r="C45" s="54">
        <f>'2023年'!C45</f>
        <v>51.06</v>
      </c>
      <c r="D45" s="54">
        <f>'2023年'!D45</f>
        <v>18.975000000000001</v>
      </c>
      <c r="E45" s="54">
        <f>'2023年'!E45</f>
        <v>0</v>
      </c>
      <c r="F45" s="54">
        <f>'2023年'!F45</f>
        <v>0</v>
      </c>
      <c r="G45" s="55"/>
      <c r="R45" s="48" t="s">
        <v>88</v>
      </c>
      <c r="AH45" s="48" t="s">
        <v>72</v>
      </c>
      <c r="AI45" s="48" t="s">
        <v>88</v>
      </c>
    </row>
    <row r="46" spans="1:35" s="43" customFormat="1">
      <c r="A46" s="155">
        <v>4</v>
      </c>
      <c r="B46" s="56" t="s">
        <v>89</v>
      </c>
      <c r="C46" s="60">
        <f>C21/C6</f>
        <v>33.125</v>
      </c>
      <c r="D46" s="60">
        <f t="shared" ref="D46:F46" si="27">D21/D6</f>
        <v>33.125</v>
      </c>
      <c r="E46" s="60" t="e">
        <f t="shared" si="27"/>
        <v>#DIV/0!</v>
      </c>
      <c r="F46" s="60" t="e">
        <f t="shared" si="27"/>
        <v>#DIV/0!</v>
      </c>
      <c r="G46" s="60"/>
      <c r="R46" s="56" t="s">
        <v>91</v>
      </c>
      <c r="AH46" s="56" t="s">
        <v>30</v>
      </c>
      <c r="AI46" s="56" t="s">
        <v>91</v>
      </c>
    </row>
    <row r="47" spans="1:35" s="43" customFormat="1">
      <c r="A47" s="155">
        <v>5</v>
      </c>
      <c r="B47" s="56" t="s">
        <v>91</v>
      </c>
      <c r="C47" s="60">
        <f>'2023年'!C47</f>
        <v>111</v>
      </c>
      <c r="D47" s="60">
        <f>'2023年'!D47</f>
        <v>41.25</v>
      </c>
      <c r="E47" s="60">
        <f>'2023年'!E47</f>
        <v>0</v>
      </c>
      <c r="F47" s="60">
        <f>'2023年'!F47</f>
        <v>0</v>
      </c>
      <c r="G47" s="60"/>
      <c r="R47" s="56" t="s">
        <v>91</v>
      </c>
      <c r="AH47" s="56" t="s">
        <v>30</v>
      </c>
      <c r="AI47" s="56" t="s">
        <v>91</v>
      </c>
    </row>
    <row r="48" spans="1:35">
      <c r="A48" s="48" t="s">
        <v>84</v>
      </c>
      <c r="B48" s="51" t="s">
        <v>102</v>
      </c>
      <c r="C48" s="55">
        <f>C40-C43-C44-C45-C47-C46</f>
        <v>201.29250000000002</v>
      </c>
      <c r="D48" s="55">
        <f t="shared" ref="D48:F48" si="28">D40-D43-D44-D45-D47-D46</f>
        <v>29.644000000000034</v>
      </c>
      <c r="E48" s="55" t="e">
        <f t="shared" si="28"/>
        <v>#DIV/0!</v>
      </c>
      <c r="F48" s="55" t="e">
        <f t="shared" si="28"/>
        <v>#DIV/0!</v>
      </c>
      <c r="G48" s="55"/>
      <c r="R48" s="51" t="s">
        <v>102</v>
      </c>
      <c r="AH48" s="48" t="s">
        <v>101</v>
      </c>
      <c r="AI48" s="51" t="s">
        <v>102</v>
      </c>
    </row>
    <row r="51" spans="2:12">
      <c r="C51" s="61"/>
      <c r="D51" s="61"/>
      <c r="E51" s="61"/>
      <c r="F51" s="61"/>
    </row>
    <row r="54" spans="2:12">
      <c r="B54" s="62"/>
      <c r="C54" s="63"/>
      <c r="D54" s="63"/>
      <c r="E54" s="63"/>
      <c r="F54" s="63"/>
      <c r="G54" s="63"/>
      <c r="H54" s="62"/>
      <c r="I54" s="62"/>
      <c r="J54" s="62"/>
      <c r="K54" s="62"/>
      <c r="L54" s="62"/>
    </row>
    <row r="55" spans="2:12">
      <c r="B55" s="62"/>
      <c r="C55" s="63"/>
      <c r="D55" s="63"/>
      <c r="E55" s="63"/>
      <c r="F55" s="63"/>
      <c r="G55" s="63"/>
      <c r="H55" s="62"/>
      <c r="I55" s="62"/>
      <c r="J55" s="62"/>
      <c r="K55" s="62"/>
      <c r="L55" s="62"/>
    </row>
    <row r="56" spans="2:12">
      <c r="B56" s="62"/>
      <c r="C56" s="63"/>
      <c r="D56" s="63"/>
      <c r="E56" s="63"/>
      <c r="F56" s="63"/>
      <c r="G56" s="63"/>
      <c r="H56" s="62"/>
      <c r="I56" s="62"/>
      <c r="J56" s="62"/>
      <c r="K56" s="62"/>
      <c r="L56" s="62"/>
    </row>
    <row r="57" spans="2:12">
      <c r="B57" s="62"/>
      <c r="C57" s="63"/>
      <c r="D57" s="63"/>
      <c r="E57" s="63"/>
      <c r="F57" s="63"/>
      <c r="G57" s="63"/>
      <c r="H57" s="62"/>
      <c r="I57" s="62"/>
      <c r="J57" s="62"/>
      <c r="K57" s="62"/>
      <c r="L57" s="62"/>
    </row>
    <row r="58" spans="2:12">
      <c r="B58" s="62"/>
      <c r="C58" s="63"/>
      <c r="D58" s="63"/>
      <c r="E58" s="63"/>
      <c r="F58" s="63"/>
      <c r="G58" s="63"/>
      <c r="H58" s="62"/>
      <c r="I58" s="62"/>
      <c r="J58" s="62"/>
      <c r="K58" s="62"/>
      <c r="L58" s="62"/>
    </row>
    <row r="59" spans="2:12">
      <c r="B59" s="62"/>
      <c r="C59" s="63"/>
      <c r="D59" s="63"/>
      <c r="E59" s="63"/>
      <c r="F59" s="63"/>
      <c r="G59" s="63"/>
      <c r="H59" s="62"/>
      <c r="I59" s="62"/>
      <c r="J59" s="62"/>
      <c r="K59" s="62"/>
      <c r="L59" s="62"/>
    </row>
    <row r="60" spans="2:12">
      <c r="B60" s="62"/>
      <c r="C60" s="63"/>
      <c r="D60" s="63"/>
      <c r="E60" s="63"/>
      <c r="F60" s="63"/>
      <c r="G60" s="63"/>
      <c r="H60" s="62"/>
      <c r="I60" s="62"/>
      <c r="J60" s="62"/>
      <c r="K60" s="62"/>
      <c r="L60" s="62"/>
    </row>
    <row r="61" spans="2:12">
      <c r="B61" s="62"/>
      <c r="C61" s="63"/>
      <c r="D61" s="63"/>
      <c r="E61" s="63"/>
      <c r="F61" s="63"/>
      <c r="G61" s="63"/>
      <c r="H61" s="62"/>
      <c r="I61" s="62"/>
      <c r="J61" s="62"/>
      <c r="K61" s="62"/>
      <c r="L61" s="62"/>
    </row>
    <row r="62" spans="2:12">
      <c r="B62" s="62"/>
      <c r="C62" s="63"/>
      <c r="D62" s="63"/>
      <c r="E62" s="63"/>
      <c r="F62" s="63"/>
      <c r="G62" s="63"/>
      <c r="H62" s="62"/>
      <c r="I62" s="62"/>
      <c r="J62" s="62"/>
      <c r="K62" s="62"/>
      <c r="L62" s="62"/>
    </row>
    <row r="63" spans="2:12">
      <c r="B63" s="62"/>
      <c r="C63" s="63"/>
      <c r="D63" s="63"/>
      <c r="E63" s="63"/>
      <c r="F63" s="63"/>
      <c r="G63" s="63"/>
      <c r="H63" s="62"/>
      <c r="I63" s="62"/>
      <c r="J63" s="62"/>
      <c r="K63" s="62"/>
      <c r="L63" s="62"/>
    </row>
    <row r="64" spans="2:12">
      <c r="B64" s="62"/>
      <c r="C64" s="63"/>
      <c r="D64" s="63"/>
      <c r="E64" s="63"/>
      <c r="F64" s="63"/>
      <c r="G64" s="63"/>
      <c r="H64" s="62"/>
      <c r="I64" s="62"/>
      <c r="J64" s="62"/>
      <c r="K64" s="62"/>
      <c r="L64" s="62"/>
    </row>
    <row r="65" spans="2:12">
      <c r="B65" s="62"/>
      <c r="C65" s="63"/>
      <c r="D65" s="63"/>
      <c r="E65" s="63"/>
      <c r="F65" s="63"/>
      <c r="G65" s="63"/>
      <c r="H65" s="62"/>
      <c r="I65" s="62"/>
      <c r="J65" s="62"/>
      <c r="K65" s="62"/>
      <c r="L65" s="62"/>
    </row>
    <row r="66" spans="2:12">
      <c r="B66" s="62"/>
      <c r="C66" s="63"/>
      <c r="D66" s="63"/>
      <c r="E66" s="63"/>
      <c r="F66" s="63"/>
      <c r="G66" s="63"/>
      <c r="H66" s="62"/>
      <c r="I66" s="62"/>
      <c r="J66" s="62"/>
      <c r="K66" s="62"/>
      <c r="L66" s="62"/>
    </row>
    <row r="67" spans="2:12">
      <c r="B67" s="62"/>
      <c r="C67" s="63"/>
      <c r="D67" s="63"/>
      <c r="E67" s="63"/>
      <c r="F67" s="63"/>
      <c r="G67" s="63"/>
      <c r="H67" s="62"/>
    </row>
    <row r="68" spans="2:12">
      <c r="B68" s="62"/>
      <c r="C68" s="63"/>
      <c r="D68" s="63"/>
      <c r="E68" s="63"/>
      <c r="F68" s="63"/>
      <c r="G68" s="63"/>
      <c r="H68" s="62"/>
    </row>
    <row r="69" spans="2:12">
      <c r="B69" s="62"/>
      <c r="C69" s="63"/>
      <c r="D69" s="63"/>
      <c r="E69" s="63"/>
      <c r="F69" s="63"/>
      <c r="G69" s="63"/>
      <c r="H69" s="62"/>
    </row>
    <row r="70" spans="2:12">
      <c r="B70" s="62"/>
      <c r="C70" s="63"/>
      <c r="D70" s="63"/>
      <c r="E70" s="63"/>
      <c r="F70" s="63"/>
      <c r="G70" s="63"/>
      <c r="H70" s="62"/>
    </row>
    <row r="71" spans="2:12">
      <c r="B71" s="62"/>
      <c r="C71" s="63"/>
      <c r="D71" s="63"/>
      <c r="E71" s="63"/>
      <c r="F71" s="63"/>
      <c r="G71" s="63"/>
      <c r="H71" s="62"/>
    </row>
    <row r="72" spans="2:12">
      <c r="B72" s="62"/>
      <c r="C72" s="63"/>
      <c r="D72" s="63"/>
      <c r="E72" s="63"/>
      <c r="F72" s="63"/>
      <c r="G72" s="63"/>
      <c r="H72" s="62"/>
    </row>
    <row r="73" spans="2:12">
      <c r="B73" s="62"/>
      <c r="C73" s="63"/>
      <c r="D73" s="63"/>
      <c r="E73" s="63"/>
      <c r="F73" s="63"/>
      <c r="G73" s="63"/>
      <c r="H73" s="62"/>
    </row>
    <row r="74" spans="2:12">
      <c r="B74" s="62"/>
      <c r="C74" s="63"/>
      <c r="D74" s="63"/>
      <c r="E74" s="63"/>
      <c r="F74" s="63"/>
      <c r="G74" s="63"/>
      <c r="H74" s="62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0" activePane="bottomRight" state="frozen"/>
      <selection pane="topRight"/>
      <selection pane="bottomLeft"/>
      <selection pane="bottomRight" activeCell="I27" sqref="I27"/>
    </sheetView>
  </sheetViews>
  <sheetFormatPr defaultColWidth="9" defaultRowHeight="16.5"/>
  <cols>
    <col min="1" max="1" width="5.125" style="44" customWidth="1"/>
    <col min="2" max="2" width="17.5" style="44" customWidth="1"/>
    <col min="3" max="3" width="13.25" style="45" customWidth="1"/>
    <col min="4" max="4" width="16.25" style="45" customWidth="1"/>
    <col min="5" max="6" width="13.25" style="45" customWidth="1"/>
    <col min="7" max="7" width="18.75" style="45" customWidth="1"/>
    <col min="8" max="8" width="12.375" style="44" customWidth="1"/>
    <col min="9" max="9" width="10.125" style="44" customWidth="1"/>
    <col min="10" max="16" width="9" style="44" customWidth="1"/>
    <col min="17" max="33" width="9" style="44"/>
    <col min="34" max="34" width="4.375" style="44" customWidth="1"/>
    <col min="35" max="35" width="13.875" style="44" customWidth="1"/>
    <col min="36" max="16384" width="9" style="44"/>
  </cols>
  <sheetData>
    <row r="1" spans="1:36">
      <c r="A1" s="217" t="s">
        <v>142</v>
      </c>
      <c r="B1" s="217"/>
      <c r="C1" s="221" t="s">
        <v>233</v>
      </c>
      <c r="D1" s="222"/>
      <c r="E1" s="222"/>
      <c r="F1" s="222"/>
      <c r="G1" s="223"/>
    </row>
    <row r="2" spans="1:36">
      <c r="A2" s="217" t="s">
        <v>143</v>
      </c>
      <c r="B2" s="217"/>
      <c r="C2" s="224" t="str">
        <f>'2023年'!C2:G2</f>
        <v>陕重汽</v>
      </c>
      <c r="D2" s="224"/>
      <c r="E2" s="224"/>
      <c r="F2" s="224"/>
      <c r="G2" s="224"/>
    </row>
    <row r="3" spans="1:36" ht="28.5">
      <c r="A3" s="217" t="s">
        <v>144</v>
      </c>
      <c r="B3" s="217"/>
      <c r="C3" s="156" t="str">
        <f>销量!C5</f>
        <v>左空气悬浮座椅总成</v>
      </c>
      <c r="D3" s="156" t="str">
        <f>销量!D5</f>
        <v>右翻板式座椅总成</v>
      </c>
      <c r="E3" s="156">
        <f>销量!E5</f>
        <v>0</v>
      </c>
      <c r="F3" s="156">
        <f>销量!F5</f>
        <v>0</v>
      </c>
      <c r="G3" s="218" t="s">
        <v>18</v>
      </c>
    </row>
    <row r="4" spans="1:36">
      <c r="A4" s="217" t="s">
        <v>145</v>
      </c>
      <c r="B4" s="217"/>
      <c r="C4" s="156" t="str">
        <f>销量!C6</f>
        <v>ZZ16251510101</v>
      </c>
      <c r="D4" s="156" t="str">
        <f>销量!D6</f>
        <v>ZZ16251510102</v>
      </c>
      <c r="E4" s="156">
        <f>销量!E6</f>
        <v>0</v>
      </c>
      <c r="F4" s="156">
        <f>销量!F6</f>
        <v>0</v>
      </c>
      <c r="G4" s="219"/>
    </row>
    <row r="5" spans="1:36">
      <c r="A5" s="217" t="s">
        <v>146</v>
      </c>
      <c r="B5" s="217"/>
      <c r="C5" s="47"/>
      <c r="D5" s="47"/>
      <c r="E5" s="47"/>
      <c r="F5" s="47"/>
      <c r="G5" s="220"/>
      <c r="AJ5" s="44" t="s">
        <v>19</v>
      </c>
    </row>
    <row r="6" spans="1:36" ht="17.25">
      <c r="A6" s="48" t="s">
        <v>16</v>
      </c>
      <c r="B6" s="49" t="s">
        <v>147</v>
      </c>
      <c r="C6" s="21">
        <f>销量!C11</f>
        <v>2000</v>
      </c>
      <c r="D6" s="21">
        <f>销量!D11</f>
        <v>2000</v>
      </c>
      <c r="E6" s="21">
        <f>销量!E11</f>
        <v>0</v>
      </c>
      <c r="F6" s="21">
        <f>销量!F11</f>
        <v>0</v>
      </c>
      <c r="G6" s="50">
        <f t="shared" ref="G6:G15" si="0">SUM(C6:F6)</f>
        <v>4000</v>
      </c>
      <c r="R6" s="49" t="s">
        <v>3</v>
      </c>
      <c r="AH6" s="48" t="s">
        <v>16</v>
      </c>
      <c r="AI6" s="49" t="s">
        <v>3</v>
      </c>
      <c r="AJ6" s="44" t="s">
        <v>20</v>
      </c>
    </row>
    <row r="7" spans="1:36">
      <c r="A7" s="155">
        <v>1</v>
      </c>
      <c r="B7" s="49" t="s">
        <v>21</v>
      </c>
      <c r="C7" s="50">
        <f>C6*销量!C8</f>
        <v>4440000</v>
      </c>
      <c r="D7" s="50">
        <f>D6*销量!D8</f>
        <v>1650000</v>
      </c>
      <c r="E7" s="50">
        <f>E6*销量!E8</f>
        <v>0</v>
      </c>
      <c r="F7" s="50">
        <f>F6*销量!F8</f>
        <v>0</v>
      </c>
      <c r="G7" s="50">
        <f t="shared" si="0"/>
        <v>6090000</v>
      </c>
      <c r="H7" s="45"/>
      <c r="R7" s="49" t="s">
        <v>21</v>
      </c>
      <c r="AH7" s="48" t="s">
        <v>22</v>
      </c>
      <c r="AI7" s="49" t="s">
        <v>21</v>
      </c>
      <c r="AJ7" s="44" t="s">
        <v>20</v>
      </c>
    </row>
    <row r="8" spans="1:36">
      <c r="A8" s="155">
        <v>2</v>
      </c>
      <c r="B8" s="155" t="s">
        <v>23</v>
      </c>
      <c r="C8" s="50">
        <f>C7*(1-销量!$L$8)</f>
        <v>432900.00000000012</v>
      </c>
      <c r="D8" s="50">
        <f>D7*(1-销量!$L$8)</f>
        <v>160875.00000000006</v>
      </c>
      <c r="E8" s="50">
        <f>E7*(1-销量!$L$8)</f>
        <v>0</v>
      </c>
      <c r="F8" s="50">
        <f>F7*(1-销量!$L$8)</f>
        <v>0</v>
      </c>
      <c r="G8" s="50">
        <f t="shared" si="0"/>
        <v>593775.00000000023</v>
      </c>
      <c r="H8" s="64"/>
      <c r="R8" s="155" t="s">
        <v>25</v>
      </c>
      <c r="AH8" s="48" t="s">
        <v>24</v>
      </c>
      <c r="AI8" s="155" t="s">
        <v>25</v>
      </c>
      <c r="AJ8" s="44" t="s">
        <v>20</v>
      </c>
    </row>
    <row r="9" spans="1:36">
      <c r="A9" s="155">
        <v>3</v>
      </c>
      <c r="B9" s="49" t="s">
        <v>26</v>
      </c>
      <c r="C9" s="50">
        <f>+C7-C8</f>
        <v>4007100</v>
      </c>
      <c r="D9" s="50">
        <f t="shared" ref="D9:F9" si="1">+D7-D8</f>
        <v>1489125</v>
      </c>
      <c r="E9" s="50">
        <f t="shared" si="1"/>
        <v>0</v>
      </c>
      <c r="F9" s="50">
        <f t="shared" si="1"/>
        <v>0</v>
      </c>
      <c r="G9" s="50">
        <f t="shared" si="0"/>
        <v>5496225</v>
      </c>
      <c r="R9" s="49" t="s">
        <v>26</v>
      </c>
      <c r="AH9" s="48" t="s">
        <v>27</v>
      </c>
      <c r="AI9" s="49" t="s">
        <v>26</v>
      </c>
      <c r="AJ9" s="44" t="s">
        <v>28</v>
      </c>
    </row>
    <row r="10" spans="1:36">
      <c r="A10" s="155">
        <v>4</v>
      </c>
      <c r="B10" s="48" t="s">
        <v>29</v>
      </c>
      <c r="C10" s="50">
        <f>C6*C33</f>
        <v>2566258.7499999995</v>
      </c>
      <c r="D10" s="50">
        <f t="shared" ref="D10:F10" si="2">D6*D33</f>
        <v>999933.89999999991</v>
      </c>
      <c r="E10" s="50">
        <f t="shared" si="2"/>
        <v>0</v>
      </c>
      <c r="F10" s="50">
        <f t="shared" si="2"/>
        <v>0</v>
      </c>
      <c r="G10" s="50">
        <f t="shared" si="0"/>
        <v>3566192.6499999994</v>
      </c>
      <c r="R10" s="48" t="s">
        <v>29</v>
      </c>
      <c r="AH10" s="48" t="s">
        <v>30</v>
      </c>
      <c r="AI10" s="48" t="s">
        <v>29</v>
      </c>
      <c r="AJ10" s="44" t="s">
        <v>31</v>
      </c>
    </row>
    <row r="11" spans="1:36">
      <c r="A11" s="155">
        <v>5</v>
      </c>
      <c r="B11" s="48" t="s">
        <v>32</v>
      </c>
      <c r="C11" s="50">
        <f>+C6*C36</f>
        <v>119880</v>
      </c>
      <c r="D11" s="50">
        <f t="shared" ref="D11:E11" si="3">+D6*D36</f>
        <v>44550</v>
      </c>
      <c r="E11" s="50">
        <f t="shared" si="3"/>
        <v>0</v>
      </c>
      <c r="F11" s="50">
        <f t="shared" ref="F11" si="4">+F6*F36</f>
        <v>0</v>
      </c>
      <c r="G11" s="50">
        <f t="shared" si="0"/>
        <v>164430</v>
      </c>
      <c r="R11" s="48" t="s">
        <v>32</v>
      </c>
      <c r="AH11" s="48" t="s">
        <v>33</v>
      </c>
      <c r="AI11" s="48" t="s">
        <v>32</v>
      </c>
    </row>
    <row r="12" spans="1:36">
      <c r="A12" s="155">
        <v>6</v>
      </c>
      <c r="B12" s="48" t="s">
        <v>34</v>
      </c>
      <c r="C12" s="50">
        <f>+C6*C37</f>
        <v>57720</v>
      </c>
      <c r="D12" s="50">
        <f t="shared" ref="D12:E12" si="5">+D6*D37</f>
        <v>21450</v>
      </c>
      <c r="E12" s="50">
        <f t="shared" si="5"/>
        <v>0</v>
      </c>
      <c r="F12" s="50">
        <f t="shared" ref="F12" si="6">+F6*F37</f>
        <v>0</v>
      </c>
      <c r="G12" s="50">
        <f t="shared" si="0"/>
        <v>79170</v>
      </c>
      <c r="R12" s="48" t="s">
        <v>34</v>
      </c>
      <c r="AH12" s="48" t="s">
        <v>35</v>
      </c>
      <c r="AI12" s="48" t="s">
        <v>34</v>
      </c>
    </row>
    <row r="13" spans="1:36">
      <c r="A13" s="155">
        <v>7</v>
      </c>
      <c r="B13" s="48" t="s">
        <v>36</v>
      </c>
      <c r="C13" s="50">
        <f>+C6*C38</f>
        <v>128760.00000000001</v>
      </c>
      <c r="D13" s="50">
        <f t="shared" ref="D13:E13" si="7">+D6*D38</f>
        <v>47850</v>
      </c>
      <c r="E13" s="50">
        <f t="shared" si="7"/>
        <v>0</v>
      </c>
      <c r="F13" s="50">
        <f t="shared" ref="F13" si="8">+F6*F38</f>
        <v>0</v>
      </c>
      <c r="G13" s="50">
        <f t="shared" si="0"/>
        <v>176610</v>
      </c>
      <c r="R13" s="48" t="s">
        <v>36</v>
      </c>
      <c r="AH13" s="48" t="s">
        <v>37</v>
      </c>
      <c r="AI13" s="48" t="s">
        <v>36</v>
      </c>
      <c r="AJ13" s="44" t="s">
        <v>20</v>
      </c>
    </row>
    <row r="14" spans="1:36">
      <c r="A14" s="155">
        <v>8</v>
      </c>
      <c r="B14" s="51" t="s">
        <v>38</v>
      </c>
      <c r="C14" s="50">
        <f>SUM(C11:C13)</f>
        <v>306360</v>
      </c>
      <c r="D14" s="50">
        <f t="shared" ref="D14:F14" si="9">SUM(D11:D13)</f>
        <v>113850</v>
      </c>
      <c r="E14" s="50">
        <f t="shared" si="9"/>
        <v>0</v>
      </c>
      <c r="F14" s="50">
        <f t="shared" si="9"/>
        <v>0</v>
      </c>
      <c r="G14" s="50">
        <f t="shared" si="0"/>
        <v>420210</v>
      </c>
      <c r="R14" s="51" t="s">
        <v>38</v>
      </c>
      <c r="AH14" s="48" t="s">
        <v>39</v>
      </c>
      <c r="AI14" s="51" t="s">
        <v>38</v>
      </c>
    </row>
    <row r="15" spans="1:36">
      <c r="A15" s="155">
        <v>9</v>
      </c>
      <c r="B15" s="51" t="s">
        <v>40</v>
      </c>
      <c r="C15" s="50">
        <f>+C9-C10-C14</f>
        <v>1134481.2500000005</v>
      </c>
      <c r="D15" s="50">
        <f t="shared" ref="D15:F15" si="10">+D9-D10-D14</f>
        <v>375341.10000000009</v>
      </c>
      <c r="E15" s="50">
        <f t="shared" si="10"/>
        <v>0</v>
      </c>
      <c r="F15" s="50">
        <f t="shared" si="10"/>
        <v>0</v>
      </c>
      <c r="G15" s="50">
        <f t="shared" si="0"/>
        <v>1509822.3500000006</v>
      </c>
      <c r="R15" s="51" t="s">
        <v>40</v>
      </c>
      <c r="AH15" s="48" t="s">
        <v>41</v>
      </c>
      <c r="AI15" s="51" t="s">
        <v>40</v>
      </c>
    </row>
    <row r="16" spans="1:36">
      <c r="A16" s="155">
        <v>10</v>
      </c>
      <c r="B16" s="48" t="s">
        <v>42</v>
      </c>
      <c r="C16" s="52">
        <f>+C15/C9</f>
        <v>0.2831177784432633</v>
      </c>
      <c r="D16" s="52">
        <f t="shared" ref="D16:F16" si="11">+D15/D9</f>
        <v>0.25205479728028213</v>
      </c>
      <c r="E16" s="52" t="e">
        <f t="shared" si="11"/>
        <v>#DIV/0!</v>
      </c>
      <c r="F16" s="52" t="e">
        <f t="shared" si="11"/>
        <v>#DIV/0!</v>
      </c>
      <c r="G16" s="52">
        <f t="shared" ref="G16" si="12">+G15/G9</f>
        <v>0.27470169980304676</v>
      </c>
      <c r="R16" s="48" t="s">
        <v>42</v>
      </c>
      <c r="AH16" s="48" t="s">
        <v>43</v>
      </c>
      <c r="AI16" s="48" t="s">
        <v>42</v>
      </c>
    </row>
    <row r="17" spans="1:36">
      <c r="A17" s="155">
        <v>11</v>
      </c>
      <c r="B17" s="48" t="s">
        <v>44</v>
      </c>
      <c r="C17" s="50">
        <f>C6*C43+C18</f>
        <v>341880</v>
      </c>
      <c r="D17" s="50">
        <f t="shared" ref="D17:F17" si="13">D6*D43+D18</f>
        <v>127050</v>
      </c>
      <c r="E17" s="50">
        <f t="shared" si="13"/>
        <v>0</v>
      </c>
      <c r="F17" s="50">
        <f t="shared" si="13"/>
        <v>0</v>
      </c>
      <c r="G17" s="50">
        <f>SUM(C17:F17)</f>
        <v>468930</v>
      </c>
      <c r="H17" s="64"/>
      <c r="R17" s="48" t="s">
        <v>44</v>
      </c>
      <c r="AH17" s="48" t="s">
        <v>45</v>
      </c>
      <c r="AI17" s="48" t="s">
        <v>44</v>
      </c>
    </row>
    <row r="18" spans="1:36" s="42" customFormat="1">
      <c r="A18" s="155">
        <v>12</v>
      </c>
      <c r="B18" s="53" t="s">
        <v>148</v>
      </c>
      <c r="C18" s="54">
        <f>$G$18/$G$6*C6</f>
        <v>0</v>
      </c>
      <c r="D18" s="54">
        <f>$G$18/$G$6*D6</f>
        <v>0</v>
      </c>
      <c r="E18" s="54">
        <f>$G$18/$G$6*E6</f>
        <v>0</v>
      </c>
      <c r="F18" s="54">
        <f>$G$18/$G$6*F6</f>
        <v>0</v>
      </c>
      <c r="G18" s="54">
        <f>项目投资!D26</f>
        <v>0</v>
      </c>
      <c r="H18" s="65" t="s">
        <v>149</v>
      </c>
      <c r="I18" s="65"/>
      <c r="J18" s="65"/>
    </row>
    <row r="19" spans="1:36">
      <c r="A19" s="155">
        <v>13</v>
      </c>
      <c r="B19" s="48" t="s">
        <v>46</v>
      </c>
      <c r="C19" s="50">
        <f>C6*C44</f>
        <v>75480</v>
      </c>
      <c r="D19" s="50">
        <f t="shared" ref="D19:F19" si="14">D6*D44</f>
        <v>28050</v>
      </c>
      <c r="E19" s="50">
        <f t="shared" si="14"/>
        <v>0</v>
      </c>
      <c r="F19" s="50">
        <f t="shared" si="14"/>
        <v>0</v>
      </c>
      <c r="G19" s="50">
        <f>SUM(C19:F19)</f>
        <v>103530</v>
      </c>
      <c r="H19" s="42"/>
      <c r="R19" s="48" t="s">
        <v>46</v>
      </c>
      <c r="AH19" s="48" t="s">
        <v>47</v>
      </c>
      <c r="AI19" s="48" t="s">
        <v>46</v>
      </c>
      <c r="AJ19" s="44" t="s">
        <v>20</v>
      </c>
    </row>
    <row r="20" spans="1:36">
      <c r="A20" s="155">
        <v>14</v>
      </c>
      <c r="B20" s="48" t="s">
        <v>48</v>
      </c>
      <c r="C20" s="50">
        <f>C6*C45</f>
        <v>102120</v>
      </c>
      <c r="D20" s="50">
        <f t="shared" ref="D20:F20" si="15">D6*D45</f>
        <v>37950</v>
      </c>
      <c r="E20" s="50">
        <f t="shared" si="15"/>
        <v>0</v>
      </c>
      <c r="F20" s="50">
        <f t="shared" si="15"/>
        <v>0</v>
      </c>
      <c r="G20" s="50">
        <f>SUM(C20:F20)</f>
        <v>140070</v>
      </c>
      <c r="R20" s="48" t="s">
        <v>48</v>
      </c>
      <c r="AH20" s="48" t="s">
        <v>49</v>
      </c>
      <c r="AI20" s="48" t="s">
        <v>48</v>
      </c>
    </row>
    <row r="21" spans="1:36">
      <c r="A21" s="155">
        <v>15</v>
      </c>
      <c r="B21" s="48" t="s">
        <v>50</v>
      </c>
      <c r="C21" s="55">
        <f>$G$21/$G$6*C6</f>
        <v>26500</v>
      </c>
      <c r="D21" s="55">
        <f>$G$21/$G$6*D6</f>
        <v>26500</v>
      </c>
      <c r="E21" s="55">
        <f>$G$21/$G$6*E6</f>
        <v>0</v>
      </c>
      <c r="F21" s="55">
        <f>$G$21/$G$6*F6</f>
        <v>0</v>
      </c>
      <c r="G21" s="50">
        <f>项目投资!D27</f>
        <v>53000</v>
      </c>
      <c r="R21" s="48" t="s">
        <v>50</v>
      </c>
      <c r="AH21" s="48"/>
      <c r="AI21" s="48"/>
    </row>
    <row r="22" spans="1:36">
      <c r="A22" s="155">
        <v>16</v>
      </c>
      <c r="B22" s="48" t="s">
        <v>51</v>
      </c>
      <c r="C22" s="50">
        <f>C6*C47</f>
        <v>222000</v>
      </c>
      <c r="D22" s="50">
        <f t="shared" ref="D22:F22" si="16">D6*D47</f>
        <v>82500</v>
      </c>
      <c r="E22" s="50">
        <f t="shared" si="16"/>
        <v>0</v>
      </c>
      <c r="F22" s="50">
        <f t="shared" si="16"/>
        <v>0</v>
      </c>
      <c r="G22" s="50">
        <f>SUM(C22:F22)</f>
        <v>304500</v>
      </c>
      <c r="R22" s="48" t="s">
        <v>51</v>
      </c>
      <c r="AH22" s="48" t="s">
        <v>52</v>
      </c>
      <c r="AI22" s="48" t="s">
        <v>51</v>
      </c>
    </row>
    <row r="23" spans="1:36">
      <c r="A23" s="155">
        <v>17</v>
      </c>
      <c r="B23" s="51" t="s">
        <v>53</v>
      </c>
      <c r="C23" s="55">
        <f>+C22+C21+C20+C19+C17</f>
        <v>767980</v>
      </c>
      <c r="D23" s="55">
        <f t="shared" ref="D23:F23" si="17">+D22+D21+D20+D19+D17</f>
        <v>302050</v>
      </c>
      <c r="E23" s="55">
        <f t="shared" si="17"/>
        <v>0</v>
      </c>
      <c r="F23" s="55">
        <f t="shared" si="17"/>
        <v>0</v>
      </c>
      <c r="G23" s="55">
        <f t="shared" ref="G23" si="18">+G22+G21+G20+G19+G17</f>
        <v>1070030</v>
      </c>
      <c r="R23" s="51" t="s">
        <v>53</v>
      </c>
      <c r="AH23" s="48" t="s">
        <v>54</v>
      </c>
      <c r="AI23" s="51" t="s">
        <v>53</v>
      </c>
    </row>
    <row r="24" spans="1:36">
      <c r="A24" s="155">
        <v>18</v>
      </c>
      <c r="B24" s="56" t="s">
        <v>55</v>
      </c>
      <c r="C24" s="55">
        <f>+C15-C23</f>
        <v>366501.25000000047</v>
      </c>
      <c r="D24" s="55">
        <f t="shared" ref="D24:F24" si="19">+D15-D23</f>
        <v>73291.100000000093</v>
      </c>
      <c r="E24" s="55">
        <f t="shared" si="19"/>
        <v>0</v>
      </c>
      <c r="F24" s="55">
        <f t="shared" si="19"/>
        <v>0</v>
      </c>
      <c r="G24" s="55">
        <f t="shared" ref="G24" si="20">+G15-G23</f>
        <v>439792.35000000056</v>
      </c>
      <c r="I24" s="66"/>
      <c r="R24" s="48" t="s">
        <v>55</v>
      </c>
      <c r="AH24" s="48" t="s">
        <v>56</v>
      </c>
      <c r="AI24" s="48" t="s">
        <v>55</v>
      </c>
    </row>
    <row r="25" spans="1:36">
      <c r="A25" s="155">
        <v>19</v>
      </c>
      <c r="B25" s="48" t="s">
        <v>231</v>
      </c>
      <c r="C25" s="55">
        <f>IF(C24&lt;0,0,C24*0.15)</f>
        <v>54975.187500000065</v>
      </c>
      <c r="D25" s="55">
        <f>IF(D24&lt;0,0,D24*0.15)</f>
        <v>10993.665000000014</v>
      </c>
      <c r="E25" s="55">
        <f>IF(E24&lt;0,0,E24*0.15)</f>
        <v>0</v>
      </c>
      <c r="F25" s="55">
        <f>IF(F24&lt;0,0,F24*0.15)</f>
        <v>0</v>
      </c>
      <c r="G25" s="55">
        <f>IF(G24&lt;0,0,G24*0.15)</f>
        <v>65968.852500000081</v>
      </c>
      <c r="I25" s="62"/>
      <c r="J25" s="62"/>
      <c r="R25" s="48" t="s">
        <v>57</v>
      </c>
      <c r="AH25" s="48" t="s">
        <v>58</v>
      </c>
      <c r="AI25" s="48" t="s">
        <v>57</v>
      </c>
    </row>
    <row r="26" spans="1:36">
      <c r="A26" s="155">
        <v>20</v>
      </c>
      <c r="B26" s="48" t="s">
        <v>59</v>
      </c>
      <c r="C26" s="55">
        <f t="shared" ref="C26:F26" si="21">C24-C25</f>
        <v>311526.06250000041</v>
      </c>
      <c r="D26" s="55">
        <f t="shared" si="21"/>
        <v>62297.435000000078</v>
      </c>
      <c r="E26" s="55">
        <f t="shared" si="21"/>
        <v>0</v>
      </c>
      <c r="F26" s="55">
        <f t="shared" si="21"/>
        <v>0</v>
      </c>
      <c r="G26" s="50">
        <f>G24-G25</f>
        <v>373823.49750000046</v>
      </c>
      <c r="I26" s="62"/>
      <c r="J26" s="62"/>
      <c r="R26" s="48" t="s">
        <v>59</v>
      </c>
      <c r="AH26" s="48" t="s">
        <v>60</v>
      </c>
      <c r="AI26" s="48" t="s">
        <v>59</v>
      </c>
    </row>
    <row r="27" spans="1:36">
      <c r="A27" s="155">
        <v>21</v>
      </c>
      <c r="B27" s="48" t="s">
        <v>63</v>
      </c>
      <c r="C27" s="125">
        <f t="shared" ref="C27:G27" si="22">C26/C7</f>
        <v>7.0163527590090188E-2</v>
      </c>
      <c r="D27" s="125">
        <f t="shared" ref="D27:F27" si="23">D26/D7</f>
        <v>3.7756021212121259E-2</v>
      </c>
      <c r="E27" s="125" t="e">
        <f t="shared" si="23"/>
        <v>#DIV/0!</v>
      </c>
      <c r="F27" s="125" t="e">
        <f t="shared" si="23"/>
        <v>#DIV/0!</v>
      </c>
      <c r="G27" s="125">
        <f t="shared" si="22"/>
        <v>6.13831687192119E-2</v>
      </c>
      <c r="I27" s="62"/>
      <c r="J27" s="62"/>
      <c r="R27" s="48" t="s">
        <v>63</v>
      </c>
      <c r="AH27" s="48" t="s">
        <v>62</v>
      </c>
      <c r="AI27" s="48" t="s">
        <v>63</v>
      </c>
    </row>
    <row r="28" spans="1:36">
      <c r="H28" s="62"/>
      <c r="I28" s="62"/>
      <c r="J28" s="62"/>
      <c r="R28" s="48"/>
    </row>
    <row r="29" spans="1:36">
      <c r="A29" s="44" t="s">
        <v>64</v>
      </c>
      <c r="G29" s="45" t="s">
        <v>150</v>
      </c>
      <c r="H29" s="62"/>
      <c r="I29" s="62"/>
      <c r="J29" s="62"/>
      <c r="R29" s="48"/>
      <c r="AH29" s="44" t="s">
        <v>64</v>
      </c>
    </row>
    <row r="30" spans="1:36">
      <c r="A30" s="48" t="s">
        <v>67</v>
      </c>
      <c r="B30" s="51" t="s">
        <v>68</v>
      </c>
      <c r="C30" s="55"/>
      <c r="D30" s="55"/>
      <c r="E30" s="55"/>
      <c r="F30" s="55"/>
      <c r="G30" s="55"/>
      <c r="H30" s="62"/>
      <c r="I30" s="62"/>
      <c r="J30" s="62"/>
      <c r="L30" s="62"/>
      <c r="R30" s="51" t="s">
        <v>68</v>
      </c>
      <c r="AH30" s="48" t="s">
        <v>69</v>
      </c>
      <c r="AI30" s="51" t="s">
        <v>68</v>
      </c>
    </row>
    <row r="31" spans="1:36">
      <c r="A31" s="155">
        <v>1</v>
      </c>
      <c r="B31" s="53" t="s">
        <v>70</v>
      </c>
      <c r="C31" s="58">
        <f>销量!C8</f>
        <v>2220</v>
      </c>
      <c r="D31" s="58">
        <f>销量!D8</f>
        <v>825</v>
      </c>
      <c r="E31" s="58">
        <f>销量!E8</f>
        <v>0</v>
      </c>
      <c r="F31" s="58">
        <f>销量!F8</f>
        <v>0</v>
      </c>
      <c r="G31" s="55"/>
      <c r="H31" s="62"/>
      <c r="I31" s="62"/>
      <c r="J31" s="62"/>
      <c r="L31" s="62"/>
      <c r="R31" s="48" t="s">
        <v>70</v>
      </c>
      <c r="AH31" s="48" t="s">
        <v>22</v>
      </c>
      <c r="AI31" s="48" t="s">
        <v>70</v>
      </c>
    </row>
    <row r="32" spans="1:36">
      <c r="A32" s="155">
        <v>2</v>
      </c>
      <c r="B32" s="48" t="s">
        <v>151</v>
      </c>
      <c r="C32" s="50">
        <f>C9/C6</f>
        <v>2003.55</v>
      </c>
      <c r="D32" s="50">
        <f t="shared" ref="D32:E32" si="24">D9/D6</f>
        <v>744.5625</v>
      </c>
      <c r="E32" s="50" t="e">
        <f t="shared" si="24"/>
        <v>#DIV/0!</v>
      </c>
      <c r="F32" s="50" t="e">
        <f t="shared" ref="F32" si="25">F9/F6</f>
        <v>#DIV/0!</v>
      </c>
      <c r="G32" s="55"/>
      <c r="H32" s="62"/>
      <c r="I32" s="62"/>
      <c r="J32" s="62"/>
      <c r="K32" s="62"/>
      <c r="L32" s="62"/>
      <c r="M32" s="62"/>
      <c r="N32" s="62"/>
      <c r="AH32" s="48"/>
      <c r="AI32" s="48"/>
    </row>
    <row r="33" spans="1:35">
      <c r="A33" s="155">
        <v>3</v>
      </c>
      <c r="B33" s="53" t="s">
        <v>71</v>
      </c>
      <c r="C33" s="50">
        <f>材料成本!D14</f>
        <v>1283.1293749999998</v>
      </c>
      <c r="D33" s="50">
        <f>材料成本!E14</f>
        <v>499.96694999999994</v>
      </c>
      <c r="E33" s="50">
        <f>材料成本!F14</f>
        <v>0</v>
      </c>
      <c r="F33" s="50">
        <f>材料成本!G14</f>
        <v>0</v>
      </c>
      <c r="G33" s="55"/>
      <c r="I33" s="62"/>
      <c r="J33" s="62"/>
      <c r="K33" s="62"/>
      <c r="L33" s="62"/>
      <c r="M33" s="62"/>
      <c r="N33" s="62"/>
      <c r="R33" s="48" t="s">
        <v>71</v>
      </c>
      <c r="AH33" s="48" t="s">
        <v>24</v>
      </c>
      <c r="AI33" s="48" t="s">
        <v>71</v>
      </c>
    </row>
    <row r="34" spans="1:35" ht="17.25" customHeight="1">
      <c r="A34" s="155">
        <v>4</v>
      </c>
      <c r="B34" s="48" t="s">
        <v>73</v>
      </c>
      <c r="C34" s="59">
        <f>C32-C33</f>
        <v>720.4206250000002</v>
      </c>
      <c r="D34" s="59">
        <f t="shared" ref="D34:E34" si="26">D32-D33</f>
        <v>244.59555000000006</v>
      </c>
      <c r="E34" s="59" t="e">
        <f t="shared" si="26"/>
        <v>#DIV/0!</v>
      </c>
      <c r="F34" s="59" t="e">
        <f t="shared" ref="F34" si="27">F32-F33</f>
        <v>#DIV/0!</v>
      </c>
      <c r="G34" s="55"/>
      <c r="I34" s="62"/>
      <c r="J34" s="62"/>
      <c r="K34" s="62"/>
      <c r="L34" s="62"/>
      <c r="M34" s="62"/>
      <c r="N34" s="62"/>
      <c r="R34" s="48" t="s">
        <v>73</v>
      </c>
      <c r="AH34" s="48" t="s">
        <v>72</v>
      </c>
      <c r="AI34" s="48" t="s">
        <v>73</v>
      </c>
    </row>
    <row r="35" spans="1:35">
      <c r="A35" s="48" t="s">
        <v>69</v>
      </c>
      <c r="B35" s="51" t="s">
        <v>9</v>
      </c>
      <c r="C35" s="55"/>
      <c r="D35" s="55"/>
      <c r="E35" s="55"/>
      <c r="F35" s="55"/>
      <c r="G35" s="5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51" t="s">
        <v>9</v>
      </c>
      <c r="AH35" s="48" t="s">
        <v>75</v>
      </c>
      <c r="AI35" s="51" t="s">
        <v>9</v>
      </c>
    </row>
    <row r="36" spans="1:35">
      <c r="A36" s="155">
        <v>1</v>
      </c>
      <c r="B36" s="48" t="s">
        <v>76</v>
      </c>
      <c r="C36" s="54">
        <f>'2023年'!C36</f>
        <v>59.94</v>
      </c>
      <c r="D36" s="54">
        <f>'2023年'!D36</f>
        <v>22.274999999999999</v>
      </c>
      <c r="E36" s="54">
        <f>'2023年'!E36</f>
        <v>0</v>
      </c>
      <c r="F36" s="54">
        <f>'2023年'!F36</f>
        <v>0</v>
      </c>
      <c r="G36" s="5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48" t="s">
        <v>76</v>
      </c>
      <c r="AH36" s="48" t="s">
        <v>72</v>
      </c>
      <c r="AI36" s="48" t="s">
        <v>76</v>
      </c>
    </row>
    <row r="37" spans="1:35">
      <c r="A37" s="155">
        <v>2</v>
      </c>
      <c r="B37" s="48" t="s">
        <v>77</v>
      </c>
      <c r="C37" s="54">
        <f>'2023年'!C37</f>
        <v>28.86</v>
      </c>
      <c r="D37" s="54">
        <f>'2023年'!D37</f>
        <v>10.725</v>
      </c>
      <c r="E37" s="54">
        <f>'2023年'!E37</f>
        <v>0</v>
      </c>
      <c r="F37" s="54">
        <f>'2023年'!F37</f>
        <v>0</v>
      </c>
      <c r="G37" s="5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48" t="s">
        <v>77</v>
      </c>
      <c r="AH37" s="48" t="s">
        <v>27</v>
      </c>
      <c r="AI37" s="48" t="s">
        <v>77</v>
      </c>
    </row>
    <row r="38" spans="1:35">
      <c r="A38" s="155">
        <v>3</v>
      </c>
      <c r="B38" s="48" t="s">
        <v>78</v>
      </c>
      <c r="C38" s="54">
        <f>'2023年'!C38</f>
        <v>64.38000000000001</v>
      </c>
      <c r="D38" s="54">
        <f>'2023年'!D38</f>
        <v>23.925000000000001</v>
      </c>
      <c r="E38" s="54">
        <f>'2023年'!E38</f>
        <v>0</v>
      </c>
      <c r="F38" s="54">
        <f>'2023年'!F38</f>
        <v>0</v>
      </c>
      <c r="G38" s="5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48" t="s">
        <v>78</v>
      </c>
      <c r="AH38" s="48" t="s">
        <v>33</v>
      </c>
      <c r="AI38" s="48" t="s">
        <v>78</v>
      </c>
    </row>
    <row r="39" spans="1:35">
      <c r="A39" s="48" t="s">
        <v>75</v>
      </c>
      <c r="B39" s="51" t="s">
        <v>80</v>
      </c>
      <c r="C39" s="55"/>
      <c r="D39" s="55"/>
      <c r="E39" s="55"/>
      <c r="F39" s="55"/>
      <c r="G39" s="55"/>
      <c r="R39" s="51" t="s">
        <v>80</v>
      </c>
      <c r="AH39" s="48" t="s">
        <v>79</v>
      </c>
      <c r="AI39" s="51" t="s">
        <v>80</v>
      </c>
    </row>
    <row r="40" spans="1:35">
      <c r="A40" s="155">
        <v>1</v>
      </c>
      <c r="B40" s="48" t="s">
        <v>82</v>
      </c>
      <c r="C40" s="55">
        <f>C34-C36-C37-C38</f>
        <v>567.24062500000014</v>
      </c>
      <c r="D40" s="55">
        <f t="shared" ref="D40:F40" si="28">D34-D36-D37-D38</f>
        <v>187.67055000000005</v>
      </c>
      <c r="E40" s="55" t="e">
        <f t="shared" si="28"/>
        <v>#DIV/0!</v>
      </c>
      <c r="F40" s="55" t="e">
        <f t="shared" si="28"/>
        <v>#DIV/0!</v>
      </c>
      <c r="G40" s="55"/>
      <c r="R40" s="48" t="s">
        <v>82</v>
      </c>
      <c r="AH40" s="48" t="s">
        <v>22</v>
      </c>
      <c r="AI40" s="48" t="s">
        <v>82</v>
      </c>
    </row>
    <row r="41" spans="1:35">
      <c r="A41" s="155">
        <v>2</v>
      </c>
      <c r="B41" s="48" t="s">
        <v>83</v>
      </c>
      <c r="C41" s="55"/>
      <c r="D41" s="55"/>
      <c r="E41" s="55"/>
      <c r="F41" s="55"/>
      <c r="G41" s="55"/>
      <c r="R41" s="48" t="s">
        <v>83</v>
      </c>
      <c r="AH41" s="48" t="s">
        <v>24</v>
      </c>
      <c r="AI41" s="48" t="s">
        <v>83</v>
      </c>
    </row>
    <row r="42" spans="1:35">
      <c r="A42" s="48" t="s">
        <v>79</v>
      </c>
      <c r="B42" s="51" t="s">
        <v>85</v>
      </c>
      <c r="C42" s="55"/>
      <c r="D42" s="55"/>
      <c r="E42" s="55"/>
      <c r="F42" s="55"/>
      <c r="G42" s="55"/>
      <c r="R42" s="51" t="s">
        <v>85</v>
      </c>
      <c r="AH42" s="48" t="s">
        <v>84</v>
      </c>
      <c r="AI42" s="51" t="s">
        <v>85</v>
      </c>
    </row>
    <row r="43" spans="1:35">
      <c r="A43" s="155">
        <v>1</v>
      </c>
      <c r="B43" s="56" t="s">
        <v>86</v>
      </c>
      <c r="C43" s="54">
        <f>'2023年'!C43</f>
        <v>170.94</v>
      </c>
      <c r="D43" s="54">
        <f>'2023年'!D43</f>
        <v>63.524999999999999</v>
      </c>
      <c r="E43" s="54">
        <f>'2023年'!E43</f>
        <v>0</v>
      </c>
      <c r="F43" s="54">
        <f>'2023年'!F43</f>
        <v>0</v>
      </c>
      <c r="G43" s="55"/>
      <c r="R43" s="48" t="s">
        <v>86</v>
      </c>
      <c r="AH43" s="48" t="s">
        <v>22</v>
      </c>
      <c r="AI43" s="48" t="s">
        <v>86</v>
      </c>
    </row>
    <row r="44" spans="1:35">
      <c r="A44" s="155">
        <v>2</v>
      </c>
      <c r="B44" s="56" t="s">
        <v>87</v>
      </c>
      <c r="C44" s="54">
        <f>'2023年'!C44</f>
        <v>37.74</v>
      </c>
      <c r="D44" s="54">
        <f>'2023年'!D44</f>
        <v>14.025</v>
      </c>
      <c r="E44" s="54">
        <f>'2023年'!E44</f>
        <v>0</v>
      </c>
      <c r="F44" s="54">
        <f>'2023年'!F44</f>
        <v>0</v>
      </c>
      <c r="G44" s="55"/>
      <c r="R44" s="48" t="s">
        <v>87</v>
      </c>
      <c r="AH44" s="48" t="s">
        <v>24</v>
      </c>
      <c r="AI44" s="48" t="s">
        <v>87</v>
      </c>
    </row>
    <row r="45" spans="1:35">
      <c r="A45" s="155">
        <v>3</v>
      </c>
      <c r="B45" s="56" t="s">
        <v>88</v>
      </c>
      <c r="C45" s="54">
        <f>'2023年'!C45</f>
        <v>51.06</v>
      </c>
      <c r="D45" s="54">
        <f>'2023年'!D45</f>
        <v>18.975000000000001</v>
      </c>
      <c r="E45" s="54">
        <f>'2023年'!E45</f>
        <v>0</v>
      </c>
      <c r="F45" s="54">
        <f>'2023年'!F45</f>
        <v>0</v>
      </c>
      <c r="G45" s="55"/>
      <c r="R45" s="48" t="s">
        <v>88</v>
      </c>
      <c r="AH45" s="48" t="s">
        <v>72</v>
      </c>
      <c r="AI45" s="48" t="s">
        <v>88</v>
      </c>
    </row>
    <row r="46" spans="1:35" s="43" customFormat="1">
      <c r="A46" s="155">
        <v>4</v>
      </c>
      <c r="B46" s="56" t="s">
        <v>89</v>
      </c>
      <c r="C46" s="60">
        <f>C21/C6</f>
        <v>13.25</v>
      </c>
      <c r="D46" s="60">
        <f t="shared" ref="D46:F46" si="29">D21/D6</f>
        <v>13.25</v>
      </c>
      <c r="E46" s="60" t="e">
        <f t="shared" si="29"/>
        <v>#DIV/0!</v>
      </c>
      <c r="F46" s="60" t="e">
        <f t="shared" si="29"/>
        <v>#DIV/0!</v>
      </c>
      <c r="G46" s="60"/>
      <c r="R46" s="56" t="s">
        <v>91</v>
      </c>
      <c r="AH46" s="56" t="s">
        <v>30</v>
      </c>
      <c r="AI46" s="56" t="s">
        <v>91</v>
      </c>
    </row>
    <row r="47" spans="1:35" s="43" customFormat="1">
      <c r="A47" s="155">
        <v>5</v>
      </c>
      <c r="B47" s="56" t="s">
        <v>91</v>
      </c>
      <c r="C47" s="60">
        <f>'2023年'!C47</f>
        <v>111</v>
      </c>
      <c r="D47" s="60">
        <f>'2023年'!D47</f>
        <v>41.25</v>
      </c>
      <c r="E47" s="60">
        <f>'2023年'!E47</f>
        <v>0</v>
      </c>
      <c r="F47" s="60">
        <f>'2023年'!F47</f>
        <v>0</v>
      </c>
      <c r="G47" s="60"/>
      <c r="R47" s="56" t="s">
        <v>91</v>
      </c>
      <c r="AH47" s="56" t="s">
        <v>30</v>
      </c>
      <c r="AI47" s="56" t="s">
        <v>91</v>
      </c>
    </row>
    <row r="48" spans="1:35">
      <c r="A48" s="48" t="s">
        <v>84</v>
      </c>
      <c r="B48" s="51" t="s">
        <v>102</v>
      </c>
      <c r="C48" s="55">
        <f>C40-C43-C44-C45-C47-C46</f>
        <v>183.25062500000013</v>
      </c>
      <c r="D48" s="55">
        <f t="shared" ref="D48:F48" si="30">D40-D43-D44-D45-D47-D46</f>
        <v>36.645550000000043</v>
      </c>
      <c r="E48" s="55" t="e">
        <f t="shared" si="30"/>
        <v>#DIV/0!</v>
      </c>
      <c r="F48" s="55" t="e">
        <f t="shared" si="30"/>
        <v>#DIV/0!</v>
      </c>
      <c r="G48" s="55"/>
      <c r="R48" s="51" t="s">
        <v>102</v>
      </c>
      <c r="AH48" s="48" t="s">
        <v>101</v>
      </c>
      <c r="AI48" s="51" t="s">
        <v>102</v>
      </c>
    </row>
    <row r="51" spans="2:12">
      <c r="C51" s="61"/>
      <c r="D51" s="61"/>
      <c r="E51" s="61"/>
      <c r="F51" s="61"/>
    </row>
    <row r="54" spans="2:12">
      <c r="B54" s="62"/>
      <c r="C54" s="63"/>
      <c r="D54" s="63"/>
      <c r="E54" s="63"/>
      <c r="F54" s="63"/>
      <c r="G54" s="63"/>
      <c r="H54" s="62"/>
      <c r="I54" s="62"/>
      <c r="J54" s="62"/>
      <c r="K54" s="62"/>
      <c r="L54" s="62"/>
    </row>
    <row r="55" spans="2:12">
      <c r="B55" s="62"/>
      <c r="C55" s="63"/>
      <c r="D55" s="63"/>
      <c r="E55" s="63"/>
      <c r="F55" s="63"/>
      <c r="G55" s="63"/>
      <c r="H55" s="62"/>
      <c r="I55" s="62"/>
      <c r="J55" s="62"/>
      <c r="K55" s="62"/>
      <c r="L55" s="62"/>
    </row>
    <row r="56" spans="2:12">
      <c r="B56" s="62"/>
      <c r="C56" s="63"/>
      <c r="D56" s="63"/>
      <c r="E56" s="63"/>
      <c r="F56" s="63"/>
      <c r="G56" s="63"/>
      <c r="H56" s="62"/>
      <c r="I56" s="62"/>
      <c r="J56" s="62"/>
      <c r="K56" s="62"/>
      <c r="L56" s="62"/>
    </row>
    <row r="57" spans="2:12">
      <c r="B57" s="62"/>
      <c r="C57" s="63"/>
      <c r="D57" s="63"/>
      <c r="E57" s="63"/>
      <c r="F57" s="63"/>
      <c r="G57" s="63"/>
      <c r="H57" s="62"/>
      <c r="I57" s="62"/>
      <c r="J57" s="62"/>
      <c r="K57" s="62"/>
      <c r="L57" s="62"/>
    </row>
    <row r="58" spans="2:12">
      <c r="B58" s="62"/>
      <c r="C58" s="63"/>
      <c r="D58" s="63"/>
      <c r="E58" s="63"/>
      <c r="F58" s="63"/>
      <c r="G58" s="63"/>
      <c r="H58" s="62"/>
      <c r="I58" s="62"/>
      <c r="J58" s="62"/>
      <c r="K58" s="62"/>
      <c r="L58" s="62"/>
    </row>
    <row r="59" spans="2:12">
      <c r="B59" s="62"/>
      <c r="C59" s="63"/>
      <c r="D59" s="63"/>
      <c r="E59" s="63"/>
      <c r="F59" s="63"/>
      <c r="G59" s="63"/>
      <c r="H59" s="62"/>
      <c r="I59" s="62"/>
      <c r="J59" s="62"/>
      <c r="K59" s="62"/>
      <c r="L59" s="62"/>
    </row>
    <row r="60" spans="2:12">
      <c r="B60" s="62"/>
      <c r="C60" s="63"/>
      <c r="D60" s="63"/>
      <c r="E60" s="63"/>
      <c r="F60" s="63"/>
      <c r="G60" s="63"/>
      <c r="H60" s="62"/>
      <c r="I60" s="62"/>
      <c r="J60" s="62"/>
      <c r="K60" s="62"/>
      <c r="L60" s="62"/>
    </row>
    <row r="61" spans="2:12">
      <c r="B61" s="62"/>
      <c r="C61" s="63"/>
      <c r="D61" s="63"/>
      <c r="E61" s="63"/>
      <c r="F61" s="63"/>
      <c r="G61" s="63"/>
      <c r="H61" s="62"/>
      <c r="I61" s="62"/>
      <c r="J61" s="62"/>
      <c r="K61" s="62"/>
      <c r="L61" s="62"/>
    </row>
    <row r="62" spans="2:12">
      <c r="B62" s="62"/>
      <c r="C62" s="63"/>
      <c r="D62" s="63"/>
      <c r="E62" s="63"/>
      <c r="F62" s="63"/>
      <c r="G62" s="63"/>
      <c r="H62" s="62"/>
      <c r="I62" s="62"/>
      <c r="J62" s="62"/>
      <c r="K62" s="62"/>
      <c r="L62" s="62"/>
    </row>
    <row r="63" spans="2:12">
      <c r="B63" s="62"/>
      <c r="C63" s="63"/>
      <c r="D63" s="63"/>
      <c r="E63" s="63"/>
      <c r="F63" s="63"/>
      <c r="G63" s="63"/>
      <c r="H63" s="62"/>
      <c r="I63" s="62"/>
      <c r="J63" s="62"/>
      <c r="K63" s="62"/>
      <c r="L63" s="62"/>
    </row>
    <row r="64" spans="2:12">
      <c r="B64" s="62"/>
      <c r="C64" s="63"/>
      <c r="D64" s="63"/>
      <c r="E64" s="63"/>
      <c r="F64" s="63"/>
      <c r="G64" s="63"/>
      <c r="H64" s="62"/>
      <c r="I64" s="62"/>
      <c r="J64" s="62"/>
      <c r="K64" s="62"/>
      <c r="L64" s="62"/>
    </row>
    <row r="65" spans="2:12">
      <c r="B65" s="62"/>
      <c r="C65" s="63"/>
      <c r="D65" s="63"/>
      <c r="E65" s="63"/>
      <c r="F65" s="63"/>
      <c r="G65" s="63"/>
      <c r="H65" s="62"/>
      <c r="I65" s="62"/>
      <c r="J65" s="62"/>
      <c r="K65" s="62"/>
      <c r="L65" s="62"/>
    </row>
    <row r="66" spans="2:12">
      <c r="B66" s="62"/>
      <c r="C66" s="63"/>
      <c r="D66" s="63"/>
      <c r="E66" s="63"/>
      <c r="F66" s="63"/>
      <c r="G66" s="63"/>
      <c r="H66" s="62"/>
      <c r="I66" s="62"/>
      <c r="J66" s="62"/>
      <c r="K66" s="62"/>
      <c r="L66" s="62"/>
    </row>
    <row r="67" spans="2:12">
      <c r="B67" s="62"/>
      <c r="C67" s="63"/>
      <c r="D67" s="63"/>
      <c r="E67" s="63"/>
      <c r="F67" s="63"/>
      <c r="G67" s="63"/>
      <c r="H67" s="62"/>
    </row>
    <row r="68" spans="2:12">
      <c r="B68" s="62"/>
      <c r="C68" s="63"/>
      <c r="D68" s="63"/>
      <c r="E68" s="63"/>
      <c r="F68" s="63"/>
      <c r="G68" s="63"/>
      <c r="H68" s="62"/>
    </row>
    <row r="69" spans="2:12">
      <c r="B69" s="62"/>
      <c r="C69" s="63"/>
      <c r="D69" s="63"/>
      <c r="E69" s="63"/>
      <c r="F69" s="63"/>
      <c r="G69" s="63"/>
      <c r="H69" s="62"/>
    </row>
    <row r="70" spans="2:12">
      <c r="B70" s="62"/>
      <c r="C70" s="63"/>
      <c r="D70" s="63"/>
      <c r="E70" s="63"/>
      <c r="F70" s="63"/>
      <c r="G70" s="63"/>
      <c r="H70" s="62"/>
    </row>
    <row r="71" spans="2:12">
      <c r="B71" s="62"/>
      <c r="C71" s="63"/>
      <c r="D71" s="63"/>
      <c r="E71" s="63"/>
      <c r="F71" s="63"/>
      <c r="G71" s="63"/>
      <c r="H71" s="62"/>
    </row>
    <row r="72" spans="2:12">
      <c r="B72" s="62"/>
      <c r="C72" s="63"/>
      <c r="D72" s="63"/>
      <c r="E72" s="63"/>
      <c r="F72" s="63"/>
      <c r="G72" s="63"/>
      <c r="H72" s="62"/>
    </row>
    <row r="73" spans="2:12">
      <c r="B73" s="62"/>
      <c r="C73" s="63"/>
      <c r="D73" s="63"/>
      <c r="E73" s="63"/>
      <c r="F73" s="63"/>
      <c r="G73" s="63"/>
      <c r="H73" s="62"/>
    </row>
    <row r="74" spans="2:12">
      <c r="B74" s="62"/>
      <c r="C74" s="63"/>
      <c r="D74" s="63"/>
      <c r="E74" s="63"/>
      <c r="F74" s="63"/>
      <c r="G74" s="63"/>
      <c r="H74" s="62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9" activePane="bottomRight" state="frozen"/>
      <selection pane="topRight"/>
      <selection pane="bottomLeft"/>
      <selection pane="bottomRight" activeCell="I26" sqref="I26"/>
    </sheetView>
  </sheetViews>
  <sheetFormatPr defaultColWidth="9" defaultRowHeight="16.5"/>
  <cols>
    <col min="1" max="1" width="5.125" style="44" customWidth="1"/>
    <col min="2" max="2" width="17.5" style="44" customWidth="1"/>
    <col min="3" max="3" width="15.125" style="45" bestFit="1" customWidth="1"/>
    <col min="4" max="4" width="20.25" style="45" bestFit="1" customWidth="1"/>
    <col min="5" max="6" width="13.25" style="45" customWidth="1"/>
    <col min="7" max="7" width="18.75" style="45" customWidth="1"/>
    <col min="8" max="8" width="12.375" style="44" customWidth="1"/>
    <col min="9" max="9" width="10.125" style="44" customWidth="1"/>
    <col min="10" max="16" width="9" style="44" customWidth="1"/>
    <col min="17" max="33" width="9" style="44"/>
    <col min="34" max="34" width="4.375" style="44" customWidth="1"/>
    <col min="35" max="35" width="13.875" style="44" customWidth="1"/>
    <col min="36" max="16384" width="9" style="44"/>
  </cols>
  <sheetData>
    <row r="1" spans="1:36">
      <c r="A1" s="217" t="s">
        <v>142</v>
      </c>
      <c r="B1" s="217"/>
      <c r="C1" s="221" t="s">
        <v>256</v>
      </c>
      <c r="D1" s="222"/>
      <c r="E1" s="222"/>
      <c r="F1" s="222"/>
      <c r="G1" s="223"/>
    </row>
    <row r="2" spans="1:36">
      <c r="A2" s="217" t="s">
        <v>143</v>
      </c>
      <c r="B2" s="217"/>
      <c r="C2" s="224" t="str">
        <f>'2023年'!C2:G2</f>
        <v>陕重汽</v>
      </c>
      <c r="D2" s="224"/>
      <c r="E2" s="224"/>
      <c r="F2" s="224"/>
      <c r="G2" s="224"/>
    </row>
    <row r="3" spans="1:36">
      <c r="A3" s="217" t="s">
        <v>144</v>
      </c>
      <c r="B3" s="217"/>
      <c r="C3" s="156" t="str">
        <f>销量!C5</f>
        <v>左空气悬浮座椅总成</v>
      </c>
      <c r="D3" s="156" t="str">
        <f>销量!D5</f>
        <v>右翻板式座椅总成</v>
      </c>
      <c r="E3" s="156">
        <f>销量!E5</f>
        <v>0</v>
      </c>
      <c r="F3" s="156">
        <f>销量!F5</f>
        <v>0</v>
      </c>
      <c r="G3" s="218" t="s">
        <v>18</v>
      </c>
    </row>
    <row r="4" spans="1:36">
      <c r="A4" s="217" t="s">
        <v>145</v>
      </c>
      <c r="B4" s="217"/>
      <c r="C4" s="156" t="str">
        <f>销量!C6</f>
        <v>ZZ16251510101</v>
      </c>
      <c r="D4" s="156" t="str">
        <f>销量!D6</f>
        <v>ZZ16251510102</v>
      </c>
      <c r="E4" s="156">
        <f>销量!E6</f>
        <v>0</v>
      </c>
      <c r="F4" s="156">
        <f>销量!F6</f>
        <v>0</v>
      </c>
      <c r="G4" s="219"/>
    </row>
    <row r="5" spans="1:36">
      <c r="A5" s="217" t="s">
        <v>146</v>
      </c>
      <c r="B5" s="217"/>
      <c r="C5" s="47"/>
      <c r="D5" s="47"/>
      <c r="E5" s="47"/>
      <c r="F5" s="47"/>
      <c r="G5" s="220"/>
      <c r="AJ5" s="44" t="s">
        <v>19</v>
      </c>
    </row>
    <row r="6" spans="1:36" ht="17.25">
      <c r="A6" s="48" t="s">
        <v>16</v>
      </c>
      <c r="B6" s="49" t="s">
        <v>147</v>
      </c>
      <c r="C6" s="21">
        <f>销量!C12</f>
        <v>2000</v>
      </c>
      <c r="D6" s="21">
        <f>销量!D12</f>
        <v>2000</v>
      </c>
      <c r="E6" s="21">
        <f>销量!E11</f>
        <v>0</v>
      </c>
      <c r="F6" s="21">
        <f>销量!F11</f>
        <v>0</v>
      </c>
      <c r="G6" s="50">
        <f t="shared" ref="G6:G15" si="0">SUM(C6:F6)</f>
        <v>4000</v>
      </c>
      <c r="R6" s="49" t="s">
        <v>3</v>
      </c>
      <c r="AH6" s="48" t="s">
        <v>16</v>
      </c>
      <c r="AI6" s="49" t="s">
        <v>3</v>
      </c>
      <c r="AJ6" s="44" t="s">
        <v>20</v>
      </c>
    </row>
    <row r="7" spans="1:36">
      <c r="A7" s="189">
        <v>1</v>
      </c>
      <c r="B7" s="49" t="s">
        <v>21</v>
      </c>
      <c r="C7" s="50">
        <f>C6*销量!C8</f>
        <v>4440000</v>
      </c>
      <c r="D7" s="50">
        <f>D6*销量!D8</f>
        <v>1650000</v>
      </c>
      <c r="E7" s="50">
        <f>E6*销量!E8</f>
        <v>0</v>
      </c>
      <c r="F7" s="50">
        <f>F6*销量!F8</f>
        <v>0</v>
      </c>
      <c r="G7" s="50">
        <f t="shared" si="0"/>
        <v>6090000</v>
      </c>
      <c r="H7" s="45"/>
      <c r="R7" s="49" t="s">
        <v>21</v>
      </c>
      <c r="AH7" s="48" t="s">
        <v>22</v>
      </c>
      <c r="AI7" s="49" t="s">
        <v>21</v>
      </c>
      <c r="AJ7" s="44" t="s">
        <v>20</v>
      </c>
    </row>
    <row r="8" spans="1:36">
      <c r="A8" s="189">
        <v>2</v>
      </c>
      <c r="B8" s="189" t="s">
        <v>23</v>
      </c>
      <c r="C8" s="50">
        <f>C7*(1-销量!$L$9)</f>
        <v>633255</v>
      </c>
      <c r="D8" s="50">
        <f>D7*(1-销量!$L$9)</f>
        <v>235331.25</v>
      </c>
      <c r="E8" s="50">
        <f>E7*(1-销量!$L$9)</f>
        <v>0</v>
      </c>
      <c r="F8" s="50">
        <f>F7*(1-销量!$L$9)</f>
        <v>0</v>
      </c>
      <c r="G8" s="50">
        <f t="shared" si="0"/>
        <v>868586.25</v>
      </c>
      <c r="H8" s="64"/>
      <c r="R8" s="189" t="s">
        <v>25</v>
      </c>
      <c r="AH8" s="48" t="s">
        <v>24</v>
      </c>
      <c r="AI8" s="189" t="s">
        <v>25</v>
      </c>
      <c r="AJ8" s="44" t="s">
        <v>20</v>
      </c>
    </row>
    <row r="9" spans="1:36">
      <c r="A9" s="189">
        <v>3</v>
      </c>
      <c r="B9" s="49" t="s">
        <v>26</v>
      </c>
      <c r="C9" s="50">
        <f>+C7-C8</f>
        <v>3806745</v>
      </c>
      <c r="D9" s="50">
        <f t="shared" ref="D9:F9" si="1">+D7-D8</f>
        <v>1414668.75</v>
      </c>
      <c r="E9" s="50">
        <f t="shared" si="1"/>
        <v>0</v>
      </c>
      <c r="F9" s="50">
        <f t="shared" si="1"/>
        <v>0</v>
      </c>
      <c r="G9" s="50">
        <f t="shared" si="0"/>
        <v>5221413.75</v>
      </c>
      <c r="R9" s="49" t="s">
        <v>26</v>
      </c>
      <c r="AH9" s="48" t="s">
        <v>27</v>
      </c>
      <c r="AI9" s="49" t="s">
        <v>26</v>
      </c>
      <c r="AJ9" s="44" t="s">
        <v>28</v>
      </c>
    </row>
    <row r="10" spans="1:36">
      <c r="A10" s="189">
        <v>4</v>
      </c>
      <c r="B10" s="48" t="s">
        <v>29</v>
      </c>
      <c r="C10" s="50">
        <f>C6*C33</f>
        <v>2437945.8124999991</v>
      </c>
      <c r="D10" s="50">
        <f t="shared" ref="D10:F10" si="2">D6*D33</f>
        <v>949937.20499999984</v>
      </c>
      <c r="E10" s="50">
        <f t="shared" si="2"/>
        <v>0</v>
      </c>
      <c r="F10" s="50">
        <f t="shared" si="2"/>
        <v>0</v>
      </c>
      <c r="G10" s="50">
        <f t="shared" si="0"/>
        <v>3387883.0174999991</v>
      </c>
      <c r="R10" s="48" t="s">
        <v>29</v>
      </c>
      <c r="AH10" s="48" t="s">
        <v>30</v>
      </c>
      <c r="AI10" s="48" t="s">
        <v>29</v>
      </c>
      <c r="AJ10" s="44" t="s">
        <v>31</v>
      </c>
    </row>
    <row r="11" spans="1:36">
      <c r="A11" s="189">
        <v>5</v>
      </c>
      <c r="B11" s="48" t="s">
        <v>32</v>
      </c>
      <c r="C11" s="50">
        <f>+C6*C36</f>
        <v>119880</v>
      </c>
      <c r="D11" s="50">
        <f t="shared" ref="D11:E11" si="3">+D6*D36</f>
        <v>44550</v>
      </c>
      <c r="E11" s="50">
        <f t="shared" si="3"/>
        <v>0</v>
      </c>
      <c r="F11" s="50">
        <f t="shared" ref="F11" si="4">+F6*F36</f>
        <v>0</v>
      </c>
      <c r="G11" s="50">
        <f t="shared" si="0"/>
        <v>164430</v>
      </c>
      <c r="R11" s="48" t="s">
        <v>32</v>
      </c>
      <c r="AH11" s="48" t="s">
        <v>33</v>
      </c>
      <c r="AI11" s="48" t="s">
        <v>32</v>
      </c>
    </row>
    <row r="12" spans="1:36">
      <c r="A12" s="189">
        <v>6</v>
      </c>
      <c r="B12" s="48" t="s">
        <v>34</v>
      </c>
      <c r="C12" s="50">
        <f>+C6*C37</f>
        <v>57720</v>
      </c>
      <c r="D12" s="50">
        <f t="shared" ref="D12:E12" si="5">+D6*D37</f>
        <v>21450</v>
      </c>
      <c r="E12" s="50">
        <f t="shared" si="5"/>
        <v>0</v>
      </c>
      <c r="F12" s="50">
        <f t="shared" ref="F12" si="6">+F6*F37</f>
        <v>0</v>
      </c>
      <c r="G12" s="50">
        <f t="shared" si="0"/>
        <v>79170</v>
      </c>
      <c r="R12" s="48" t="s">
        <v>34</v>
      </c>
      <c r="AH12" s="48" t="s">
        <v>35</v>
      </c>
      <c r="AI12" s="48" t="s">
        <v>34</v>
      </c>
    </row>
    <row r="13" spans="1:36">
      <c r="A13" s="189">
        <v>7</v>
      </c>
      <c r="B13" s="48" t="s">
        <v>36</v>
      </c>
      <c r="C13" s="50">
        <f>+C6*C38</f>
        <v>128760.00000000001</v>
      </c>
      <c r="D13" s="50">
        <f t="shared" ref="D13:E13" si="7">+D6*D38</f>
        <v>47850</v>
      </c>
      <c r="E13" s="50">
        <f t="shared" si="7"/>
        <v>0</v>
      </c>
      <c r="F13" s="50">
        <f t="shared" ref="F13" si="8">+F6*F38</f>
        <v>0</v>
      </c>
      <c r="G13" s="50">
        <f t="shared" si="0"/>
        <v>176610</v>
      </c>
      <c r="R13" s="48" t="s">
        <v>36</v>
      </c>
      <c r="AH13" s="48" t="s">
        <v>37</v>
      </c>
      <c r="AI13" s="48" t="s">
        <v>36</v>
      </c>
      <c r="AJ13" s="44" t="s">
        <v>20</v>
      </c>
    </row>
    <row r="14" spans="1:36">
      <c r="A14" s="189">
        <v>8</v>
      </c>
      <c r="B14" s="51" t="s">
        <v>38</v>
      </c>
      <c r="C14" s="50">
        <f>SUM(C11:C13)</f>
        <v>306360</v>
      </c>
      <c r="D14" s="50">
        <f t="shared" ref="D14:F14" si="9">SUM(D11:D13)</f>
        <v>113850</v>
      </c>
      <c r="E14" s="50">
        <f t="shared" si="9"/>
        <v>0</v>
      </c>
      <c r="F14" s="50">
        <f t="shared" si="9"/>
        <v>0</v>
      </c>
      <c r="G14" s="50">
        <f t="shared" si="0"/>
        <v>420210</v>
      </c>
      <c r="R14" s="51" t="s">
        <v>38</v>
      </c>
      <c r="AH14" s="48" t="s">
        <v>39</v>
      </c>
      <c r="AI14" s="51" t="s">
        <v>38</v>
      </c>
    </row>
    <row r="15" spans="1:36">
      <c r="A15" s="189">
        <v>9</v>
      </c>
      <c r="B15" s="51" t="s">
        <v>40</v>
      </c>
      <c r="C15" s="50">
        <f>+C9-C10-C14</f>
        <v>1062439.1875000009</v>
      </c>
      <c r="D15" s="50">
        <f t="shared" ref="D15:F15" si="10">+D9-D10-D14</f>
        <v>350881.54500000016</v>
      </c>
      <c r="E15" s="50">
        <f t="shared" si="10"/>
        <v>0</v>
      </c>
      <c r="F15" s="50">
        <f t="shared" si="10"/>
        <v>0</v>
      </c>
      <c r="G15" s="50">
        <f t="shared" si="0"/>
        <v>1413320.7325000011</v>
      </c>
      <c r="R15" s="51" t="s">
        <v>40</v>
      </c>
      <c r="AH15" s="48" t="s">
        <v>41</v>
      </c>
      <c r="AI15" s="51" t="s">
        <v>40</v>
      </c>
    </row>
    <row r="16" spans="1:36">
      <c r="A16" s="189">
        <v>10</v>
      </c>
      <c r="B16" s="48" t="s">
        <v>42</v>
      </c>
      <c r="C16" s="52">
        <f>+C15/C9</f>
        <v>0.2790938682522735</v>
      </c>
      <c r="D16" s="52">
        <f t="shared" ref="D16:F16" si="11">+D15/D9</f>
        <v>0.24803088708929222</v>
      </c>
      <c r="E16" s="52" t="e">
        <f t="shared" si="11"/>
        <v>#DIV/0!</v>
      </c>
      <c r="F16" s="52" t="e">
        <f t="shared" si="11"/>
        <v>#DIV/0!</v>
      </c>
      <c r="G16" s="52">
        <f t="shared" ref="G16" si="12">+G15/G9</f>
        <v>0.27067778961205691</v>
      </c>
      <c r="R16" s="48" t="s">
        <v>42</v>
      </c>
      <c r="AH16" s="48" t="s">
        <v>43</v>
      </c>
      <c r="AI16" s="48" t="s">
        <v>42</v>
      </c>
    </row>
    <row r="17" spans="1:36">
      <c r="A17" s="189">
        <v>11</v>
      </c>
      <c r="B17" s="48" t="s">
        <v>44</v>
      </c>
      <c r="C17" s="50">
        <f>C6*C43+C18</f>
        <v>341880</v>
      </c>
      <c r="D17" s="50">
        <f t="shared" ref="D17:E17" si="13">D6*D43+D18</f>
        <v>127050</v>
      </c>
      <c r="E17" s="50">
        <f t="shared" si="13"/>
        <v>0</v>
      </c>
      <c r="F17" s="50">
        <f t="shared" ref="F17" si="14">F6*F43+F18</f>
        <v>0</v>
      </c>
      <c r="G17" s="50">
        <f>SUM(C17:F17)</f>
        <v>468930</v>
      </c>
      <c r="H17" s="64"/>
      <c r="R17" s="48" t="s">
        <v>44</v>
      </c>
      <c r="AH17" s="48" t="s">
        <v>45</v>
      </c>
      <c r="AI17" s="48" t="s">
        <v>44</v>
      </c>
    </row>
    <row r="18" spans="1:36" s="42" customFormat="1">
      <c r="A18" s="189">
        <v>12</v>
      </c>
      <c r="B18" s="53" t="s">
        <v>148</v>
      </c>
      <c r="C18" s="54">
        <f>$G$18/$G$6*C6</f>
        <v>0</v>
      </c>
      <c r="D18" s="54">
        <f>$G$18/$G$6*D6</f>
        <v>0</v>
      </c>
      <c r="E18" s="54">
        <f>$G$18/$G$6*E6</f>
        <v>0</v>
      </c>
      <c r="F18" s="54">
        <f>$G$18/$G$6*F6</f>
        <v>0</v>
      </c>
      <c r="G18" s="54">
        <f>项目投资!F26</f>
        <v>0</v>
      </c>
      <c r="H18" s="65" t="s">
        <v>149</v>
      </c>
      <c r="I18" s="65"/>
      <c r="J18" s="65"/>
    </row>
    <row r="19" spans="1:36">
      <c r="A19" s="189">
        <v>13</v>
      </c>
      <c r="B19" s="48" t="s">
        <v>46</v>
      </c>
      <c r="C19" s="50">
        <f>C6*C44</f>
        <v>75480</v>
      </c>
      <c r="D19" s="50">
        <f t="shared" ref="D19:E19" si="15">D6*D44</f>
        <v>28050</v>
      </c>
      <c r="E19" s="50">
        <f t="shared" si="15"/>
        <v>0</v>
      </c>
      <c r="F19" s="50">
        <f t="shared" ref="F19" si="16">F6*F44</f>
        <v>0</v>
      </c>
      <c r="G19" s="50">
        <f>SUM(C19:F19)</f>
        <v>103530</v>
      </c>
      <c r="H19" s="42"/>
      <c r="R19" s="48" t="s">
        <v>46</v>
      </c>
      <c r="AH19" s="48" t="s">
        <v>47</v>
      </c>
      <c r="AI19" s="48" t="s">
        <v>46</v>
      </c>
      <c r="AJ19" s="44" t="s">
        <v>20</v>
      </c>
    </row>
    <row r="20" spans="1:36">
      <c r="A20" s="189">
        <v>14</v>
      </c>
      <c r="B20" s="48" t="s">
        <v>48</v>
      </c>
      <c r="C20" s="50">
        <f>C6*C45</f>
        <v>102120</v>
      </c>
      <c r="D20" s="50">
        <f t="shared" ref="D20:E20" si="17">D6*D45</f>
        <v>37950</v>
      </c>
      <c r="E20" s="50">
        <f t="shared" si="17"/>
        <v>0</v>
      </c>
      <c r="F20" s="50">
        <f t="shared" ref="F20" si="18">F6*F45</f>
        <v>0</v>
      </c>
      <c r="G20" s="50">
        <f>SUM(C20:F20)</f>
        <v>140070</v>
      </c>
      <c r="R20" s="48" t="s">
        <v>48</v>
      </c>
      <c r="AH20" s="48" t="s">
        <v>49</v>
      </c>
      <c r="AI20" s="48" t="s">
        <v>48</v>
      </c>
    </row>
    <row r="21" spans="1:36">
      <c r="A21" s="189">
        <v>15</v>
      </c>
      <c r="B21" s="48" t="s">
        <v>50</v>
      </c>
      <c r="C21" s="55">
        <f>$G$21/$G$6*C6</f>
        <v>26500</v>
      </c>
      <c r="D21" s="55">
        <f>$G$21/$G$6*D6</f>
        <v>26500</v>
      </c>
      <c r="E21" s="55">
        <f>$G$21/$G$6*E6</f>
        <v>0</v>
      </c>
      <c r="F21" s="55">
        <f>$G$21/$G$6*F6</f>
        <v>0</v>
      </c>
      <c r="G21" s="50">
        <f>项目投资!D27</f>
        <v>53000</v>
      </c>
      <c r="R21" s="48" t="s">
        <v>50</v>
      </c>
      <c r="AH21" s="48"/>
      <c r="AI21" s="48"/>
    </row>
    <row r="22" spans="1:36">
      <c r="A22" s="189">
        <v>16</v>
      </c>
      <c r="B22" s="48" t="s">
        <v>51</v>
      </c>
      <c r="C22" s="50">
        <f>C6*C47</f>
        <v>222000</v>
      </c>
      <c r="D22" s="50">
        <f t="shared" ref="D22:E22" si="19">D6*D47</f>
        <v>82500</v>
      </c>
      <c r="E22" s="50">
        <f t="shared" si="19"/>
        <v>0</v>
      </c>
      <c r="F22" s="50">
        <f t="shared" ref="F22" si="20">F6*F47</f>
        <v>0</v>
      </c>
      <c r="G22" s="50">
        <f>SUM(C22:F22)</f>
        <v>304500</v>
      </c>
      <c r="R22" s="48" t="s">
        <v>51</v>
      </c>
      <c r="AH22" s="48" t="s">
        <v>52</v>
      </c>
      <c r="AI22" s="48" t="s">
        <v>51</v>
      </c>
    </row>
    <row r="23" spans="1:36">
      <c r="A23" s="189">
        <v>17</v>
      </c>
      <c r="B23" s="51" t="s">
        <v>53</v>
      </c>
      <c r="C23" s="55">
        <f>+C22+C21+C20+C19+C17</f>
        <v>767980</v>
      </c>
      <c r="D23" s="55">
        <f t="shared" ref="D23:G23" si="21">+D22+D21+D20+D19+D17</f>
        <v>302050</v>
      </c>
      <c r="E23" s="55">
        <f t="shared" si="21"/>
        <v>0</v>
      </c>
      <c r="F23" s="55">
        <f t="shared" si="21"/>
        <v>0</v>
      </c>
      <c r="G23" s="55">
        <f t="shared" si="21"/>
        <v>1070030</v>
      </c>
      <c r="R23" s="51" t="s">
        <v>53</v>
      </c>
      <c r="AH23" s="48" t="s">
        <v>54</v>
      </c>
      <c r="AI23" s="51" t="s">
        <v>53</v>
      </c>
    </row>
    <row r="24" spans="1:36">
      <c r="A24" s="189">
        <v>18</v>
      </c>
      <c r="B24" s="56" t="s">
        <v>55</v>
      </c>
      <c r="C24" s="55">
        <f>+C15-C23</f>
        <v>294459.18750000093</v>
      </c>
      <c r="D24" s="55">
        <f t="shared" ref="D24:F24" si="22">+D15-D23</f>
        <v>48831.545000000158</v>
      </c>
      <c r="E24" s="55">
        <f t="shared" si="22"/>
        <v>0</v>
      </c>
      <c r="F24" s="55">
        <f t="shared" si="22"/>
        <v>0</v>
      </c>
      <c r="G24" s="55">
        <f t="shared" ref="G24" si="23">+G15-G23</f>
        <v>343290.73250000109</v>
      </c>
      <c r="I24" s="66"/>
      <c r="R24" s="48" t="s">
        <v>55</v>
      </c>
      <c r="AH24" s="48" t="s">
        <v>56</v>
      </c>
      <c r="AI24" s="48" t="s">
        <v>55</v>
      </c>
    </row>
    <row r="25" spans="1:36">
      <c r="A25" s="189">
        <v>19</v>
      </c>
      <c r="B25" s="48" t="s">
        <v>231</v>
      </c>
      <c r="C25" s="55">
        <f>IF(C24&lt;0,0,C24*0.15)</f>
        <v>44168.878125000141</v>
      </c>
      <c r="D25" s="55">
        <f>IF(D24&lt;0,0,D24*0.15)</f>
        <v>7324.7317500000236</v>
      </c>
      <c r="E25" s="55">
        <f>IF(E24&lt;0,0,E24*0.15)</f>
        <v>0</v>
      </c>
      <c r="F25" s="55">
        <f>IF(F24&lt;0,0,F24*0.15)</f>
        <v>0</v>
      </c>
      <c r="G25" s="55">
        <f>IF(G24&lt;0,0,G24*0.15)</f>
        <v>51493.609875000162</v>
      </c>
      <c r="I25" s="62"/>
      <c r="J25" s="62"/>
      <c r="R25" s="48" t="s">
        <v>57</v>
      </c>
      <c r="AH25" s="48" t="s">
        <v>58</v>
      </c>
      <c r="AI25" s="48" t="s">
        <v>57</v>
      </c>
    </row>
    <row r="26" spans="1:36">
      <c r="A26" s="189">
        <v>20</v>
      </c>
      <c r="B26" s="48" t="s">
        <v>59</v>
      </c>
      <c r="C26" s="55">
        <f t="shared" ref="C26:F26" si="24">C24-C25</f>
        <v>250290.3093750008</v>
      </c>
      <c r="D26" s="55">
        <f t="shared" si="24"/>
        <v>41506.813250000137</v>
      </c>
      <c r="E26" s="55">
        <f t="shared" si="24"/>
        <v>0</v>
      </c>
      <c r="F26" s="55">
        <f t="shared" si="24"/>
        <v>0</v>
      </c>
      <c r="G26" s="50">
        <f>G24-G25</f>
        <v>291797.12262500095</v>
      </c>
      <c r="I26" s="62"/>
      <c r="J26" s="62"/>
      <c r="R26" s="48" t="s">
        <v>59</v>
      </c>
      <c r="AH26" s="48" t="s">
        <v>60</v>
      </c>
      <c r="AI26" s="48" t="s">
        <v>59</v>
      </c>
    </row>
    <row r="27" spans="1:36">
      <c r="A27" s="189">
        <v>21</v>
      </c>
      <c r="B27" s="48" t="s">
        <v>63</v>
      </c>
      <c r="C27" s="125">
        <f t="shared" ref="C27:G27" si="25">C26/C7</f>
        <v>5.6371691300675854E-2</v>
      </c>
      <c r="D27" s="125">
        <f t="shared" si="25"/>
        <v>2.5155644393939476E-2</v>
      </c>
      <c r="E27" s="125" t="e">
        <f t="shared" si="25"/>
        <v>#DIV/0!</v>
      </c>
      <c r="F27" s="125" t="e">
        <f t="shared" si="25"/>
        <v>#DIV/0!</v>
      </c>
      <c r="G27" s="125">
        <f t="shared" si="25"/>
        <v>4.791414164614137E-2</v>
      </c>
      <c r="I27" s="62"/>
      <c r="J27" s="62"/>
      <c r="R27" s="48" t="s">
        <v>63</v>
      </c>
      <c r="AH27" s="48" t="s">
        <v>62</v>
      </c>
      <c r="AI27" s="48" t="s">
        <v>63</v>
      </c>
    </row>
    <row r="28" spans="1:36">
      <c r="H28" s="62"/>
      <c r="I28" s="62"/>
      <c r="J28" s="62"/>
      <c r="R28" s="48"/>
    </row>
    <row r="29" spans="1:36">
      <c r="A29" s="44" t="s">
        <v>64</v>
      </c>
      <c r="G29" s="45" t="s">
        <v>150</v>
      </c>
      <c r="H29" s="62"/>
      <c r="I29" s="62"/>
      <c r="J29" s="62"/>
      <c r="R29" s="48"/>
      <c r="AH29" s="44" t="s">
        <v>64</v>
      </c>
    </row>
    <row r="30" spans="1:36">
      <c r="A30" s="48" t="s">
        <v>67</v>
      </c>
      <c r="B30" s="51" t="s">
        <v>68</v>
      </c>
      <c r="C30" s="55"/>
      <c r="D30" s="55"/>
      <c r="E30" s="55"/>
      <c r="F30" s="55"/>
      <c r="G30" s="55"/>
      <c r="H30" s="62"/>
      <c r="I30" s="62"/>
      <c r="J30" s="62"/>
      <c r="L30" s="62"/>
      <c r="R30" s="51" t="s">
        <v>68</v>
      </c>
      <c r="AH30" s="48" t="s">
        <v>69</v>
      </c>
      <c r="AI30" s="51" t="s">
        <v>68</v>
      </c>
    </row>
    <row r="31" spans="1:36">
      <c r="A31" s="189">
        <v>1</v>
      </c>
      <c r="B31" s="53" t="s">
        <v>70</v>
      </c>
      <c r="C31" s="58">
        <f>销量!C8</f>
        <v>2220</v>
      </c>
      <c r="D31" s="58">
        <f>销量!D8</f>
        <v>825</v>
      </c>
      <c r="E31" s="58">
        <f>销量!E8</f>
        <v>0</v>
      </c>
      <c r="F31" s="58">
        <f>销量!F8</f>
        <v>0</v>
      </c>
      <c r="G31" s="55"/>
      <c r="H31" s="62"/>
      <c r="I31" s="62"/>
      <c r="J31" s="62"/>
      <c r="L31" s="62"/>
      <c r="R31" s="48" t="s">
        <v>70</v>
      </c>
      <c r="AH31" s="48" t="s">
        <v>22</v>
      </c>
      <c r="AI31" s="48" t="s">
        <v>70</v>
      </c>
    </row>
    <row r="32" spans="1:36">
      <c r="A32" s="189">
        <v>2</v>
      </c>
      <c r="B32" s="48" t="s">
        <v>151</v>
      </c>
      <c r="C32" s="50">
        <f>C9/C6</f>
        <v>1903.3724999999999</v>
      </c>
      <c r="D32" s="50">
        <f t="shared" ref="D32:E32" si="26">D9/D6</f>
        <v>707.33437500000002</v>
      </c>
      <c r="E32" s="50" t="e">
        <f t="shared" si="26"/>
        <v>#DIV/0!</v>
      </c>
      <c r="F32" s="50" t="e">
        <f t="shared" ref="F32" si="27">F9/F6</f>
        <v>#DIV/0!</v>
      </c>
      <c r="G32" s="55"/>
      <c r="H32" s="62"/>
      <c r="I32" s="62"/>
      <c r="J32" s="62"/>
      <c r="K32" s="62"/>
      <c r="L32" s="62"/>
      <c r="M32" s="62"/>
      <c r="N32" s="62"/>
      <c r="AH32" s="48"/>
      <c r="AI32" s="48"/>
    </row>
    <row r="33" spans="1:35">
      <c r="A33" s="189">
        <v>3</v>
      </c>
      <c r="B33" s="53" t="s">
        <v>71</v>
      </c>
      <c r="C33" s="50">
        <f>材料成本!D15</f>
        <v>1218.9729062499996</v>
      </c>
      <c r="D33" s="50">
        <f>材料成本!E15</f>
        <v>474.96860249999992</v>
      </c>
      <c r="E33" s="50">
        <f>材料成本!F15</f>
        <v>0</v>
      </c>
      <c r="F33" s="50">
        <f>材料成本!G15</f>
        <v>0</v>
      </c>
      <c r="G33" s="55"/>
      <c r="I33" s="62"/>
      <c r="J33" s="62"/>
      <c r="K33" s="62"/>
      <c r="L33" s="62"/>
      <c r="M33" s="62"/>
      <c r="N33" s="62"/>
      <c r="R33" s="48" t="s">
        <v>71</v>
      </c>
      <c r="AH33" s="48" t="s">
        <v>24</v>
      </c>
      <c r="AI33" s="48" t="s">
        <v>71</v>
      </c>
    </row>
    <row r="34" spans="1:35" ht="17.25" customHeight="1">
      <c r="A34" s="189">
        <v>4</v>
      </c>
      <c r="B34" s="48" t="s">
        <v>73</v>
      </c>
      <c r="C34" s="59">
        <f>C32-C33</f>
        <v>684.39959375000035</v>
      </c>
      <c r="D34" s="59">
        <f t="shared" ref="D34:E34" si="28">D32-D33</f>
        <v>232.36577250000011</v>
      </c>
      <c r="E34" s="59" t="e">
        <f t="shared" si="28"/>
        <v>#DIV/0!</v>
      </c>
      <c r="F34" s="59" t="e">
        <f t="shared" ref="F34" si="29">F32-F33</f>
        <v>#DIV/0!</v>
      </c>
      <c r="G34" s="55"/>
      <c r="I34" s="62"/>
      <c r="J34" s="62"/>
      <c r="K34" s="62"/>
      <c r="L34" s="62"/>
      <c r="M34" s="62"/>
      <c r="N34" s="62"/>
      <c r="R34" s="48" t="s">
        <v>73</v>
      </c>
      <c r="AH34" s="48" t="s">
        <v>72</v>
      </c>
      <c r="AI34" s="48" t="s">
        <v>73</v>
      </c>
    </row>
    <row r="35" spans="1:35">
      <c r="A35" s="48" t="s">
        <v>69</v>
      </c>
      <c r="B35" s="51" t="s">
        <v>9</v>
      </c>
      <c r="C35" s="55"/>
      <c r="D35" s="55"/>
      <c r="E35" s="55"/>
      <c r="F35" s="55"/>
      <c r="G35" s="5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51" t="s">
        <v>9</v>
      </c>
      <c r="AH35" s="48" t="s">
        <v>75</v>
      </c>
      <c r="AI35" s="51" t="s">
        <v>9</v>
      </c>
    </row>
    <row r="36" spans="1:35">
      <c r="A36" s="189">
        <v>1</v>
      </c>
      <c r="B36" s="48" t="s">
        <v>76</v>
      </c>
      <c r="C36" s="54">
        <f>'2023年'!C36</f>
        <v>59.94</v>
      </c>
      <c r="D36" s="54">
        <f>'2023年'!D36</f>
        <v>22.274999999999999</v>
      </c>
      <c r="E36" s="54">
        <f>'2023年'!E36</f>
        <v>0</v>
      </c>
      <c r="F36" s="54">
        <f>'2023年'!F36</f>
        <v>0</v>
      </c>
      <c r="G36" s="5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48" t="s">
        <v>76</v>
      </c>
      <c r="AH36" s="48" t="s">
        <v>72</v>
      </c>
      <c r="AI36" s="48" t="s">
        <v>76</v>
      </c>
    </row>
    <row r="37" spans="1:35">
      <c r="A37" s="189">
        <v>2</v>
      </c>
      <c r="B37" s="48" t="s">
        <v>77</v>
      </c>
      <c r="C37" s="54">
        <f>'2023年'!C37</f>
        <v>28.86</v>
      </c>
      <c r="D37" s="54">
        <f>'2023年'!D37</f>
        <v>10.725</v>
      </c>
      <c r="E37" s="54">
        <f>'2023年'!E37</f>
        <v>0</v>
      </c>
      <c r="F37" s="54">
        <f>'2023年'!F37</f>
        <v>0</v>
      </c>
      <c r="G37" s="5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48" t="s">
        <v>77</v>
      </c>
      <c r="AH37" s="48" t="s">
        <v>27</v>
      </c>
      <c r="AI37" s="48" t="s">
        <v>77</v>
      </c>
    </row>
    <row r="38" spans="1:35">
      <c r="A38" s="189">
        <v>3</v>
      </c>
      <c r="B38" s="48" t="s">
        <v>78</v>
      </c>
      <c r="C38" s="54">
        <f>'2023年'!C38</f>
        <v>64.38000000000001</v>
      </c>
      <c r="D38" s="54">
        <f>'2023年'!D38</f>
        <v>23.925000000000001</v>
      </c>
      <c r="E38" s="54">
        <f>'2023年'!E38</f>
        <v>0</v>
      </c>
      <c r="F38" s="54">
        <f>'2023年'!F38</f>
        <v>0</v>
      </c>
      <c r="G38" s="5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48" t="s">
        <v>78</v>
      </c>
      <c r="AH38" s="48" t="s">
        <v>33</v>
      </c>
      <c r="AI38" s="48" t="s">
        <v>78</v>
      </c>
    </row>
    <row r="39" spans="1:35">
      <c r="A39" s="48" t="s">
        <v>75</v>
      </c>
      <c r="B39" s="51" t="s">
        <v>80</v>
      </c>
      <c r="C39" s="55"/>
      <c r="D39" s="55"/>
      <c r="E39" s="55"/>
      <c r="F39" s="55"/>
      <c r="G39" s="55"/>
      <c r="R39" s="51" t="s">
        <v>80</v>
      </c>
      <c r="AH39" s="48" t="s">
        <v>79</v>
      </c>
      <c r="AI39" s="51" t="s">
        <v>80</v>
      </c>
    </row>
    <row r="40" spans="1:35">
      <c r="A40" s="189">
        <v>1</v>
      </c>
      <c r="B40" s="48" t="s">
        <v>82</v>
      </c>
      <c r="C40" s="55">
        <f>C34-C36-C37-C38</f>
        <v>531.21959375000029</v>
      </c>
      <c r="D40" s="55">
        <f t="shared" ref="D40:F40" si="30">D34-D36-D37-D38</f>
        <v>175.44077250000009</v>
      </c>
      <c r="E40" s="55" t="e">
        <f t="shared" si="30"/>
        <v>#DIV/0!</v>
      </c>
      <c r="F40" s="55" t="e">
        <f t="shared" si="30"/>
        <v>#DIV/0!</v>
      </c>
      <c r="G40" s="55"/>
      <c r="R40" s="48" t="s">
        <v>82</v>
      </c>
      <c r="AH40" s="48" t="s">
        <v>22</v>
      </c>
      <c r="AI40" s="48" t="s">
        <v>82</v>
      </c>
    </row>
    <row r="41" spans="1:35">
      <c r="A41" s="189">
        <v>2</v>
      </c>
      <c r="B41" s="48" t="s">
        <v>83</v>
      </c>
      <c r="C41" s="55"/>
      <c r="D41" s="55"/>
      <c r="E41" s="55"/>
      <c r="F41" s="55"/>
      <c r="G41" s="55"/>
      <c r="R41" s="48" t="s">
        <v>83</v>
      </c>
      <c r="AH41" s="48" t="s">
        <v>24</v>
      </c>
      <c r="AI41" s="48" t="s">
        <v>83</v>
      </c>
    </row>
    <row r="42" spans="1:35">
      <c r="A42" s="48" t="s">
        <v>79</v>
      </c>
      <c r="B42" s="51" t="s">
        <v>85</v>
      </c>
      <c r="C42" s="55"/>
      <c r="D42" s="55"/>
      <c r="E42" s="55"/>
      <c r="F42" s="55"/>
      <c r="G42" s="55"/>
      <c r="R42" s="51" t="s">
        <v>85</v>
      </c>
      <c r="AH42" s="48" t="s">
        <v>84</v>
      </c>
      <c r="AI42" s="51" t="s">
        <v>85</v>
      </c>
    </row>
    <row r="43" spans="1:35">
      <c r="A43" s="189">
        <v>1</v>
      </c>
      <c r="B43" s="56" t="s">
        <v>86</v>
      </c>
      <c r="C43" s="54">
        <f>'2023年'!C43</f>
        <v>170.94</v>
      </c>
      <c r="D43" s="54">
        <f>'2023年'!D43</f>
        <v>63.524999999999999</v>
      </c>
      <c r="E43" s="54">
        <f>'2023年'!E43</f>
        <v>0</v>
      </c>
      <c r="F43" s="54">
        <f>'2023年'!F43</f>
        <v>0</v>
      </c>
      <c r="G43" s="55"/>
      <c r="R43" s="48" t="s">
        <v>86</v>
      </c>
      <c r="AH43" s="48" t="s">
        <v>22</v>
      </c>
      <c r="AI43" s="48" t="s">
        <v>86</v>
      </c>
    </row>
    <row r="44" spans="1:35">
      <c r="A44" s="189">
        <v>2</v>
      </c>
      <c r="B44" s="56" t="s">
        <v>87</v>
      </c>
      <c r="C44" s="54">
        <f>'2023年'!C44</f>
        <v>37.74</v>
      </c>
      <c r="D44" s="54">
        <f>'2023年'!D44</f>
        <v>14.025</v>
      </c>
      <c r="E44" s="54">
        <f>'2023年'!E44</f>
        <v>0</v>
      </c>
      <c r="F44" s="54">
        <f>'2023年'!F44</f>
        <v>0</v>
      </c>
      <c r="G44" s="55"/>
      <c r="R44" s="48" t="s">
        <v>87</v>
      </c>
      <c r="AH44" s="48" t="s">
        <v>24</v>
      </c>
      <c r="AI44" s="48" t="s">
        <v>87</v>
      </c>
    </row>
    <row r="45" spans="1:35">
      <c r="A45" s="189">
        <v>3</v>
      </c>
      <c r="B45" s="56" t="s">
        <v>88</v>
      </c>
      <c r="C45" s="54">
        <f>'2023年'!C45</f>
        <v>51.06</v>
      </c>
      <c r="D45" s="54">
        <f>'2023年'!D45</f>
        <v>18.975000000000001</v>
      </c>
      <c r="E45" s="54">
        <f>'2023年'!E45</f>
        <v>0</v>
      </c>
      <c r="F45" s="54">
        <f>'2023年'!F45</f>
        <v>0</v>
      </c>
      <c r="G45" s="55"/>
      <c r="R45" s="48" t="s">
        <v>88</v>
      </c>
      <c r="AH45" s="48" t="s">
        <v>72</v>
      </c>
      <c r="AI45" s="48" t="s">
        <v>88</v>
      </c>
    </row>
    <row r="46" spans="1:35" s="43" customFormat="1">
      <c r="A46" s="189">
        <v>4</v>
      </c>
      <c r="B46" s="56" t="s">
        <v>89</v>
      </c>
      <c r="C46" s="60">
        <f>C21/C6</f>
        <v>13.25</v>
      </c>
      <c r="D46" s="60">
        <f t="shared" ref="D46:F46" si="31">D21/D6</f>
        <v>13.25</v>
      </c>
      <c r="E46" s="60" t="e">
        <f t="shared" si="31"/>
        <v>#DIV/0!</v>
      </c>
      <c r="F46" s="60" t="e">
        <f t="shared" si="31"/>
        <v>#DIV/0!</v>
      </c>
      <c r="G46" s="60"/>
      <c r="R46" s="56" t="s">
        <v>91</v>
      </c>
      <c r="AH46" s="56" t="s">
        <v>30</v>
      </c>
      <c r="AI46" s="56" t="s">
        <v>91</v>
      </c>
    </row>
    <row r="47" spans="1:35" s="43" customFormat="1">
      <c r="A47" s="189">
        <v>5</v>
      </c>
      <c r="B47" s="56" t="s">
        <v>91</v>
      </c>
      <c r="C47" s="60">
        <f>'2023年'!C47</f>
        <v>111</v>
      </c>
      <c r="D47" s="60">
        <f>'2023年'!D47</f>
        <v>41.25</v>
      </c>
      <c r="E47" s="60">
        <f>'2023年'!E47</f>
        <v>0</v>
      </c>
      <c r="F47" s="60">
        <f>'2023年'!F47</f>
        <v>0</v>
      </c>
      <c r="G47" s="60"/>
      <c r="R47" s="56" t="s">
        <v>91</v>
      </c>
      <c r="AH47" s="56" t="s">
        <v>30</v>
      </c>
      <c r="AI47" s="56" t="s">
        <v>91</v>
      </c>
    </row>
    <row r="48" spans="1:35">
      <c r="A48" s="48" t="s">
        <v>84</v>
      </c>
      <c r="B48" s="51" t="s">
        <v>102</v>
      </c>
      <c r="C48" s="55">
        <f>C40-C43-C44-C45-C47-C46</f>
        <v>147.22959375000028</v>
      </c>
      <c r="D48" s="55">
        <f t="shared" ref="D48:F48" si="32">D40-D43-D44-D45-D47-D46</f>
        <v>24.415772500000088</v>
      </c>
      <c r="E48" s="55" t="e">
        <f t="shared" si="32"/>
        <v>#DIV/0!</v>
      </c>
      <c r="F48" s="55" t="e">
        <f t="shared" si="32"/>
        <v>#DIV/0!</v>
      </c>
      <c r="G48" s="55"/>
      <c r="R48" s="51" t="s">
        <v>102</v>
      </c>
      <c r="AH48" s="48" t="s">
        <v>101</v>
      </c>
      <c r="AI48" s="51" t="s">
        <v>102</v>
      </c>
    </row>
    <row r="51" spans="2:12">
      <c r="C51" s="61"/>
      <c r="D51" s="61"/>
      <c r="E51" s="61"/>
      <c r="F51" s="61"/>
    </row>
    <row r="54" spans="2:12">
      <c r="B54" s="62"/>
      <c r="C54" s="63"/>
      <c r="D54" s="63"/>
      <c r="E54" s="63"/>
      <c r="F54" s="63"/>
      <c r="G54" s="63"/>
      <c r="H54" s="62"/>
      <c r="I54" s="62"/>
      <c r="J54" s="62"/>
      <c r="K54" s="62"/>
      <c r="L54" s="62"/>
    </row>
    <row r="55" spans="2:12">
      <c r="B55" s="62"/>
      <c r="C55" s="63"/>
      <c r="D55" s="63"/>
      <c r="E55" s="63"/>
      <c r="F55" s="63"/>
      <c r="G55" s="63"/>
      <c r="H55" s="62"/>
      <c r="I55" s="62"/>
      <c r="J55" s="62"/>
      <c r="K55" s="62"/>
      <c r="L55" s="62"/>
    </row>
    <row r="56" spans="2:12">
      <c r="B56" s="62"/>
      <c r="C56" s="63"/>
      <c r="D56" s="63"/>
      <c r="E56" s="63"/>
      <c r="F56" s="63"/>
      <c r="G56" s="63"/>
      <c r="H56" s="62"/>
      <c r="I56" s="62"/>
      <c r="J56" s="62"/>
      <c r="K56" s="62"/>
      <c r="L56" s="62"/>
    </row>
    <row r="57" spans="2:12">
      <c r="B57" s="62"/>
      <c r="C57" s="63"/>
      <c r="D57" s="63"/>
      <c r="E57" s="63"/>
      <c r="F57" s="63"/>
      <c r="G57" s="63"/>
      <c r="H57" s="62"/>
      <c r="I57" s="62"/>
      <c r="J57" s="62"/>
      <c r="K57" s="62"/>
      <c r="L57" s="62"/>
    </row>
    <row r="58" spans="2:12">
      <c r="B58" s="62"/>
      <c r="C58" s="63"/>
      <c r="D58" s="63"/>
      <c r="E58" s="63"/>
      <c r="F58" s="63"/>
      <c r="G58" s="63"/>
      <c r="H58" s="62"/>
      <c r="I58" s="62"/>
      <c r="J58" s="62"/>
      <c r="K58" s="62"/>
      <c r="L58" s="62"/>
    </row>
    <row r="59" spans="2:12">
      <c r="B59" s="62"/>
      <c r="C59" s="63"/>
      <c r="D59" s="63"/>
      <c r="E59" s="63"/>
      <c r="F59" s="63"/>
      <c r="G59" s="63"/>
      <c r="H59" s="62"/>
      <c r="I59" s="62"/>
      <c r="J59" s="62"/>
      <c r="K59" s="62"/>
      <c r="L59" s="62"/>
    </row>
    <row r="60" spans="2:12">
      <c r="B60" s="62"/>
      <c r="C60" s="63"/>
      <c r="D60" s="63"/>
      <c r="E60" s="63"/>
      <c r="F60" s="63"/>
      <c r="G60" s="63"/>
      <c r="H60" s="62"/>
      <c r="I60" s="62"/>
      <c r="J60" s="62"/>
      <c r="K60" s="62"/>
      <c r="L60" s="62"/>
    </row>
    <row r="61" spans="2:12">
      <c r="B61" s="62"/>
      <c r="C61" s="63"/>
      <c r="D61" s="63"/>
      <c r="E61" s="63"/>
      <c r="F61" s="63"/>
      <c r="G61" s="63"/>
      <c r="H61" s="62"/>
      <c r="I61" s="62"/>
      <c r="J61" s="62"/>
      <c r="K61" s="62"/>
      <c r="L61" s="62"/>
    </row>
    <row r="62" spans="2:12">
      <c r="B62" s="62"/>
      <c r="C62" s="63"/>
      <c r="D62" s="63"/>
      <c r="E62" s="63"/>
      <c r="F62" s="63"/>
      <c r="G62" s="63"/>
      <c r="H62" s="62"/>
      <c r="I62" s="62"/>
      <c r="J62" s="62"/>
      <c r="K62" s="62"/>
      <c r="L62" s="62"/>
    </row>
    <row r="63" spans="2:12">
      <c r="B63" s="62"/>
      <c r="C63" s="63"/>
      <c r="D63" s="63"/>
      <c r="E63" s="63"/>
      <c r="F63" s="63"/>
      <c r="G63" s="63"/>
      <c r="H63" s="62"/>
      <c r="I63" s="62"/>
      <c r="J63" s="62"/>
      <c r="K63" s="62"/>
      <c r="L63" s="62"/>
    </row>
    <row r="64" spans="2:12">
      <c r="B64" s="62"/>
      <c r="C64" s="63"/>
      <c r="D64" s="63"/>
      <c r="E64" s="63"/>
      <c r="F64" s="63"/>
      <c r="G64" s="63"/>
      <c r="H64" s="62"/>
      <c r="I64" s="62"/>
      <c r="J64" s="62"/>
      <c r="K64" s="62"/>
      <c r="L64" s="62"/>
    </row>
    <row r="65" spans="2:12">
      <c r="B65" s="62"/>
      <c r="C65" s="63"/>
      <c r="D65" s="63"/>
      <c r="E65" s="63"/>
      <c r="F65" s="63"/>
      <c r="G65" s="63"/>
      <c r="H65" s="62"/>
      <c r="I65" s="62"/>
      <c r="J65" s="62"/>
      <c r="K65" s="62"/>
      <c r="L65" s="62"/>
    </row>
    <row r="66" spans="2:12">
      <c r="B66" s="62"/>
      <c r="C66" s="63"/>
      <c r="D66" s="63"/>
      <c r="E66" s="63"/>
      <c r="F66" s="63"/>
      <c r="G66" s="63"/>
      <c r="H66" s="62"/>
      <c r="I66" s="62"/>
      <c r="J66" s="62"/>
      <c r="K66" s="62"/>
      <c r="L66" s="62"/>
    </row>
    <row r="67" spans="2:12">
      <c r="B67" s="62"/>
      <c r="C67" s="63"/>
      <c r="D67" s="63"/>
      <c r="E67" s="63"/>
      <c r="F67" s="63"/>
      <c r="G67" s="63"/>
      <c r="H67" s="62"/>
    </row>
    <row r="68" spans="2:12">
      <c r="B68" s="62"/>
      <c r="C68" s="63"/>
      <c r="D68" s="63"/>
      <c r="E68" s="63"/>
      <c r="F68" s="63"/>
      <c r="G68" s="63"/>
      <c r="H68" s="62"/>
    </row>
    <row r="69" spans="2:12">
      <c r="B69" s="62"/>
      <c r="C69" s="63"/>
      <c r="D69" s="63"/>
      <c r="E69" s="63"/>
      <c r="F69" s="63"/>
      <c r="G69" s="63"/>
      <c r="H69" s="62"/>
    </row>
    <row r="70" spans="2:12">
      <c r="B70" s="62"/>
      <c r="C70" s="63"/>
      <c r="D70" s="63"/>
      <c r="E70" s="63"/>
      <c r="F70" s="63"/>
      <c r="G70" s="63"/>
      <c r="H70" s="62"/>
    </row>
    <row r="71" spans="2:12">
      <c r="B71" s="62"/>
      <c r="C71" s="63"/>
      <c r="D71" s="63"/>
      <c r="E71" s="63"/>
      <c r="F71" s="63"/>
      <c r="G71" s="63"/>
      <c r="H71" s="62"/>
    </row>
    <row r="72" spans="2:12">
      <c r="B72" s="62"/>
      <c r="C72" s="63"/>
      <c r="D72" s="63"/>
      <c r="E72" s="63"/>
      <c r="F72" s="63"/>
      <c r="G72" s="63"/>
      <c r="H72" s="62"/>
    </row>
    <row r="73" spans="2:12">
      <c r="B73" s="62"/>
      <c r="C73" s="63"/>
      <c r="D73" s="63"/>
      <c r="E73" s="63"/>
      <c r="F73" s="63"/>
      <c r="G73" s="63"/>
      <c r="H73" s="62"/>
    </row>
    <row r="74" spans="2:12">
      <c r="B74" s="62"/>
      <c r="C74" s="63"/>
      <c r="D74" s="63"/>
      <c r="E74" s="63"/>
      <c r="F74" s="63"/>
      <c r="G74" s="63"/>
      <c r="H74" s="62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18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4" customWidth="1"/>
    <col min="2" max="2" width="17.5" style="44" customWidth="1"/>
    <col min="3" max="3" width="13.25" style="45" customWidth="1"/>
    <col min="4" max="4" width="20.25" style="45" bestFit="1" customWidth="1"/>
    <col min="5" max="6" width="13.25" style="45" customWidth="1"/>
    <col min="7" max="7" width="18.75" style="45" customWidth="1"/>
    <col min="8" max="8" width="12.375" style="44" customWidth="1"/>
    <col min="9" max="9" width="10.125" style="44" customWidth="1"/>
    <col min="10" max="16" width="9" style="44" customWidth="1"/>
    <col min="17" max="33" width="9" style="44"/>
    <col min="34" max="34" width="4.375" style="44" customWidth="1"/>
    <col min="35" max="35" width="13.875" style="44" customWidth="1"/>
    <col min="36" max="16384" width="9" style="44"/>
  </cols>
  <sheetData>
    <row r="1" spans="1:36">
      <c r="A1" s="217" t="s">
        <v>142</v>
      </c>
      <c r="B1" s="217"/>
      <c r="C1" s="221" t="s">
        <v>255</v>
      </c>
      <c r="D1" s="222"/>
      <c r="E1" s="222"/>
      <c r="F1" s="222"/>
      <c r="G1" s="223"/>
    </row>
    <row r="2" spans="1:36">
      <c r="A2" s="217" t="s">
        <v>143</v>
      </c>
      <c r="B2" s="217"/>
      <c r="C2" s="224" t="str">
        <f>'2023年'!C2:G2</f>
        <v>陕重汽</v>
      </c>
      <c r="D2" s="224"/>
      <c r="E2" s="224"/>
      <c r="F2" s="224"/>
      <c r="G2" s="224"/>
    </row>
    <row r="3" spans="1:36" ht="28.5">
      <c r="A3" s="217" t="s">
        <v>144</v>
      </c>
      <c r="B3" s="217"/>
      <c r="C3" s="156" t="str">
        <f>销量!C5</f>
        <v>左空气悬浮座椅总成</v>
      </c>
      <c r="D3" s="156" t="str">
        <f>销量!D5</f>
        <v>右翻板式座椅总成</v>
      </c>
      <c r="E3" s="156">
        <f>销量!E5</f>
        <v>0</v>
      </c>
      <c r="F3" s="156">
        <f>销量!F5</f>
        <v>0</v>
      </c>
      <c r="G3" s="218" t="s">
        <v>18</v>
      </c>
    </row>
    <row r="4" spans="1:36">
      <c r="A4" s="217" t="s">
        <v>145</v>
      </c>
      <c r="B4" s="217"/>
      <c r="C4" s="156" t="str">
        <f>销量!C6</f>
        <v>ZZ16251510101</v>
      </c>
      <c r="D4" s="156" t="str">
        <f>销量!D6</f>
        <v>ZZ16251510102</v>
      </c>
      <c r="E4" s="156">
        <f>销量!E6</f>
        <v>0</v>
      </c>
      <c r="F4" s="156">
        <f>销量!F6</f>
        <v>0</v>
      </c>
      <c r="G4" s="219"/>
    </row>
    <row r="5" spans="1:36">
      <c r="A5" s="217" t="s">
        <v>146</v>
      </c>
      <c r="B5" s="217"/>
      <c r="C5" s="47"/>
      <c r="D5" s="47"/>
      <c r="E5" s="47"/>
      <c r="F5" s="47"/>
      <c r="G5" s="220"/>
      <c r="AJ5" s="44" t="s">
        <v>19</v>
      </c>
    </row>
    <row r="6" spans="1:36" ht="17.25">
      <c r="A6" s="48" t="s">
        <v>16</v>
      </c>
      <c r="B6" s="49" t="s">
        <v>147</v>
      </c>
      <c r="C6" s="21">
        <f>销量!C13</f>
        <v>3000</v>
      </c>
      <c r="D6" s="21">
        <f>销量!D13</f>
        <v>3000</v>
      </c>
      <c r="E6" s="21">
        <f>销量!E11</f>
        <v>0</v>
      </c>
      <c r="F6" s="21">
        <f>销量!F11</f>
        <v>0</v>
      </c>
      <c r="G6" s="50">
        <f t="shared" ref="G6:G15" si="0">SUM(C6:F6)</f>
        <v>6000</v>
      </c>
      <c r="R6" s="49" t="s">
        <v>3</v>
      </c>
      <c r="AH6" s="48" t="s">
        <v>16</v>
      </c>
      <c r="AI6" s="49" t="s">
        <v>3</v>
      </c>
      <c r="AJ6" s="44" t="s">
        <v>20</v>
      </c>
    </row>
    <row r="7" spans="1:36">
      <c r="A7" s="189">
        <v>1</v>
      </c>
      <c r="B7" s="49" t="s">
        <v>21</v>
      </c>
      <c r="C7" s="50">
        <f>C6*销量!C8</f>
        <v>6660000</v>
      </c>
      <c r="D7" s="50">
        <f>D6*销量!D8</f>
        <v>2475000</v>
      </c>
      <c r="E7" s="50">
        <f>E6*销量!E8</f>
        <v>0</v>
      </c>
      <c r="F7" s="50">
        <f>F6*销量!F8</f>
        <v>0</v>
      </c>
      <c r="G7" s="50">
        <f t="shared" si="0"/>
        <v>9135000</v>
      </c>
      <c r="H7" s="45"/>
      <c r="R7" s="49" t="s">
        <v>21</v>
      </c>
      <c r="AH7" s="48" t="s">
        <v>22</v>
      </c>
      <c r="AI7" s="49" t="s">
        <v>21</v>
      </c>
      <c r="AJ7" s="44" t="s">
        <v>20</v>
      </c>
    </row>
    <row r="8" spans="1:36">
      <c r="A8" s="189">
        <v>2</v>
      </c>
      <c r="B8" s="189" t="s">
        <v>23</v>
      </c>
      <c r="C8" s="50">
        <f>C7*(1-销量!$L$10)</f>
        <v>1235388.3750000009</v>
      </c>
      <c r="D8" s="50">
        <f>D7*(1-销量!$L$10)</f>
        <v>459097.03125000029</v>
      </c>
      <c r="E8" s="50">
        <f>E7*(1-销量!$L$10)</f>
        <v>0</v>
      </c>
      <c r="F8" s="50">
        <f>F7*(1-销量!$L$10)</f>
        <v>0</v>
      </c>
      <c r="G8" s="50">
        <f t="shared" si="0"/>
        <v>1694485.4062500012</v>
      </c>
      <c r="H8" s="64"/>
      <c r="R8" s="189" t="s">
        <v>25</v>
      </c>
      <c r="AH8" s="48" t="s">
        <v>24</v>
      </c>
      <c r="AI8" s="189" t="s">
        <v>25</v>
      </c>
      <c r="AJ8" s="44" t="s">
        <v>20</v>
      </c>
    </row>
    <row r="9" spans="1:36">
      <c r="A9" s="189">
        <v>3</v>
      </c>
      <c r="B9" s="49" t="s">
        <v>26</v>
      </c>
      <c r="C9" s="50">
        <f>+C7-C8</f>
        <v>5424611.6249999991</v>
      </c>
      <c r="D9" s="50">
        <f t="shared" ref="D9:E9" si="1">+D7-D8</f>
        <v>2015902.9687499998</v>
      </c>
      <c r="E9" s="50">
        <f t="shared" si="1"/>
        <v>0</v>
      </c>
      <c r="F9" s="50">
        <f t="shared" ref="F9" si="2">+F7-F8</f>
        <v>0</v>
      </c>
      <c r="G9" s="50">
        <f t="shared" si="0"/>
        <v>7440514.5937499991</v>
      </c>
      <c r="R9" s="49" t="s">
        <v>26</v>
      </c>
      <c r="AH9" s="48" t="s">
        <v>27</v>
      </c>
      <c r="AI9" s="49" t="s">
        <v>26</v>
      </c>
      <c r="AJ9" s="44" t="s">
        <v>28</v>
      </c>
    </row>
    <row r="10" spans="1:36">
      <c r="A10" s="189">
        <v>4</v>
      </c>
      <c r="B10" s="48" t="s">
        <v>29</v>
      </c>
      <c r="C10" s="50">
        <f>C6*C33</f>
        <v>3474072.7828124985</v>
      </c>
      <c r="D10" s="50">
        <f t="shared" ref="D10:F10" si="3">D6*D33</f>
        <v>1353660.5171249998</v>
      </c>
      <c r="E10" s="50">
        <f t="shared" si="3"/>
        <v>0</v>
      </c>
      <c r="F10" s="50">
        <f t="shared" si="3"/>
        <v>0</v>
      </c>
      <c r="G10" s="50">
        <f t="shared" si="0"/>
        <v>4827733.2999374978</v>
      </c>
      <c r="R10" s="48" t="s">
        <v>29</v>
      </c>
      <c r="AH10" s="48" t="s">
        <v>30</v>
      </c>
      <c r="AI10" s="48" t="s">
        <v>29</v>
      </c>
      <c r="AJ10" s="44" t="s">
        <v>31</v>
      </c>
    </row>
    <row r="11" spans="1:36">
      <c r="A11" s="189">
        <v>5</v>
      </c>
      <c r="B11" s="48" t="s">
        <v>32</v>
      </c>
      <c r="C11" s="50">
        <f>+C6*C36</f>
        <v>179820</v>
      </c>
      <c r="D11" s="50">
        <f t="shared" ref="D11:E11" si="4">+D6*D36</f>
        <v>66825</v>
      </c>
      <c r="E11" s="50">
        <f t="shared" si="4"/>
        <v>0</v>
      </c>
      <c r="F11" s="50">
        <f t="shared" ref="F11" si="5">+F6*F36</f>
        <v>0</v>
      </c>
      <c r="G11" s="50">
        <f t="shared" si="0"/>
        <v>246645</v>
      </c>
      <c r="R11" s="48" t="s">
        <v>32</v>
      </c>
      <c r="AH11" s="48" t="s">
        <v>33</v>
      </c>
      <c r="AI11" s="48" t="s">
        <v>32</v>
      </c>
    </row>
    <row r="12" spans="1:36">
      <c r="A12" s="189">
        <v>6</v>
      </c>
      <c r="B12" s="48" t="s">
        <v>34</v>
      </c>
      <c r="C12" s="50">
        <f>+C6*C37</f>
        <v>86580</v>
      </c>
      <c r="D12" s="50">
        <f t="shared" ref="D12:E12" si="6">+D6*D37</f>
        <v>32175</v>
      </c>
      <c r="E12" s="50">
        <f t="shared" si="6"/>
        <v>0</v>
      </c>
      <c r="F12" s="50">
        <f t="shared" ref="F12" si="7">+F6*F37</f>
        <v>0</v>
      </c>
      <c r="G12" s="50">
        <f t="shared" si="0"/>
        <v>118755</v>
      </c>
      <c r="R12" s="48" t="s">
        <v>34</v>
      </c>
      <c r="AH12" s="48" t="s">
        <v>35</v>
      </c>
      <c r="AI12" s="48" t="s">
        <v>34</v>
      </c>
    </row>
    <row r="13" spans="1:36">
      <c r="A13" s="189">
        <v>7</v>
      </c>
      <c r="B13" s="48" t="s">
        <v>36</v>
      </c>
      <c r="C13" s="50">
        <f>+C6*C38</f>
        <v>193140.00000000003</v>
      </c>
      <c r="D13" s="50">
        <f t="shared" ref="D13:E13" si="8">+D6*D38</f>
        <v>71775</v>
      </c>
      <c r="E13" s="50">
        <f t="shared" si="8"/>
        <v>0</v>
      </c>
      <c r="F13" s="50">
        <f t="shared" ref="F13" si="9">+F6*F38</f>
        <v>0</v>
      </c>
      <c r="G13" s="50">
        <f t="shared" si="0"/>
        <v>264915</v>
      </c>
      <c r="R13" s="48" t="s">
        <v>36</v>
      </c>
      <c r="AH13" s="48" t="s">
        <v>37</v>
      </c>
      <c r="AI13" s="48" t="s">
        <v>36</v>
      </c>
      <c r="AJ13" s="44" t="s">
        <v>20</v>
      </c>
    </row>
    <row r="14" spans="1:36">
      <c r="A14" s="189">
        <v>8</v>
      </c>
      <c r="B14" s="51" t="s">
        <v>38</v>
      </c>
      <c r="C14" s="50">
        <f>SUM(C11:C13)</f>
        <v>459540</v>
      </c>
      <c r="D14" s="50">
        <f t="shared" ref="D14:F14" si="10">SUM(D11:D13)</f>
        <v>170775</v>
      </c>
      <c r="E14" s="50">
        <f t="shared" si="10"/>
        <v>0</v>
      </c>
      <c r="F14" s="50">
        <f t="shared" si="10"/>
        <v>0</v>
      </c>
      <c r="G14" s="50">
        <f t="shared" si="0"/>
        <v>630315</v>
      </c>
      <c r="R14" s="51" t="s">
        <v>38</v>
      </c>
      <c r="AH14" s="48" t="s">
        <v>39</v>
      </c>
      <c r="AI14" s="51" t="s">
        <v>38</v>
      </c>
    </row>
    <row r="15" spans="1:36">
      <c r="A15" s="189">
        <v>9</v>
      </c>
      <c r="B15" s="51" t="s">
        <v>40</v>
      </c>
      <c r="C15" s="50">
        <f>+C9-C10-C14</f>
        <v>1490998.8421875006</v>
      </c>
      <c r="D15" s="50">
        <f t="shared" ref="D15:F15" si="11">+D9-D10-D14</f>
        <v>491467.45162499999</v>
      </c>
      <c r="E15" s="50">
        <f t="shared" si="11"/>
        <v>0</v>
      </c>
      <c r="F15" s="50">
        <f t="shared" si="11"/>
        <v>0</v>
      </c>
      <c r="G15" s="50">
        <f t="shared" si="0"/>
        <v>1982466.2938125005</v>
      </c>
      <c r="R15" s="51" t="s">
        <v>40</v>
      </c>
      <c r="AH15" s="48" t="s">
        <v>41</v>
      </c>
      <c r="AI15" s="51" t="s">
        <v>40</v>
      </c>
    </row>
    <row r="16" spans="1:36">
      <c r="A16" s="189">
        <v>10</v>
      </c>
      <c r="B16" s="48" t="s">
        <v>42</v>
      </c>
      <c r="C16" s="52">
        <f>+C15/C9</f>
        <v>0.27485817331438928</v>
      </c>
      <c r="D16" s="52">
        <f t="shared" ref="D16:G16" si="12">+D15/D9</f>
        <v>0.24379519215140799</v>
      </c>
      <c r="E16" s="52" t="e">
        <f t="shared" si="12"/>
        <v>#DIV/0!</v>
      </c>
      <c r="F16" s="52" t="e">
        <f t="shared" si="12"/>
        <v>#DIV/0!</v>
      </c>
      <c r="G16" s="52">
        <f t="shared" si="12"/>
        <v>0.26644209467417268</v>
      </c>
      <c r="R16" s="48" t="s">
        <v>42</v>
      </c>
      <c r="AH16" s="48" t="s">
        <v>43</v>
      </c>
      <c r="AI16" s="48" t="s">
        <v>42</v>
      </c>
    </row>
    <row r="17" spans="1:36">
      <c r="A17" s="189">
        <v>11</v>
      </c>
      <c r="B17" s="48" t="s">
        <v>44</v>
      </c>
      <c r="C17" s="50">
        <f>C6*C43+C18</f>
        <v>512820</v>
      </c>
      <c r="D17" s="50">
        <f t="shared" ref="D17:E17" si="13">D6*D43+D18</f>
        <v>190575</v>
      </c>
      <c r="E17" s="50">
        <f t="shared" si="13"/>
        <v>0</v>
      </c>
      <c r="F17" s="50">
        <f t="shared" ref="F17" si="14">F6*F43+F18</f>
        <v>0</v>
      </c>
      <c r="G17" s="50">
        <f>SUM(C17:F17)</f>
        <v>703395</v>
      </c>
      <c r="H17" s="64"/>
      <c r="R17" s="48" t="s">
        <v>44</v>
      </c>
      <c r="AH17" s="48" t="s">
        <v>45</v>
      </c>
      <c r="AI17" s="48" t="s">
        <v>44</v>
      </c>
    </row>
    <row r="18" spans="1:36" s="42" customFormat="1">
      <c r="A18" s="189">
        <v>12</v>
      </c>
      <c r="B18" s="53" t="s">
        <v>148</v>
      </c>
      <c r="C18" s="54">
        <f>$G$18/$G$6*C6</f>
        <v>0</v>
      </c>
      <c r="D18" s="54">
        <f>$G$18/$G$6*D6</f>
        <v>0</v>
      </c>
      <c r="E18" s="54">
        <f>$G$18/$G$6*E6</f>
        <v>0</v>
      </c>
      <c r="F18" s="54">
        <f>$G$18/$G$6*F6</f>
        <v>0</v>
      </c>
      <c r="G18" s="54">
        <f>项目投资!H26</f>
        <v>0</v>
      </c>
      <c r="H18" s="65" t="s">
        <v>149</v>
      </c>
      <c r="I18" s="65"/>
      <c r="J18" s="65"/>
    </row>
    <row r="19" spans="1:36">
      <c r="A19" s="189">
        <v>13</v>
      </c>
      <c r="B19" s="48" t="s">
        <v>46</v>
      </c>
      <c r="C19" s="50">
        <f>C6*C44</f>
        <v>113220</v>
      </c>
      <c r="D19" s="50">
        <f t="shared" ref="D19:E19" si="15">D6*D44</f>
        <v>42075</v>
      </c>
      <c r="E19" s="50">
        <f t="shared" si="15"/>
        <v>0</v>
      </c>
      <c r="F19" s="50">
        <f t="shared" ref="F19" si="16">F6*F44</f>
        <v>0</v>
      </c>
      <c r="G19" s="50">
        <f>SUM(C19:F19)</f>
        <v>155295</v>
      </c>
      <c r="H19" s="42"/>
      <c r="R19" s="48" t="s">
        <v>46</v>
      </c>
      <c r="AH19" s="48" t="s">
        <v>47</v>
      </c>
      <c r="AI19" s="48" t="s">
        <v>46</v>
      </c>
      <c r="AJ19" s="44" t="s">
        <v>20</v>
      </c>
    </row>
    <row r="20" spans="1:36">
      <c r="A20" s="189">
        <v>14</v>
      </c>
      <c r="B20" s="48" t="s">
        <v>48</v>
      </c>
      <c r="C20" s="50">
        <f>C6*C45</f>
        <v>153180</v>
      </c>
      <c r="D20" s="50">
        <f t="shared" ref="D20:E20" si="17">D6*D45</f>
        <v>56925.000000000007</v>
      </c>
      <c r="E20" s="50">
        <f t="shared" si="17"/>
        <v>0</v>
      </c>
      <c r="F20" s="50">
        <f t="shared" ref="F20" si="18">F6*F45</f>
        <v>0</v>
      </c>
      <c r="G20" s="50">
        <f>SUM(C20:F20)</f>
        <v>210105</v>
      </c>
      <c r="R20" s="48" t="s">
        <v>48</v>
      </c>
      <c r="AH20" s="48" t="s">
        <v>49</v>
      </c>
      <c r="AI20" s="48" t="s">
        <v>48</v>
      </c>
    </row>
    <row r="21" spans="1:36">
      <c r="A21" s="189">
        <v>15</v>
      </c>
      <c r="B21" s="48" t="s">
        <v>50</v>
      </c>
      <c r="C21" s="55">
        <f>$G$21/$G$6*C6</f>
        <v>26500</v>
      </c>
      <c r="D21" s="55">
        <f>$G$21/$G$6*D6</f>
        <v>26500</v>
      </c>
      <c r="E21" s="55">
        <f>$G$21/$G$6*E6</f>
        <v>0</v>
      </c>
      <c r="F21" s="55">
        <f>$G$21/$G$6*F6</f>
        <v>0</v>
      </c>
      <c r="G21" s="50">
        <f>项目投资!H27</f>
        <v>53000</v>
      </c>
      <c r="R21" s="48" t="s">
        <v>50</v>
      </c>
      <c r="AH21" s="48"/>
      <c r="AI21" s="48"/>
    </row>
    <row r="22" spans="1:36">
      <c r="A22" s="189">
        <v>16</v>
      </c>
      <c r="B22" s="48" t="s">
        <v>51</v>
      </c>
      <c r="C22" s="50">
        <f>C6*C47</f>
        <v>333000</v>
      </c>
      <c r="D22" s="50">
        <f t="shared" ref="D22:E22" si="19">D6*D47</f>
        <v>123750</v>
      </c>
      <c r="E22" s="50">
        <f t="shared" si="19"/>
        <v>0</v>
      </c>
      <c r="F22" s="50">
        <f t="shared" ref="F22" si="20">F6*F47</f>
        <v>0</v>
      </c>
      <c r="G22" s="50">
        <f>SUM(C22:F22)</f>
        <v>456750</v>
      </c>
      <c r="R22" s="48" t="s">
        <v>51</v>
      </c>
      <c r="AH22" s="48" t="s">
        <v>52</v>
      </c>
      <c r="AI22" s="48" t="s">
        <v>51</v>
      </c>
    </row>
    <row r="23" spans="1:36">
      <c r="A23" s="189">
        <v>17</v>
      </c>
      <c r="B23" s="51" t="s">
        <v>53</v>
      </c>
      <c r="C23" s="55">
        <f>+C22+C21+C20+C19+C17</f>
        <v>1138720</v>
      </c>
      <c r="D23" s="55">
        <f t="shared" ref="D23:G23" si="21">+D22+D21+D20+D19+D17</f>
        <v>439825</v>
      </c>
      <c r="E23" s="55">
        <f t="shared" si="21"/>
        <v>0</v>
      </c>
      <c r="F23" s="55">
        <f t="shared" si="21"/>
        <v>0</v>
      </c>
      <c r="G23" s="55">
        <f t="shared" si="21"/>
        <v>1578545</v>
      </c>
      <c r="R23" s="51" t="s">
        <v>53</v>
      </c>
      <c r="AH23" s="48" t="s">
        <v>54</v>
      </c>
      <c r="AI23" s="51" t="s">
        <v>53</v>
      </c>
    </row>
    <row r="24" spans="1:36">
      <c r="A24" s="189">
        <v>18</v>
      </c>
      <c r="B24" s="56" t="s">
        <v>55</v>
      </c>
      <c r="C24" s="55">
        <f>+C15-C23</f>
        <v>352278.84218750056</v>
      </c>
      <c r="D24" s="55">
        <f t="shared" ref="D24:G24" si="22">+D15-D23</f>
        <v>51642.451624999987</v>
      </c>
      <c r="E24" s="55">
        <f t="shared" si="22"/>
        <v>0</v>
      </c>
      <c r="F24" s="55">
        <f t="shared" si="22"/>
        <v>0</v>
      </c>
      <c r="G24" s="55">
        <f t="shared" si="22"/>
        <v>403921.29381250055</v>
      </c>
      <c r="I24" s="66"/>
      <c r="R24" s="48" t="s">
        <v>55</v>
      </c>
      <c r="AH24" s="48" t="s">
        <v>56</v>
      </c>
      <c r="AI24" s="48" t="s">
        <v>55</v>
      </c>
    </row>
    <row r="25" spans="1:36">
      <c r="A25" s="189">
        <v>19</v>
      </c>
      <c r="B25" s="48" t="s">
        <v>231</v>
      </c>
      <c r="C25" s="55">
        <f>IF(C24&lt;0,0,C24*0.15)</f>
        <v>52841.826328125084</v>
      </c>
      <c r="D25" s="55">
        <f>IF(D24&lt;0,0,D24*0.15)</f>
        <v>7746.3677437499973</v>
      </c>
      <c r="E25" s="55">
        <f>IF(E24&lt;0,0,E24*0.15)</f>
        <v>0</v>
      </c>
      <c r="F25" s="55">
        <f>IF(F24&lt;0,0,F24*0.15)</f>
        <v>0</v>
      </c>
      <c r="G25" s="55">
        <f>IF(G24&lt;0,0,G24*0.15)</f>
        <v>60588.194071875077</v>
      </c>
      <c r="I25" s="62"/>
      <c r="J25" s="62"/>
      <c r="R25" s="48" t="s">
        <v>57</v>
      </c>
      <c r="AH25" s="48" t="s">
        <v>58</v>
      </c>
      <c r="AI25" s="48" t="s">
        <v>57</v>
      </c>
    </row>
    <row r="26" spans="1:36">
      <c r="A26" s="189">
        <v>20</v>
      </c>
      <c r="B26" s="48" t="s">
        <v>59</v>
      </c>
      <c r="C26" s="55">
        <f t="shared" ref="C26:F26" si="23">C24-C25</f>
        <v>299437.01585937547</v>
      </c>
      <c r="D26" s="55">
        <f t="shared" si="23"/>
        <v>43896.083881249986</v>
      </c>
      <c r="E26" s="55">
        <f t="shared" si="23"/>
        <v>0</v>
      </c>
      <c r="F26" s="55">
        <f t="shared" si="23"/>
        <v>0</v>
      </c>
      <c r="G26" s="50">
        <f>G24-G25</f>
        <v>343333.09974062548</v>
      </c>
      <c r="I26" s="62"/>
      <c r="J26" s="62"/>
      <c r="R26" s="48" t="s">
        <v>59</v>
      </c>
      <c r="AH26" s="48" t="s">
        <v>60</v>
      </c>
      <c r="AI26" s="48" t="s">
        <v>59</v>
      </c>
    </row>
    <row r="27" spans="1:36">
      <c r="A27" s="189">
        <v>21</v>
      </c>
      <c r="B27" s="48" t="s">
        <v>63</v>
      </c>
      <c r="C27" s="125">
        <f t="shared" ref="C27:G27" si="24">C26/C7</f>
        <v>4.4960512891798123E-2</v>
      </c>
      <c r="D27" s="125">
        <f t="shared" si="24"/>
        <v>1.7735791467171712E-2</v>
      </c>
      <c r="E27" s="125" t="e">
        <f t="shared" si="24"/>
        <v>#DIV/0!</v>
      </c>
      <c r="F27" s="125" t="e">
        <f t="shared" si="24"/>
        <v>#DIV/0!</v>
      </c>
      <c r="G27" s="125">
        <f t="shared" si="24"/>
        <v>3.7584356840790964E-2</v>
      </c>
      <c r="I27" s="62"/>
      <c r="J27" s="62"/>
      <c r="R27" s="48" t="s">
        <v>63</v>
      </c>
      <c r="AH27" s="48" t="s">
        <v>62</v>
      </c>
      <c r="AI27" s="48" t="s">
        <v>63</v>
      </c>
    </row>
    <row r="28" spans="1:36">
      <c r="H28" s="62"/>
      <c r="I28" s="62"/>
      <c r="J28" s="62"/>
      <c r="R28" s="48"/>
    </row>
    <row r="29" spans="1:36">
      <c r="A29" s="44" t="s">
        <v>64</v>
      </c>
      <c r="G29" s="45" t="s">
        <v>150</v>
      </c>
      <c r="H29" s="62"/>
      <c r="I29" s="62"/>
      <c r="J29" s="62"/>
      <c r="R29" s="48"/>
      <c r="AH29" s="44" t="s">
        <v>64</v>
      </c>
    </row>
    <row r="30" spans="1:36">
      <c r="A30" s="48" t="s">
        <v>67</v>
      </c>
      <c r="B30" s="51" t="s">
        <v>68</v>
      </c>
      <c r="C30" s="55"/>
      <c r="D30" s="55"/>
      <c r="E30" s="55"/>
      <c r="F30" s="55"/>
      <c r="G30" s="55"/>
      <c r="H30" s="62"/>
      <c r="I30" s="62"/>
      <c r="J30" s="62"/>
      <c r="L30" s="62"/>
      <c r="R30" s="51" t="s">
        <v>68</v>
      </c>
      <c r="AH30" s="48" t="s">
        <v>69</v>
      </c>
      <c r="AI30" s="51" t="s">
        <v>68</v>
      </c>
    </row>
    <row r="31" spans="1:36">
      <c r="A31" s="189">
        <v>1</v>
      </c>
      <c r="B31" s="53" t="s">
        <v>70</v>
      </c>
      <c r="C31" s="58">
        <f>销量!C8</f>
        <v>2220</v>
      </c>
      <c r="D31" s="58">
        <f>销量!D8</f>
        <v>825</v>
      </c>
      <c r="E31" s="58">
        <f>销量!E8</f>
        <v>0</v>
      </c>
      <c r="F31" s="58">
        <f>销量!F8</f>
        <v>0</v>
      </c>
      <c r="G31" s="55"/>
      <c r="H31" s="62"/>
      <c r="I31" s="62"/>
      <c r="J31" s="62"/>
      <c r="L31" s="62"/>
      <c r="R31" s="48" t="s">
        <v>70</v>
      </c>
      <c r="AH31" s="48" t="s">
        <v>22</v>
      </c>
      <c r="AI31" s="48" t="s">
        <v>70</v>
      </c>
    </row>
    <row r="32" spans="1:36">
      <c r="A32" s="189">
        <v>2</v>
      </c>
      <c r="B32" s="48" t="s">
        <v>151</v>
      </c>
      <c r="C32" s="50">
        <f>C9/C6</f>
        <v>1808.2038749999997</v>
      </c>
      <c r="D32" s="50">
        <f t="shared" ref="D32:E32" si="25">D9/D6</f>
        <v>671.96765624999989</v>
      </c>
      <c r="E32" s="50" t="e">
        <f t="shared" si="25"/>
        <v>#DIV/0!</v>
      </c>
      <c r="F32" s="50" t="e">
        <f t="shared" ref="F32" si="26">F9/F6</f>
        <v>#DIV/0!</v>
      </c>
      <c r="G32" s="55"/>
      <c r="H32" s="62"/>
      <c r="I32" s="62"/>
      <c r="J32" s="62"/>
      <c r="K32" s="62"/>
      <c r="L32" s="62"/>
      <c r="M32" s="62"/>
      <c r="N32" s="62"/>
      <c r="AH32" s="48"/>
      <c r="AI32" s="48"/>
    </row>
    <row r="33" spans="1:35">
      <c r="A33" s="189">
        <v>3</v>
      </c>
      <c r="B33" s="53" t="s">
        <v>71</v>
      </c>
      <c r="C33" s="50">
        <f>材料成本!D16</f>
        <v>1158.0242609374995</v>
      </c>
      <c r="D33" s="50">
        <f>材料成本!E16</f>
        <v>451.22017237499989</v>
      </c>
      <c r="E33" s="50">
        <f>材料成本!F16</f>
        <v>0</v>
      </c>
      <c r="F33" s="50">
        <f>材料成本!G16</f>
        <v>0</v>
      </c>
      <c r="G33" s="55"/>
      <c r="I33" s="62"/>
      <c r="J33" s="62"/>
      <c r="K33" s="62"/>
      <c r="L33" s="62"/>
      <c r="M33" s="62"/>
      <c r="N33" s="62"/>
      <c r="R33" s="48" t="s">
        <v>71</v>
      </c>
      <c r="AH33" s="48" t="s">
        <v>24</v>
      </c>
      <c r="AI33" s="48" t="s">
        <v>71</v>
      </c>
    </row>
    <row r="34" spans="1:35" ht="17.25" customHeight="1">
      <c r="A34" s="189">
        <v>4</v>
      </c>
      <c r="B34" s="48" t="s">
        <v>73</v>
      </c>
      <c r="C34" s="59">
        <f>C32-C33</f>
        <v>650.17961406250015</v>
      </c>
      <c r="D34" s="59">
        <f t="shared" ref="D34:E34" si="27">D32-D33</f>
        <v>220.747483875</v>
      </c>
      <c r="E34" s="59" t="e">
        <f t="shared" si="27"/>
        <v>#DIV/0!</v>
      </c>
      <c r="F34" s="59" t="e">
        <f t="shared" ref="F34" si="28">F32-F33</f>
        <v>#DIV/0!</v>
      </c>
      <c r="G34" s="55"/>
      <c r="I34" s="62"/>
      <c r="J34" s="62"/>
      <c r="K34" s="62"/>
      <c r="L34" s="62"/>
      <c r="M34" s="62"/>
      <c r="N34" s="62"/>
      <c r="R34" s="48" t="s">
        <v>73</v>
      </c>
      <c r="AH34" s="48" t="s">
        <v>72</v>
      </c>
      <c r="AI34" s="48" t="s">
        <v>73</v>
      </c>
    </row>
    <row r="35" spans="1:35">
      <c r="A35" s="48" t="s">
        <v>69</v>
      </c>
      <c r="B35" s="51" t="s">
        <v>9</v>
      </c>
      <c r="C35" s="55"/>
      <c r="D35" s="55"/>
      <c r="E35" s="55"/>
      <c r="F35" s="55"/>
      <c r="G35" s="5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51" t="s">
        <v>9</v>
      </c>
      <c r="AH35" s="48" t="s">
        <v>75</v>
      </c>
      <c r="AI35" s="51" t="s">
        <v>9</v>
      </c>
    </row>
    <row r="36" spans="1:35">
      <c r="A36" s="189">
        <v>1</v>
      </c>
      <c r="B36" s="48" t="s">
        <v>76</v>
      </c>
      <c r="C36" s="54">
        <f>'2023年'!C36</f>
        <v>59.94</v>
      </c>
      <c r="D36" s="54">
        <f>'2023年'!D36</f>
        <v>22.274999999999999</v>
      </c>
      <c r="E36" s="54">
        <f>'2023年'!E36</f>
        <v>0</v>
      </c>
      <c r="F36" s="54">
        <f>'2023年'!F36</f>
        <v>0</v>
      </c>
      <c r="G36" s="5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48" t="s">
        <v>76</v>
      </c>
      <c r="AH36" s="48" t="s">
        <v>72</v>
      </c>
      <c r="AI36" s="48" t="s">
        <v>76</v>
      </c>
    </row>
    <row r="37" spans="1:35">
      <c r="A37" s="189">
        <v>2</v>
      </c>
      <c r="B37" s="48" t="s">
        <v>77</v>
      </c>
      <c r="C37" s="54">
        <f>'2023年'!C37</f>
        <v>28.86</v>
      </c>
      <c r="D37" s="54">
        <f>'2023年'!D37</f>
        <v>10.725</v>
      </c>
      <c r="E37" s="54">
        <f>'2023年'!E37</f>
        <v>0</v>
      </c>
      <c r="F37" s="54">
        <f>'2023年'!F37</f>
        <v>0</v>
      </c>
      <c r="G37" s="5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48" t="s">
        <v>77</v>
      </c>
      <c r="AH37" s="48" t="s">
        <v>27</v>
      </c>
      <c r="AI37" s="48" t="s">
        <v>77</v>
      </c>
    </row>
    <row r="38" spans="1:35">
      <c r="A38" s="189">
        <v>3</v>
      </c>
      <c r="B38" s="48" t="s">
        <v>78</v>
      </c>
      <c r="C38" s="54">
        <f>'2023年'!C38</f>
        <v>64.38000000000001</v>
      </c>
      <c r="D38" s="54">
        <f>'2023年'!D38</f>
        <v>23.925000000000001</v>
      </c>
      <c r="E38" s="54">
        <f>'2023年'!E38</f>
        <v>0</v>
      </c>
      <c r="F38" s="54">
        <f>'2023年'!F38</f>
        <v>0</v>
      </c>
      <c r="G38" s="5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48" t="s">
        <v>78</v>
      </c>
      <c r="AH38" s="48" t="s">
        <v>33</v>
      </c>
      <c r="AI38" s="48" t="s">
        <v>78</v>
      </c>
    </row>
    <row r="39" spans="1:35">
      <c r="A39" s="48" t="s">
        <v>75</v>
      </c>
      <c r="B39" s="51" t="s">
        <v>80</v>
      </c>
      <c r="C39" s="55"/>
      <c r="D39" s="55"/>
      <c r="E39" s="55"/>
      <c r="F39" s="55"/>
      <c r="G39" s="55"/>
      <c r="R39" s="51" t="s">
        <v>80</v>
      </c>
      <c r="AH39" s="48" t="s">
        <v>79</v>
      </c>
      <c r="AI39" s="51" t="s">
        <v>80</v>
      </c>
    </row>
    <row r="40" spans="1:35">
      <c r="A40" s="189">
        <v>1</v>
      </c>
      <c r="B40" s="48" t="s">
        <v>82</v>
      </c>
      <c r="C40" s="55">
        <f>C34-C36-C37-C38</f>
        <v>496.99961406250009</v>
      </c>
      <c r="D40" s="55">
        <f t="shared" ref="D40:F40" si="29">D34-D36-D37-D38</f>
        <v>163.82248387499999</v>
      </c>
      <c r="E40" s="55" t="e">
        <f t="shared" si="29"/>
        <v>#DIV/0!</v>
      </c>
      <c r="F40" s="55" t="e">
        <f t="shared" si="29"/>
        <v>#DIV/0!</v>
      </c>
      <c r="G40" s="55"/>
      <c r="R40" s="48" t="s">
        <v>82</v>
      </c>
      <c r="AH40" s="48" t="s">
        <v>22</v>
      </c>
      <c r="AI40" s="48" t="s">
        <v>82</v>
      </c>
    </row>
    <row r="41" spans="1:35">
      <c r="A41" s="189">
        <v>2</v>
      </c>
      <c r="B41" s="48" t="s">
        <v>83</v>
      </c>
      <c r="C41" s="55"/>
      <c r="D41" s="55"/>
      <c r="E41" s="55"/>
      <c r="F41" s="55"/>
      <c r="G41" s="55"/>
      <c r="R41" s="48" t="s">
        <v>83</v>
      </c>
      <c r="AH41" s="48" t="s">
        <v>24</v>
      </c>
      <c r="AI41" s="48" t="s">
        <v>83</v>
      </c>
    </row>
    <row r="42" spans="1:35">
      <c r="A42" s="48" t="s">
        <v>79</v>
      </c>
      <c r="B42" s="51" t="s">
        <v>85</v>
      </c>
      <c r="C42" s="55"/>
      <c r="D42" s="55"/>
      <c r="E42" s="55"/>
      <c r="F42" s="55"/>
      <c r="G42" s="55"/>
      <c r="R42" s="51" t="s">
        <v>85</v>
      </c>
      <c r="AH42" s="48" t="s">
        <v>84</v>
      </c>
      <c r="AI42" s="51" t="s">
        <v>85</v>
      </c>
    </row>
    <row r="43" spans="1:35">
      <c r="A43" s="189">
        <v>1</v>
      </c>
      <c r="B43" s="56" t="s">
        <v>86</v>
      </c>
      <c r="C43" s="54">
        <f>'2023年'!C43</f>
        <v>170.94</v>
      </c>
      <c r="D43" s="54">
        <f>'2023年'!D43</f>
        <v>63.524999999999999</v>
      </c>
      <c r="E43" s="54">
        <f>'2023年'!E43</f>
        <v>0</v>
      </c>
      <c r="F43" s="54">
        <f>'2023年'!F43</f>
        <v>0</v>
      </c>
      <c r="G43" s="55"/>
      <c r="R43" s="48" t="s">
        <v>86</v>
      </c>
      <c r="AH43" s="48" t="s">
        <v>22</v>
      </c>
      <c r="AI43" s="48" t="s">
        <v>86</v>
      </c>
    </row>
    <row r="44" spans="1:35">
      <c r="A44" s="189">
        <v>2</v>
      </c>
      <c r="B44" s="56" t="s">
        <v>87</v>
      </c>
      <c r="C44" s="54">
        <f>'2023年'!C44</f>
        <v>37.74</v>
      </c>
      <c r="D44" s="54">
        <f>'2023年'!D44</f>
        <v>14.025</v>
      </c>
      <c r="E44" s="54">
        <f>'2023年'!E44</f>
        <v>0</v>
      </c>
      <c r="F44" s="54">
        <f>'2023年'!F44</f>
        <v>0</v>
      </c>
      <c r="G44" s="55"/>
      <c r="R44" s="48" t="s">
        <v>87</v>
      </c>
      <c r="AH44" s="48" t="s">
        <v>24</v>
      </c>
      <c r="AI44" s="48" t="s">
        <v>87</v>
      </c>
    </row>
    <row r="45" spans="1:35">
      <c r="A45" s="189">
        <v>3</v>
      </c>
      <c r="B45" s="56" t="s">
        <v>88</v>
      </c>
      <c r="C45" s="54">
        <f>'2023年'!C45</f>
        <v>51.06</v>
      </c>
      <c r="D45" s="54">
        <f>'2023年'!D45</f>
        <v>18.975000000000001</v>
      </c>
      <c r="E45" s="54">
        <f>'2023年'!E45</f>
        <v>0</v>
      </c>
      <c r="F45" s="54">
        <f>'2023年'!F45</f>
        <v>0</v>
      </c>
      <c r="G45" s="55"/>
      <c r="R45" s="48" t="s">
        <v>88</v>
      </c>
      <c r="AH45" s="48" t="s">
        <v>72</v>
      </c>
      <c r="AI45" s="48" t="s">
        <v>88</v>
      </c>
    </row>
    <row r="46" spans="1:35" s="43" customFormat="1">
      <c r="A46" s="189">
        <v>4</v>
      </c>
      <c r="B46" s="56" t="s">
        <v>89</v>
      </c>
      <c r="C46" s="60">
        <f>C21/C6</f>
        <v>8.8333333333333339</v>
      </c>
      <c r="D46" s="60">
        <f t="shared" ref="D46:F46" si="30">D21/D6</f>
        <v>8.8333333333333339</v>
      </c>
      <c r="E46" s="60" t="e">
        <f t="shared" si="30"/>
        <v>#DIV/0!</v>
      </c>
      <c r="F46" s="60" t="e">
        <f t="shared" si="30"/>
        <v>#DIV/0!</v>
      </c>
      <c r="G46" s="60"/>
      <c r="R46" s="56" t="s">
        <v>91</v>
      </c>
      <c r="AH46" s="56" t="s">
        <v>30</v>
      </c>
      <c r="AI46" s="56" t="s">
        <v>91</v>
      </c>
    </row>
    <row r="47" spans="1:35" s="43" customFormat="1">
      <c r="A47" s="189">
        <v>5</v>
      </c>
      <c r="B47" s="56" t="s">
        <v>91</v>
      </c>
      <c r="C47" s="60">
        <f>'2023年'!C47</f>
        <v>111</v>
      </c>
      <c r="D47" s="60">
        <f>'2023年'!D47</f>
        <v>41.25</v>
      </c>
      <c r="E47" s="60">
        <f>'2023年'!E47</f>
        <v>0</v>
      </c>
      <c r="F47" s="60">
        <f>'2023年'!F47</f>
        <v>0</v>
      </c>
      <c r="G47" s="60"/>
      <c r="R47" s="56" t="s">
        <v>91</v>
      </c>
      <c r="AH47" s="56" t="s">
        <v>30</v>
      </c>
      <c r="AI47" s="56" t="s">
        <v>91</v>
      </c>
    </row>
    <row r="48" spans="1:35">
      <c r="A48" s="48" t="s">
        <v>84</v>
      </c>
      <c r="B48" s="51" t="s">
        <v>102</v>
      </c>
      <c r="C48" s="55">
        <f>C40-C43-C44-C45-C47-C46</f>
        <v>117.42628072916675</v>
      </c>
      <c r="D48" s="55">
        <f t="shared" ref="D48:F48" si="31">D40-D43-D44-D45-D47-D46</f>
        <v>17.214150541666648</v>
      </c>
      <c r="E48" s="55" t="e">
        <f t="shared" si="31"/>
        <v>#DIV/0!</v>
      </c>
      <c r="F48" s="55" t="e">
        <f t="shared" si="31"/>
        <v>#DIV/0!</v>
      </c>
      <c r="G48" s="55"/>
      <c r="R48" s="51" t="s">
        <v>102</v>
      </c>
      <c r="AH48" s="48" t="s">
        <v>101</v>
      </c>
      <c r="AI48" s="51" t="s">
        <v>102</v>
      </c>
    </row>
    <row r="51" spans="2:12">
      <c r="C51" s="61"/>
      <c r="D51" s="61"/>
      <c r="E51" s="61"/>
      <c r="F51" s="61"/>
    </row>
    <row r="54" spans="2:12">
      <c r="B54" s="62"/>
      <c r="C54" s="63"/>
      <c r="D54" s="63"/>
      <c r="E54" s="63"/>
      <c r="F54" s="63"/>
      <c r="G54" s="63"/>
      <c r="H54" s="62"/>
      <c r="I54" s="62"/>
      <c r="J54" s="62"/>
      <c r="K54" s="62"/>
      <c r="L54" s="62"/>
    </row>
    <row r="55" spans="2:12">
      <c r="B55" s="62"/>
      <c r="C55" s="63"/>
      <c r="D55" s="63"/>
      <c r="E55" s="63"/>
      <c r="F55" s="63"/>
      <c r="G55" s="63"/>
      <c r="H55" s="62"/>
      <c r="I55" s="62"/>
      <c r="J55" s="62"/>
      <c r="K55" s="62"/>
      <c r="L55" s="62"/>
    </row>
    <row r="56" spans="2:12">
      <c r="B56" s="62"/>
      <c r="C56" s="63"/>
      <c r="D56" s="63"/>
      <c r="E56" s="63"/>
      <c r="F56" s="63"/>
      <c r="G56" s="63"/>
      <c r="H56" s="62"/>
      <c r="I56" s="62"/>
      <c r="J56" s="62"/>
      <c r="K56" s="62"/>
      <c r="L56" s="62"/>
    </row>
    <row r="57" spans="2:12">
      <c r="B57" s="62"/>
      <c r="C57" s="63"/>
      <c r="D57" s="63"/>
      <c r="E57" s="63"/>
      <c r="F57" s="63"/>
      <c r="G57" s="63"/>
      <c r="H57" s="62"/>
      <c r="I57" s="62"/>
      <c r="J57" s="62"/>
      <c r="K57" s="62"/>
      <c r="L57" s="62"/>
    </row>
    <row r="58" spans="2:12">
      <c r="B58" s="62"/>
      <c r="C58" s="63"/>
      <c r="D58" s="63"/>
      <c r="E58" s="63"/>
      <c r="F58" s="63"/>
      <c r="G58" s="63"/>
      <c r="H58" s="62"/>
      <c r="I58" s="62"/>
      <c r="J58" s="62"/>
      <c r="K58" s="62"/>
      <c r="L58" s="62"/>
    </row>
    <row r="59" spans="2:12">
      <c r="B59" s="62"/>
      <c r="C59" s="63"/>
      <c r="D59" s="63"/>
      <c r="E59" s="63"/>
      <c r="F59" s="63"/>
      <c r="G59" s="63"/>
      <c r="H59" s="62"/>
      <c r="I59" s="62"/>
      <c r="J59" s="62"/>
      <c r="K59" s="62"/>
      <c r="L59" s="62"/>
    </row>
    <row r="60" spans="2:12">
      <c r="B60" s="62"/>
      <c r="C60" s="63"/>
      <c r="D60" s="63"/>
      <c r="E60" s="63"/>
      <c r="F60" s="63"/>
      <c r="G60" s="63"/>
      <c r="H60" s="62"/>
      <c r="I60" s="62"/>
      <c r="J60" s="62"/>
      <c r="K60" s="62"/>
      <c r="L60" s="62"/>
    </row>
    <row r="61" spans="2:12">
      <c r="B61" s="62"/>
      <c r="C61" s="63"/>
      <c r="D61" s="63"/>
      <c r="E61" s="63"/>
      <c r="F61" s="63"/>
      <c r="G61" s="63"/>
      <c r="H61" s="62"/>
      <c r="I61" s="62"/>
      <c r="J61" s="62"/>
      <c r="K61" s="62"/>
      <c r="L61" s="62"/>
    </row>
    <row r="62" spans="2:12">
      <c r="B62" s="62"/>
      <c r="C62" s="63"/>
      <c r="D62" s="63"/>
      <c r="E62" s="63"/>
      <c r="F62" s="63"/>
      <c r="G62" s="63"/>
      <c r="H62" s="62"/>
      <c r="I62" s="62"/>
      <c r="J62" s="62"/>
      <c r="K62" s="62"/>
      <c r="L62" s="62"/>
    </row>
    <row r="63" spans="2:12">
      <c r="B63" s="62"/>
      <c r="C63" s="63"/>
      <c r="D63" s="63"/>
      <c r="E63" s="63"/>
      <c r="F63" s="63"/>
      <c r="G63" s="63"/>
      <c r="H63" s="62"/>
      <c r="I63" s="62"/>
      <c r="J63" s="62"/>
      <c r="K63" s="62"/>
      <c r="L63" s="62"/>
    </row>
    <row r="64" spans="2:12">
      <c r="B64" s="62"/>
      <c r="C64" s="63"/>
      <c r="D64" s="63"/>
      <c r="E64" s="63"/>
      <c r="F64" s="63"/>
      <c r="G64" s="63"/>
      <c r="H64" s="62"/>
      <c r="I64" s="62"/>
      <c r="J64" s="62"/>
      <c r="K64" s="62"/>
      <c r="L64" s="62"/>
    </row>
    <row r="65" spans="2:12">
      <c r="B65" s="62"/>
      <c r="C65" s="63"/>
      <c r="D65" s="63"/>
      <c r="E65" s="63"/>
      <c r="F65" s="63"/>
      <c r="G65" s="63"/>
      <c r="H65" s="62"/>
      <c r="I65" s="62"/>
      <c r="J65" s="62"/>
      <c r="K65" s="62"/>
      <c r="L65" s="62"/>
    </row>
    <row r="66" spans="2:12">
      <c r="B66" s="62"/>
      <c r="C66" s="63"/>
      <c r="D66" s="63"/>
      <c r="E66" s="63"/>
      <c r="F66" s="63"/>
      <c r="G66" s="63"/>
      <c r="H66" s="62"/>
      <c r="I66" s="62"/>
      <c r="J66" s="62"/>
      <c r="K66" s="62"/>
      <c r="L66" s="62"/>
    </row>
    <row r="67" spans="2:12">
      <c r="B67" s="62"/>
      <c r="C67" s="63"/>
      <c r="D67" s="63"/>
      <c r="E67" s="63"/>
      <c r="F67" s="63"/>
      <c r="G67" s="63"/>
      <c r="H67" s="62"/>
    </row>
    <row r="68" spans="2:12">
      <c r="B68" s="62"/>
      <c r="C68" s="63"/>
      <c r="D68" s="63"/>
      <c r="E68" s="63"/>
      <c r="F68" s="63"/>
      <c r="G68" s="63"/>
      <c r="H68" s="62"/>
    </row>
    <row r="69" spans="2:12">
      <c r="B69" s="62"/>
      <c r="C69" s="63"/>
      <c r="D69" s="63"/>
      <c r="E69" s="63"/>
      <c r="F69" s="63"/>
      <c r="G69" s="63"/>
      <c r="H69" s="62"/>
    </row>
    <row r="70" spans="2:12">
      <c r="B70" s="62"/>
      <c r="C70" s="63"/>
      <c r="D70" s="63"/>
      <c r="E70" s="63"/>
      <c r="F70" s="63"/>
      <c r="G70" s="63"/>
      <c r="H70" s="62"/>
    </row>
    <row r="71" spans="2:12">
      <c r="B71" s="62"/>
      <c r="C71" s="63"/>
      <c r="D71" s="63"/>
      <c r="E71" s="63"/>
      <c r="F71" s="63"/>
      <c r="G71" s="63"/>
      <c r="H71" s="62"/>
    </row>
    <row r="72" spans="2:12">
      <c r="B72" s="62"/>
      <c r="C72" s="63"/>
      <c r="D72" s="63"/>
      <c r="E72" s="63"/>
      <c r="F72" s="63"/>
      <c r="G72" s="63"/>
      <c r="H72" s="62"/>
    </row>
    <row r="73" spans="2:12">
      <c r="B73" s="62"/>
      <c r="C73" s="63"/>
      <c r="D73" s="63"/>
      <c r="E73" s="63"/>
      <c r="F73" s="63"/>
      <c r="G73" s="63"/>
      <c r="H73" s="62"/>
    </row>
    <row r="74" spans="2:12">
      <c r="B74" s="62"/>
      <c r="C74" s="63"/>
      <c r="D74" s="63"/>
      <c r="E74" s="63"/>
      <c r="F74" s="63"/>
      <c r="G74" s="63"/>
      <c r="H74" s="62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pane xSplit="6" ySplit="2" topLeftCell="G18" activePane="bottomRight" state="frozen"/>
      <selection pane="topRight"/>
      <selection pane="bottomLeft"/>
      <selection pane="bottomRight" activeCell="G30" sqref="G30"/>
    </sheetView>
  </sheetViews>
  <sheetFormatPr defaultColWidth="9" defaultRowHeight="13.5"/>
  <cols>
    <col min="1" max="1" width="20.625" customWidth="1"/>
    <col min="2" max="2" width="14.25" style="25" customWidth="1"/>
    <col min="3" max="3" width="13.125" customWidth="1"/>
    <col min="4" max="6" width="14.5" customWidth="1"/>
    <col min="7" max="7" width="16.375" customWidth="1"/>
    <col min="8" max="8" width="14.875" customWidth="1"/>
    <col min="9" max="9" width="18.5" customWidth="1"/>
    <col min="10" max="10" width="14.125" customWidth="1"/>
    <col min="12" max="12" width="12" customWidth="1"/>
  </cols>
  <sheetData>
    <row r="1" spans="1:13" ht="20.25">
      <c r="A1" s="228" t="s">
        <v>152</v>
      </c>
      <c r="B1" s="228"/>
      <c r="C1" s="228"/>
      <c r="E1" s="229" t="s">
        <v>254</v>
      </c>
      <c r="F1" s="230"/>
      <c r="G1" s="230"/>
      <c r="H1" s="231"/>
      <c r="J1" s="225"/>
      <c r="K1" s="225"/>
      <c r="L1" s="225"/>
      <c r="M1" s="225"/>
    </row>
    <row r="2" spans="1:13" ht="23.45" customHeight="1">
      <c r="A2" s="26" t="s">
        <v>1</v>
      </c>
      <c r="B2" s="27" t="s">
        <v>153</v>
      </c>
      <c r="C2" s="28" t="s">
        <v>154</v>
      </c>
      <c r="E2" s="206" t="s">
        <v>155</v>
      </c>
      <c r="F2" s="206" t="s">
        <v>1</v>
      </c>
      <c r="G2" s="282" t="s">
        <v>288</v>
      </c>
      <c r="H2" s="206" t="s">
        <v>154</v>
      </c>
      <c r="I2" s="283" t="s">
        <v>289</v>
      </c>
      <c r="J2" s="177"/>
      <c r="K2" s="177"/>
      <c r="L2" s="178"/>
      <c r="M2" s="179"/>
    </row>
    <row r="3" spans="1:13" ht="15.75" customHeight="1">
      <c r="A3" s="29" t="s">
        <v>156</v>
      </c>
      <c r="B3" s="30"/>
      <c r="C3" s="31"/>
      <c r="E3" s="284" t="s">
        <v>157</v>
      </c>
      <c r="F3" s="196" t="s">
        <v>158</v>
      </c>
      <c r="G3" s="285"/>
      <c r="H3" s="196"/>
      <c r="I3" s="286" t="s">
        <v>290</v>
      </c>
      <c r="J3" s="226"/>
      <c r="K3" s="180"/>
      <c r="L3" s="181"/>
      <c r="M3" s="180"/>
    </row>
    <row r="4" spans="1:13" ht="15.75" customHeight="1">
      <c r="A4" s="29" t="s">
        <v>159</v>
      </c>
      <c r="B4" s="30"/>
      <c r="C4" s="32"/>
      <c r="E4" s="287"/>
      <c r="F4" s="196" t="s">
        <v>160</v>
      </c>
      <c r="G4" s="285"/>
      <c r="H4" s="196"/>
      <c r="I4" s="288"/>
      <c r="J4" s="226"/>
      <c r="K4" s="180"/>
      <c r="L4" s="181"/>
      <c r="M4" s="180"/>
    </row>
    <row r="5" spans="1:13" ht="15.75" customHeight="1">
      <c r="A5" s="29" t="s">
        <v>161</v>
      </c>
      <c r="B5" s="33">
        <f>SUM(G3:G4)</f>
        <v>0</v>
      </c>
      <c r="C5" s="31"/>
      <c r="E5" s="289" t="s">
        <v>162</v>
      </c>
      <c r="F5" s="290" t="s">
        <v>163</v>
      </c>
      <c r="G5" s="285"/>
      <c r="H5" s="291"/>
      <c r="I5" s="288"/>
      <c r="J5" s="227"/>
      <c r="K5" s="182"/>
      <c r="L5" s="183"/>
      <c r="M5" s="182"/>
    </row>
    <row r="6" spans="1:13" ht="15.75" customHeight="1">
      <c r="A6" s="29" t="s">
        <v>164</v>
      </c>
      <c r="B6" s="30"/>
      <c r="C6" s="31"/>
      <c r="E6" s="292"/>
      <c r="F6" s="290" t="s">
        <v>165</v>
      </c>
      <c r="G6" s="285"/>
      <c r="H6" s="291"/>
      <c r="I6" s="288"/>
      <c r="J6" s="227"/>
      <c r="K6" s="182"/>
      <c r="L6" s="183"/>
      <c r="M6" s="180"/>
    </row>
    <row r="7" spans="1:13" ht="15.75" customHeight="1">
      <c r="A7" s="34" t="s">
        <v>166</v>
      </c>
      <c r="B7" s="33">
        <f>SUM(B3:B6)</f>
        <v>0</v>
      </c>
      <c r="C7" s="31"/>
      <c r="E7" s="292"/>
      <c r="F7" s="290" t="s">
        <v>167</v>
      </c>
      <c r="G7" s="285"/>
      <c r="H7" s="291"/>
      <c r="I7" s="288"/>
      <c r="J7" s="227"/>
      <c r="K7" s="182"/>
      <c r="L7" s="183"/>
      <c r="M7" s="180"/>
    </row>
    <row r="8" spans="1:13" ht="15.75" customHeight="1">
      <c r="A8" s="35" t="s">
        <v>168</v>
      </c>
      <c r="B8" s="33">
        <f>SUM(G5:G12)</f>
        <v>0</v>
      </c>
      <c r="C8" s="36"/>
      <c r="E8" s="292"/>
      <c r="F8" s="290" t="s">
        <v>169</v>
      </c>
      <c r="G8" s="285"/>
      <c r="H8" s="291"/>
      <c r="I8" s="288"/>
      <c r="J8" s="227"/>
      <c r="K8" s="182"/>
      <c r="L8" s="183"/>
      <c r="M8" s="180"/>
    </row>
    <row r="9" spans="1:13" ht="15.75" customHeight="1">
      <c r="A9" s="29" t="s">
        <v>170</v>
      </c>
      <c r="B9" s="33">
        <f>SUM(G13:G21)</f>
        <v>26.5</v>
      </c>
      <c r="C9" s="31"/>
      <c r="E9" s="292"/>
      <c r="F9" s="196" t="s">
        <v>171</v>
      </c>
      <c r="G9" s="167"/>
      <c r="H9" s="291"/>
      <c r="I9" s="288"/>
      <c r="J9" s="227"/>
      <c r="K9" s="180"/>
      <c r="L9" s="183"/>
      <c r="M9" s="184"/>
    </row>
    <row r="10" spans="1:13" ht="15.75" customHeight="1">
      <c r="A10" s="32" t="s">
        <v>18</v>
      </c>
      <c r="B10" s="33">
        <f>B7+B8+B9</f>
        <v>26.5</v>
      </c>
      <c r="C10" s="31"/>
      <c r="E10" s="292"/>
      <c r="F10" s="196" t="s">
        <v>172</v>
      </c>
      <c r="G10" s="167"/>
      <c r="H10" s="290"/>
      <c r="I10" s="288"/>
      <c r="J10" s="227"/>
      <c r="K10" s="180"/>
      <c r="L10" s="185"/>
      <c r="M10" s="180"/>
    </row>
    <row r="11" spans="1:13" ht="15.75" customHeight="1">
      <c r="E11" s="292"/>
      <c r="F11" s="196" t="s">
        <v>173</v>
      </c>
      <c r="G11" s="285"/>
      <c r="H11" s="291"/>
      <c r="I11" s="288"/>
      <c r="J11" s="227"/>
      <c r="K11" s="180"/>
      <c r="L11" s="185"/>
      <c r="M11" s="180"/>
    </row>
    <row r="12" spans="1:13" ht="15.75" customHeight="1">
      <c r="E12" s="293"/>
      <c r="F12" s="196" t="s">
        <v>174</v>
      </c>
      <c r="G12" s="285">
        <v>0</v>
      </c>
      <c r="H12" s="196"/>
      <c r="I12" s="288"/>
      <c r="J12" s="227"/>
      <c r="K12" s="180"/>
      <c r="L12" s="183"/>
      <c r="M12" s="184"/>
    </row>
    <row r="13" spans="1:13" ht="15.75" customHeight="1">
      <c r="E13" s="284" t="s">
        <v>50</v>
      </c>
      <c r="F13" s="196" t="s">
        <v>175</v>
      </c>
      <c r="G13" s="285">
        <v>0</v>
      </c>
      <c r="H13" s="197"/>
      <c r="I13" s="288"/>
      <c r="J13" s="226"/>
      <c r="K13" s="180"/>
      <c r="L13" s="183"/>
      <c r="M13" s="186"/>
    </row>
    <row r="14" spans="1:13" ht="15.75" customHeight="1">
      <c r="E14" s="287"/>
      <c r="F14" s="196" t="s">
        <v>176</v>
      </c>
      <c r="G14" s="285">
        <v>2</v>
      </c>
      <c r="H14" s="196"/>
      <c r="I14" s="288"/>
      <c r="J14" s="226"/>
      <c r="K14" s="180"/>
      <c r="L14" s="183"/>
      <c r="M14" s="180"/>
    </row>
    <row r="15" spans="1:13" ht="15.75" customHeight="1">
      <c r="E15" s="287"/>
      <c r="F15" s="196" t="s">
        <v>177</v>
      </c>
      <c r="G15" s="285">
        <v>0.5</v>
      </c>
      <c r="H15" s="196"/>
      <c r="I15" s="288"/>
      <c r="J15" s="226"/>
      <c r="K15" s="180"/>
      <c r="L15" s="183"/>
      <c r="M15" s="180"/>
    </row>
    <row r="16" spans="1:13" ht="15.75" customHeight="1">
      <c r="E16" s="287"/>
      <c r="F16" s="196" t="s">
        <v>178</v>
      </c>
      <c r="G16" s="285">
        <v>3</v>
      </c>
      <c r="H16" s="196"/>
      <c r="I16" s="288"/>
      <c r="J16" s="226"/>
      <c r="K16" s="180"/>
      <c r="L16" s="183"/>
      <c r="M16" s="180"/>
    </row>
    <row r="17" spans="1:13" ht="15.75" customHeight="1">
      <c r="E17" s="287"/>
      <c r="F17" s="196" t="s">
        <v>179</v>
      </c>
      <c r="G17" s="285">
        <v>3</v>
      </c>
      <c r="H17" s="196"/>
      <c r="I17" s="288"/>
      <c r="J17" s="226"/>
      <c r="K17" s="180"/>
      <c r="L17" s="183"/>
      <c r="M17" s="180"/>
    </row>
    <row r="18" spans="1:13" ht="15.75" customHeight="1">
      <c r="E18" s="287"/>
      <c r="F18" s="196" t="s">
        <v>180</v>
      </c>
      <c r="G18" s="285">
        <v>8</v>
      </c>
      <c r="H18" s="196" t="s">
        <v>285</v>
      </c>
      <c r="I18" s="288"/>
      <c r="J18" s="226"/>
      <c r="K18" s="180"/>
      <c r="L18" s="183"/>
      <c r="M18" s="180"/>
    </row>
    <row r="19" spans="1:13" ht="15.75" customHeight="1">
      <c r="E19" s="287"/>
      <c r="F19" s="196" t="s">
        <v>181</v>
      </c>
      <c r="G19" s="285">
        <v>10</v>
      </c>
      <c r="H19" s="196" t="s">
        <v>286</v>
      </c>
      <c r="I19" s="288"/>
      <c r="J19" s="226"/>
      <c r="K19" s="180"/>
      <c r="L19" s="187"/>
      <c r="M19" s="180"/>
    </row>
    <row r="20" spans="1:13" ht="15.75" customHeight="1">
      <c r="E20" s="287"/>
      <c r="F20" s="196" t="s">
        <v>182</v>
      </c>
      <c r="G20" s="285"/>
      <c r="H20" s="196"/>
      <c r="I20" s="288"/>
      <c r="J20" s="226"/>
      <c r="K20" s="180"/>
      <c r="L20" s="181"/>
      <c r="M20" s="180"/>
    </row>
    <row r="21" spans="1:13" ht="15.75" customHeight="1">
      <c r="E21" s="294"/>
      <c r="F21" s="196" t="s">
        <v>130</v>
      </c>
      <c r="G21" s="285"/>
      <c r="H21" s="196"/>
      <c r="I21" s="288"/>
      <c r="J21" s="226"/>
      <c r="K21" s="180"/>
      <c r="L21" s="181"/>
      <c r="M21" s="180"/>
    </row>
    <row r="22" spans="1:13" ht="15.75" customHeight="1">
      <c r="E22" s="206" t="s">
        <v>18</v>
      </c>
      <c r="F22" s="196"/>
      <c r="G22" s="295">
        <f>SUM(G3:G21)</f>
        <v>26.5</v>
      </c>
      <c r="H22" s="196"/>
      <c r="I22" s="288"/>
      <c r="J22" s="226"/>
      <c r="K22" s="180"/>
      <c r="L22" s="188"/>
      <c r="M22" s="180"/>
    </row>
    <row r="23" spans="1:13" ht="30.75" customHeight="1">
      <c r="E23" s="296" t="s">
        <v>287</v>
      </c>
      <c r="F23" s="296"/>
      <c r="G23" s="296"/>
      <c r="H23" s="296"/>
      <c r="I23" s="297"/>
    </row>
    <row r="25" spans="1:13" ht="17.25">
      <c r="A25" s="18" t="s">
        <v>1</v>
      </c>
      <c r="B25" s="18" t="s">
        <v>153</v>
      </c>
      <c r="C25" s="18" t="s">
        <v>183</v>
      </c>
      <c r="D25" s="168" t="s">
        <v>291</v>
      </c>
      <c r="E25" s="200" t="s">
        <v>184</v>
      </c>
      <c r="F25" s="200" t="s">
        <v>185</v>
      </c>
      <c r="G25" s="200" t="s">
        <v>229</v>
      </c>
      <c r="H25" s="200" t="s">
        <v>268</v>
      </c>
      <c r="I25" s="20" t="s">
        <v>18</v>
      </c>
      <c r="J25" s="40" t="s">
        <v>186</v>
      </c>
    </row>
    <row r="26" spans="1:13" ht="16.5">
      <c r="A26" s="37" t="s">
        <v>148</v>
      </c>
      <c r="B26" s="38">
        <f>(B5+B8)*10000</f>
        <v>0</v>
      </c>
      <c r="C26" s="39">
        <v>0.05</v>
      </c>
      <c r="D26" s="12">
        <f>B26*(1-C26)/4</f>
        <v>0</v>
      </c>
      <c r="E26" s="12">
        <f t="shared" ref="E26:F27" si="0">D26</f>
        <v>0</v>
      </c>
      <c r="F26" s="12">
        <f t="shared" si="0"/>
        <v>0</v>
      </c>
      <c r="G26" s="12">
        <f>F26</f>
        <v>0</v>
      </c>
      <c r="H26" s="12"/>
      <c r="I26" s="12">
        <f>SUM(D26:H26)</f>
        <v>0</v>
      </c>
      <c r="J26" s="12">
        <f>B26*0.05</f>
        <v>0</v>
      </c>
    </row>
    <row r="27" spans="1:13" ht="16.5">
      <c r="A27" s="37" t="s">
        <v>187</v>
      </c>
      <c r="B27" s="38">
        <f>B9*10000</f>
        <v>265000</v>
      </c>
      <c r="C27" s="12"/>
      <c r="D27" s="12">
        <f>B27/5</f>
        <v>53000</v>
      </c>
      <c r="E27" s="12">
        <f>D27</f>
        <v>53000</v>
      </c>
      <c r="F27" s="12">
        <f t="shared" si="0"/>
        <v>53000</v>
      </c>
      <c r="G27" s="12">
        <f t="shared" ref="G27:H27" si="1">F27</f>
        <v>53000</v>
      </c>
      <c r="H27" s="12">
        <f t="shared" si="1"/>
        <v>53000</v>
      </c>
      <c r="I27" s="12">
        <f>SUM(D27:H27)</f>
        <v>265000</v>
      </c>
      <c r="J27" s="12"/>
    </row>
    <row r="28" spans="1:13" ht="16.5">
      <c r="A28" s="232" t="s">
        <v>110</v>
      </c>
      <c r="B28" s="233"/>
      <c r="C28" s="234"/>
      <c r="D28" s="12">
        <f>SUM(D26:D27)</f>
        <v>53000</v>
      </c>
      <c r="E28" s="12">
        <f t="shared" ref="E28:H28" si="2">SUM(E26:E27)</f>
        <v>53000</v>
      </c>
      <c r="F28" s="12">
        <f t="shared" si="2"/>
        <v>53000</v>
      </c>
      <c r="G28" s="12">
        <f t="shared" si="2"/>
        <v>53000</v>
      </c>
      <c r="H28" s="12">
        <f t="shared" si="2"/>
        <v>53000</v>
      </c>
      <c r="I28" s="41"/>
      <c r="J28" s="41"/>
    </row>
  </sheetData>
  <mergeCells count="12">
    <mergeCell ref="E23:H23"/>
    <mergeCell ref="A28:C28"/>
    <mergeCell ref="E3:E4"/>
    <mergeCell ref="E5:E12"/>
    <mergeCell ref="E13:E21"/>
    <mergeCell ref="J1:M1"/>
    <mergeCell ref="J3:J4"/>
    <mergeCell ref="J5:J12"/>
    <mergeCell ref="J13:J22"/>
    <mergeCell ref="A1:C1"/>
    <mergeCell ref="E1:H1"/>
    <mergeCell ref="I3:I23"/>
  </mergeCells>
  <phoneticPr fontId="3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2023-09-26T02:13:47Z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