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wangguangqun\Desktop\戴姆勒卡车集团补盲镜出口项目\"/>
    </mc:Choice>
  </mc:AlternateContent>
  <bookViews>
    <workbookView xWindow="-105" yWindow="-105" windowWidth="19425" windowHeight="10425" firstSheet="3" activeTab="3"/>
  </bookViews>
  <sheets>
    <sheet name="后视镜售价核算" sheetId="1" state="hidden" r:id="rId1"/>
    <sheet name="后视镜售价核算 (2)" sheetId="2" state="hidden" r:id="rId2"/>
    <sheet name="后视镜售价核算 (5)" sheetId="7" state="hidden" r:id="rId3"/>
    <sheet name="2023.8.30 Ramp mirror quotation" sheetId="11" r:id="rId4"/>
    <sheet name="Ocean transportation breakdown" sheetId="12" r:id="rId5"/>
    <sheet name="内部售价" sheetId="4" state="hidden" r:id="rId6"/>
    <sheet name="后视镜售价核算 (3)" sheetId="5" state="hidden" r:id="rId7"/>
  </sheets>
  <calcPr calcId="162913"/>
</workbook>
</file>

<file path=xl/calcChain.xml><?xml version="1.0" encoding="utf-8"?>
<calcChain xmlns="http://schemas.openxmlformats.org/spreadsheetml/2006/main">
  <c r="Q6" i="11" l="1"/>
  <c r="Q5" i="11"/>
  <c r="E7" i="11" l="1"/>
  <c r="K7" i="11" s="1"/>
  <c r="E5" i="11"/>
  <c r="K5" i="11" s="1"/>
  <c r="J5" i="11"/>
  <c r="J7" i="11" s="1"/>
  <c r="H5" i="11"/>
  <c r="G5" i="11"/>
  <c r="F6" i="11"/>
  <c r="M6" i="11" s="1"/>
  <c r="H7" i="11"/>
  <c r="F24" i="5"/>
  <c r="E24" i="5"/>
  <c r="F23" i="5"/>
  <c r="G23" i="5" s="1"/>
  <c r="F22" i="5"/>
  <c r="G22" i="5" s="1"/>
  <c r="F21" i="5"/>
  <c r="G21" i="5" s="1"/>
  <c r="F20" i="5"/>
  <c r="G20" i="5" s="1"/>
  <c r="G19" i="5"/>
  <c r="F19" i="5"/>
  <c r="F18" i="5"/>
  <c r="G18" i="5" s="1"/>
  <c r="F17" i="5"/>
  <c r="G17" i="5" s="1"/>
  <c r="F16" i="5"/>
  <c r="G16" i="5" s="1"/>
  <c r="F15" i="5"/>
  <c r="G15" i="5" s="1"/>
  <c r="F14" i="5"/>
  <c r="G14" i="5" s="1"/>
  <c r="G13" i="5"/>
  <c r="F13" i="5"/>
  <c r="F12" i="5"/>
  <c r="G12" i="5" s="1"/>
  <c r="F11" i="5"/>
  <c r="G11" i="5" s="1"/>
  <c r="F10" i="5"/>
  <c r="G10" i="5" s="1"/>
  <c r="F9" i="5"/>
  <c r="G9" i="5" s="1"/>
  <c r="F8" i="5"/>
  <c r="G8" i="5" s="1"/>
  <c r="G7" i="5"/>
  <c r="F7" i="5"/>
  <c r="F6" i="5"/>
  <c r="G6" i="5" s="1"/>
  <c r="F5" i="5"/>
  <c r="G5" i="5" s="1"/>
  <c r="F4" i="5"/>
  <c r="G4" i="5" s="1"/>
  <c r="F14" i="4"/>
  <c r="F13" i="4"/>
  <c r="F12" i="4"/>
  <c r="F11" i="4"/>
  <c r="F10" i="4"/>
  <c r="E9" i="4"/>
  <c r="E15" i="4" s="1"/>
  <c r="F8" i="4"/>
  <c r="F7" i="4"/>
  <c r="F6" i="4"/>
  <c r="F5" i="4"/>
  <c r="F4" i="4"/>
  <c r="L7" i="11"/>
  <c r="G7" i="11"/>
  <c r="G35" i="7"/>
  <c r="G34" i="7"/>
  <c r="E34" i="7"/>
  <c r="E37" i="7" s="1"/>
  <c r="E33" i="7"/>
  <c r="R18" i="7"/>
  <c r="G14" i="7"/>
  <c r="G13" i="7"/>
  <c r="G12" i="7"/>
  <c r="G11" i="7"/>
  <c r="G10" i="7"/>
  <c r="E9" i="7"/>
  <c r="E15" i="7" s="1"/>
  <c r="G8" i="7"/>
  <c r="G7" i="7"/>
  <c r="G6" i="7"/>
  <c r="G5" i="7"/>
  <c r="Q4" i="7"/>
  <c r="R4" i="7" s="1"/>
  <c r="G4" i="7"/>
  <c r="G34" i="2"/>
  <c r="E33" i="2"/>
  <c r="E37" i="2" s="1"/>
  <c r="P28" i="2"/>
  <c r="R18" i="2"/>
  <c r="G16" i="2"/>
  <c r="E15" i="2"/>
  <c r="H14" i="2" s="1"/>
  <c r="I14" i="2" s="1"/>
  <c r="G14" i="2"/>
  <c r="G13" i="2"/>
  <c r="G12" i="2"/>
  <c r="G11" i="2"/>
  <c r="G10" i="2"/>
  <c r="G9" i="2"/>
  <c r="G15" i="2" s="1"/>
  <c r="Q18" i="2" s="1"/>
  <c r="Q20" i="2" s="1"/>
  <c r="E9" i="2"/>
  <c r="G8" i="2"/>
  <c r="H7" i="2"/>
  <c r="I7" i="2" s="1"/>
  <c r="G7" i="2"/>
  <c r="G6" i="2"/>
  <c r="H5" i="2"/>
  <c r="I5" i="2" s="1"/>
  <c r="G5" i="2"/>
  <c r="Q4" i="2"/>
  <c r="R4" i="2" s="1"/>
  <c r="G4" i="2"/>
  <c r="D26" i="1"/>
  <c r="D29" i="1" s="1"/>
  <c r="L12" i="1"/>
  <c r="O12" i="1" s="1"/>
  <c r="H12" i="1"/>
  <c r="R12" i="1" s="1"/>
  <c r="F12" i="1"/>
  <c r="H11" i="1"/>
  <c r="L11" i="1" s="1"/>
  <c r="O11" i="1" s="1"/>
  <c r="F11" i="1"/>
  <c r="H10" i="1"/>
  <c r="R10" i="1" s="1"/>
  <c r="F10" i="1"/>
  <c r="L9" i="1"/>
  <c r="O9" i="1" s="1"/>
  <c r="H9" i="1"/>
  <c r="R9" i="1" s="1"/>
  <c r="F9" i="1"/>
  <c r="H8" i="1"/>
  <c r="L8" i="1" s="1"/>
  <c r="O8" i="1" s="1"/>
  <c r="F8" i="1"/>
  <c r="H7" i="1"/>
  <c r="R7" i="1" s="1"/>
  <c r="F7" i="1"/>
  <c r="L6" i="1"/>
  <c r="O6" i="1" s="1"/>
  <c r="H6" i="1"/>
  <c r="R6" i="1" s="1"/>
  <c r="F6" i="1"/>
  <c r="H5" i="1"/>
  <c r="L5" i="1" s="1"/>
  <c r="O5" i="1" s="1"/>
  <c r="F5" i="1"/>
  <c r="H4" i="1"/>
  <c r="R4" i="1" s="1"/>
  <c r="F4" i="1"/>
  <c r="L3" i="1"/>
  <c r="O3" i="1" s="1"/>
  <c r="H3" i="1"/>
  <c r="R3" i="1" s="1"/>
  <c r="F3" i="1"/>
  <c r="H2" i="1"/>
  <c r="L2" i="1" s="1"/>
  <c r="O2" i="1" s="1"/>
  <c r="F2" i="1"/>
  <c r="F5" i="11" l="1"/>
  <c r="I5" i="11" s="1"/>
  <c r="F7" i="11"/>
  <c r="I7" i="11" s="1"/>
  <c r="H7" i="4"/>
  <c r="I7" i="4" s="1"/>
  <c r="J7" i="4" s="1"/>
  <c r="M12" i="2"/>
  <c r="M7" i="7"/>
  <c r="G10" i="4"/>
  <c r="H10" i="4" s="1"/>
  <c r="I10" i="4" s="1"/>
  <c r="J10" i="4" s="1"/>
  <c r="G14" i="4"/>
  <c r="H14" i="4" s="1"/>
  <c r="I14" i="4" s="1"/>
  <c r="J14" i="4" s="1"/>
  <c r="G12" i="4"/>
  <c r="G5" i="4"/>
  <c r="H5" i="4" s="1"/>
  <c r="I5" i="4" s="1"/>
  <c r="J5" i="4" s="1"/>
  <c r="G7" i="4"/>
  <c r="G8" i="4"/>
  <c r="H8" i="4" s="1"/>
  <c r="I8" i="4" s="1"/>
  <c r="J8" i="4" s="1"/>
  <c r="G11" i="4"/>
  <c r="G4" i="4"/>
  <c r="G13" i="4"/>
  <c r="G6" i="4"/>
  <c r="H6" i="4" s="1"/>
  <c r="I6" i="4" s="1"/>
  <c r="J6" i="4" s="1"/>
  <c r="S7" i="1"/>
  <c r="S4" i="1"/>
  <c r="M8" i="7"/>
  <c r="J12" i="7"/>
  <c r="H10" i="7"/>
  <c r="I10" i="7" s="1"/>
  <c r="M10" i="7" s="1"/>
  <c r="J14" i="7"/>
  <c r="H12" i="7"/>
  <c r="I12" i="7" s="1"/>
  <c r="M12" i="7" s="1"/>
  <c r="H7" i="7"/>
  <c r="I7" i="7" s="1"/>
  <c r="H14" i="7"/>
  <c r="I14" i="7" s="1"/>
  <c r="M14" i="7" s="1"/>
  <c r="M19" i="7"/>
  <c r="J4" i="7"/>
  <c r="J11" i="7"/>
  <c r="H4" i="7"/>
  <c r="J10" i="7"/>
  <c r="G15" i="7"/>
  <c r="H6" i="7"/>
  <c r="I6" i="7" s="1"/>
  <c r="M6" i="7" s="1"/>
  <c r="J13" i="7"/>
  <c r="H11" i="7"/>
  <c r="I11" i="7" s="1"/>
  <c r="M11" i="7" s="1"/>
  <c r="H5" i="7"/>
  <c r="I5" i="7" s="1"/>
  <c r="M5" i="7" s="1"/>
  <c r="H8" i="7"/>
  <c r="I8" i="7" s="1"/>
  <c r="H13" i="7"/>
  <c r="I13" i="7" s="1"/>
  <c r="M13" i="7" s="1"/>
  <c r="H11" i="4"/>
  <c r="I11" i="4" s="1"/>
  <c r="J11" i="4" s="1"/>
  <c r="H12" i="4"/>
  <c r="I12" i="4" s="1"/>
  <c r="J12" i="4" s="1"/>
  <c r="S6" i="1"/>
  <c r="M7" i="2"/>
  <c r="H4" i="4"/>
  <c r="I4" i="4" s="1"/>
  <c r="H13" i="4"/>
  <c r="I13" i="4" s="1"/>
  <c r="J13" i="4" s="1"/>
  <c r="G24" i="5"/>
  <c r="R2" i="1"/>
  <c r="J4" i="1"/>
  <c r="P4" i="1" s="1"/>
  <c r="R5" i="1"/>
  <c r="J7" i="1"/>
  <c r="P7" i="1" s="1"/>
  <c r="R8" i="1"/>
  <c r="J10" i="1"/>
  <c r="P10" i="1" s="1"/>
  <c r="R11" i="1"/>
  <c r="D30" i="1"/>
  <c r="J5" i="2"/>
  <c r="L5" i="2" s="1"/>
  <c r="J7" i="2"/>
  <c r="L7" i="2" s="1"/>
  <c r="H11" i="2"/>
  <c r="I11" i="2" s="1"/>
  <c r="M11" i="2" s="1"/>
  <c r="L4" i="1"/>
  <c r="O4" i="1" s="1"/>
  <c r="L7" i="1"/>
  <c r="O7" i="1" s="1"/>
  <c r="L10" i="1"/>
  <c r="O10" i="1" s="1"/>
  <c r="J9" i="2"/>
  <c r="L9" i="2" s="1"/>
  <c r="J11" i="2"/>
  <c r="L11" i="2" s="1"/>
  <c r="J13" i="2"/>
  <c r="L13" i="2" s="1"/>
  <c r="E36" i="2"/>
  <c r="E36" i="7"/>
  <c r="H9" i="2"/>
  <c r="I9" i="2" s="1"/>
  <c r="M9" i="2" s="1"/>
  <c r="H13" i="2"/>
  <c r="I13" i="2" s="1"/>
  <c r="M13" i="2" s="1"/>
  <c r="H4" i="2"/>
  <c r="G9" i="7"/>
  <c r="F9" i="4"/>
  <c r="J3" i="1"/>
  <c r="P3" i="1" s="1"/>
  <c r="J6" i="1"/>
  <c r="P6" i="1" s="1"/>
  <c r="J9" i="1"/>
  <c r="P9" i="1" s="1"/>
  <c r="J12" i="1"/>
  <c r="P12" i="1" s="1"/>
  <c r="J4" i="2"/>
  <c r="H6" i="2"/>
  <c r="I6" i="2" s="1"/>
  <c r="M6" i="2" s="1"/>
  <c r="H8" i="2"/>
  <c r="I8" i="2" s="1"/>
  <c r="M8" i="2" s="1"/>
  <c r="H9" i="7"/>
  <c r="I9" i="7" s="1"/>
  <c r="G9" i="4"/>
  <c r="J6" i="2"/>
  <c r="L6" i="2" s="1"/>
  <c r="J8" i="2"/>
  <c r="L8" i="2" s="1"/>
  <c r="J9" i="7"/>
  <c r="H10" i="2"/>
  <c r="I10" i="2" s="1"/>
  <c r="M10" i="2" s="1"/>
  <c r="J10" i="2"/>
  <c r="L10" i="2" s="1"/>
  <c r="J12" i="2"/>
  <c r="L12" i="2" s="1"/>
  <c r="J14" i="2"/>
  <c r="L14" i="2" s="1"/>
  <c r="H12" i="2"/>
  <c r="I12" i="2" s="1"/>
  <c r="J2" i="1"/>
  <c r="J5" i="1"/>
  <c r="J8" i="1"/>
  <c r="J11" i="1"/>
  <c r="M5" i="11" l="1"/>
  <c r="M7" i="11"/>
  <c r="I4" i="2"/>
  <c r="H15" i="2"/>
  <c r="P11" i="1"/>
  <c r="S11" i="1" s="1"/>
  <c r="G26" i="7"/>
  <c r="Q18" i="7"/>
  <c r="Q20" i="7" s="1"/>
  <c r="M5" i="2"/>
  <c r="P8" i="1"/>
  <c r="S8" i="1" s="1"/>
  <c r="P5" i="1"/>
  <c r="S5" i="1"/>
  <c r="L4" i="2"/>
  <c r="L15" i="2" s="1"/>
  <c r="J15" i="2"/>
  <c r="M9" i="7"/>
  <c r="I4" i="7"/>
  <c r="H15" i="7"/>
  <c r="G15" i="4"/>
  <c r="S9" i="1"/>
  <c r="S3" i="1"/>
  <c r="P2" i="1"/>
  <c r="S2" i="1"/>
  <c r="J4" i="4"/>
  <c r="I15" i="4"/>
  <c r="S10" i="1"/>
  <c r="S12" i="1"/>
  <c r="J15" i="7"/>
  <c r="H9" i="4"/>
  <c r="I9" i="4" s="1"/>
  <c r="J9" i="4" s="1"/>
  <c r="F15" i="4"/>
  <c r="H15" i="4" s="1"/>
  <c r="M14" i="2"/>
  <c r="J15" i="4" l="1"/>
  <c r="I15" i="2"/>
  <c r="I16" i="2" s="1"/>
  <c r="M4" i="2"/>
  <c r="M15" i="2" s="1"/>
  <c r="M4" i="7"/>
  <c r="M15" i="7" s="1"/>
  <c r="I15" i="7"/>
  <c r="I16" i="7" s="1"/>
</calcChain>
</file>

<file path=xl/sharedStrings.xml><?xml version="1.0" encoding="utf-8"?>
<sst xmlns="http://schemas.openxmlformats.org/spreadsheetml/2006/main" count="299" uniqueCount="120">
  <si>
    <t>序号</t>
  </si>
  <si>
    <t>零件号</t>
  </si>
  <si>
    <t>零件名称</t>
  </si>
  <si>
    <t>数量</t>
  </si>
  <si>
    <t>货值</t>
  </si>
  <si>
    <t>保险费用</t>
  </si>
  <si>
    <t>整套货值</t>
  </si>
  <si>
    <t>占整套货值比例</t>
  </si>
  <si>
    <t>门到门运费（总）</t>
  </si>
  <si>
    <t>门到门运费（单）</t>
  </si>
  <si>
    <t>从河北工厂到抵达港(总）</t>
  </si>
  <si>
    <t>从河北工厂到抵达港(单）</t>
  </si>
  <si>
    <t>关税税率</t>
  </si>
  <si>
    <t>增值税税率</t>
  </si>
  <si>
    <t>关税</t>
  </si>
  <si>
    <t>增值税</t>
  </si>
  <si>
    <t>包装费（总）</t>
  </si>
  <si>
    <t>包装费（单）</t>
  </si>
  <si>
    <t>费用小计</t>
  </si>
  <si>
    <t>A9608106519</t>
  </si>
  <si>
    <t>右后视镜总成</t>
  </si>
  <si>
    <t>A9608106619</t>
  </si>
  <si>
    <t>左后视镜总成</t>
  </si>
  <si>
    <t>A0028107516</t>
  </si>
  <si>
    <t>补盲镜</t>
  </si>
  <si>
    <t>A9608118007</t>
  </si>
  <si>
    <t>左后盖</t>
  </si>
  <si>
    <t>A9608118107</t>
  </si>
  <si>
    <t>右后盖</t>
  </si>
  <si>
    <t>A9608118407</t>
  </si>
  <si>
    <t>左下安装座装饰盖</t>
  </si>
  <si>
    <t>A9608117807</t>
  </si>
  <si>
    <t>右下安装座装饰盖</t>
  </si>
  <si>
    <t>A9608118207</t>
  </si>
  <si>
    <t>左后盖装饰盖</t>
  </si>
  <si>
    <t>A9608118307</t>
  </si>
  <si>
    <t>右后盖装饰盖</t>
  </si>
  <si>
    <t>A9608118507</t>
  </si>
  <si>
    <t>左上安装座装饰盖</t>
  </si>
  <si>
    <t>A9608117907</t>
  </si>
  <si>
    <t>右上安装座装饰盖</t>
  </si>
  <si>
    <t>备注：（1）关税基数=货值+从河北工厂到抵达港运费+保险；
（2）增值税基数=货值+门到门运费+保险；</t>
  </si>
  <si>
    <t>运输费用</t>
  </si>
  <si>
    <t>项目</t>
  </si>
  <si>
    <t>费用</t>
  </si>
  <si>
    <t>从河北工厂提货到发运港费用明细</t>
  </si>
  <si>
    <t>提货费</t>
  </si>
  <si>
    <t>港杂费</t>
  </si>
  <si>
    <t>文件费</t>
  </si>
  <si>
    <t>报关费</t>
  </si>
  <si>
    <t>THC</t>
  </si>
  <si>
    <t>VGM</t>
  </si>
  <si>
    <t>舱单费</t>
  </si>
  <si>
    <t>进仓费</t>
  </si>
  <si>
    <t>从河北工厂提货到发运港</t>
  </si>
  <si>
    <t>从发运港到抵达港</t>
  </si>
  <si>
    <t>从抵达港到德国仓库费用</t>
  </si>
  <si>
    <t>从河北工厂到抵达港（总）</t>
  </si>
  <si>
    <t>Daimler Actors后视镜德国报价</t>
  </si>
  <si>
    <t>国内售价不含摊销</t>
  </si>
  <si>
    <t>保险费用1.1*0.08%</t>
  </si>
  <si>
    <t>门到门运费（含所有费用）</t>
  </si>
  <si>
    <t>从河北工厂到抵达港运费</t>
  </si>
  <si>
    <t>关税税率4%</t>
  </si>
  <si>
    <t>包装费</t>
  </si>
  <si>
    <t>管理费（德国费用）</t>
  </si>
  <si>
    <t>退税13%+6%</t>
  </si>
  <si>
    <t>产品成品</t>
  </si>
  <si>
    <t>备注</t>
  </si>
  <si>
    <t>对比2022年1月报价</t>
  </si>
  <si>
    <t>1欧元=7.28元</t>
  </si>
  <si>
    <t>按照现汇率</t>
  </si>
  <si>
    <t>370最低</t>
  </si>
  <si>
    <t>合计单套费用</t>
  </si>
  <si>
    <t>单趟总费用</t>
  </si>
  <si>
    <t>仓储费</t>
  </si>
  <si>
    <t>主镜</t>
  </si>
  <si>
    <t>备注：（1）关税基数=货值+从河北工厂到抵达港运费+保险；
      （2）增值税基数=货值+门到门运费+保险；</t>
  </si>
  <si>
    <t>序号No.</t>
  </si>
  <si>
    <t>零件名称
Part name</t>
  </si>
  <si>
    <t>配置Configuration</t>
  </si>
  <si>
    <t>出厂价EXW Price</t>
  </si>
  <si>
    <t>保险费用Insurance:1.1*0.08%</t>
  </si>
  <si>
    <t>门到门运费（含所有费用）Total transport cost</t>
  </si>
  <si>
    <t>关税税率4%
Customs tax rate4%</t>
  </si>
  <si>
    <t>包装费Packaging cost</t>
  </si>
  <si>
    <t>管理费（主镜：售价的5%补盲镜：售价3%）Administration cost(main mirror:exw price*5%;ramp mirror:exw price*3%</t>
  </si>
  <si>
    <t>工装车费Rack renting cost</t>
  </si>
  <si>
    <t>产品售价Total cost</t>
  </si>
  <si>
    <t>售价合计Total cost/mirror</t>
  </si>
  <si>
    <t>备注Remarks</t>
  </si>
  <si>
    <t>For details, see PBD</t>
  </si>
  <si>
    <t>EXW Price*1.1*0.08%</t>
  </si>
  <si>
    <t>(Exw price+insurance cost+transport cost)*4%</t>
  </si>
  <si>
    <t>Main mirror:exw price*5%
Ramp mirror:exw price*3%</t>
  </si>
  <si>
    <t xml:space="preserve"> Total quantity to divide the total work day and multiply by 1.5 times</t>
  </si>
  <si>
    <t>Currency:1Euro:7.35RMB</t>
  </si>
  <si>
    <t>0102</t>
  </si>
  <si>
    <t>补盲镜支架
Ramp mirror supporting part</t>
  </si>
  <si>
    <t>0496</t>
  </si>
  <si>
    <t>Daimler Actors后视镜内部交易价格</t>
  </si>
  <si>
    <t>合计产品价格</t>
  </si>
  <si>
    <t>河北售价北京（按照预算会议标准，扣除10%费用）</t>
  </si>
  <si>
    <t>北京销售德国工厂，按照附加3%的管理费开票</t>
  </si>
  <si>
    <t>运费核价：2022年11月11日</t>
  </si>
  <si>
    <t>售价</t>
  </si>
  <si>
    <t>合计</t>
  </si>
  <si>
    <t>运输费</t>
  </si>
  <si>
    <t>材质标准/标志</t>
  </si>
  <si>
    <t>主镜体</t>
  </si>
  <si>
    <t>上镜臂</t>
  </si>
  <si>
    <t>下镜臂</t>
  </si>
  <si>
    <t>中间盖</t>
  </si>
  <si>
    <t>30902.2RMB-total transportation cost</t>
    <phoneticPr fontId="6" type="noConversion"/>
  </si>
  <si>
    <t xml:space="preserve">Total freight cost is4204.4Euro,we plan to export the main mirror and ramp mirror together as a set,then the container can contain 4608pcs </t>
    <phoneticPr fontId="6" type="noConversion"/>
  </si>
  <si>
    <t>Transport cost from Hebei plant to Germany port</t>
    <phoneticPr fontId="6" type="noConversion"/>
  </si>
  <si>
    <t>从河北工厂到抵达港运费Transport cost from Hebei plant to Germany port</t>
    <phoneticPr fontId="6" type="noConversion"/>
  </si>
  <si>
    <t>补盲镜（国内批量）H6 ramp mirror</t>
    <phoneticPr fontId="6" type="noConversion"/>
  </si>
  <si>
    <t>Ramp mirror quotation breakdown</t>
    <phoneticPr fontId="6" type="noConversion"/>
  </si>
  <si>
    <t>补盲镜与0002对称Ramp mirror,opposit with 0002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</si>
</sst>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0.00_);[Red]\(0.00\)"/>
  </numFmts>
  <fonts count="9" x14ac:knownFonts="1">
    <font>
      <sz val="11"/>
      <color theme="1"/>
      <name val="等线"/>
      <charset val="134"/>
      <scheme val="minor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8"/>
      <color theme="1"/>
      <name val="宋体"/>
      <family val="3"/>
      <charset val="134"/>
    </font>
    <font>
      <b/>
      <sz val="20"/>
      <color theme="1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1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176" fontId="1" fillId="2" borderId="3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76" fontId="1" fillId="2" borderId="9" xfId="0" applyNumberFormat="1" applyFont="1" applyFill="1" applyBorder="1" applyAlignment="1">
      <alignment horizontal="center" vertical="center" wrapText="1"/>
    </xf>
    <xf numFmtId="176" fontId="1" fillId="2" borderId="10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76" fontId="1" fillId="2" borderId="12" xfId="0" applyNumberFormat="1" applyFont="1" applyFill="1" applyBorder="1" applyAlignment="1">
      <alignment horizontal="center" vertical="center" wrapText="1"/>
    </xf>
    <xf numFmtId="176" fontId="1" fillId="2" borderId="13" xfId="0" applyNumberFormat="1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176" fontId="1" fillId="2" borderId="14" xfId="0" applyNumberFormat="1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9" fontId="1" fillId="2" borderId="0" xfId="0" applyNumberFormat="1" applyFont="1" applyFill="1" applyAlignment="1">
      <alignment horizontal="center" vertical="center" wrapText="1"/>
    </xf>
    <xf numFmtId="176" fontId="1" fillId="2" borderId="0" xfId="0" applyNumberFormat="1" applyFont="1" applyFill="1" applyAlignment="1">
      <alignment horizontal="center" vertical="center" wrapText="1"/>
    </xf>
    <xf numFmtId="10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58" fontId="1" fillId="2" borderId="0" xfId="0" applyNumberFormat="1" applyFont="1" applyFill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176" fontId="1" fillId="2" borderId="20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176" fontId="1" fillId="2" borderId="15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176" fontId="1" fillId="2" borderId="22" xfId="0" applyNumberFormat="1" applyFont="1" applyFill="1" applyBorder="1" applyAlignment="1">
      <alignment horizontal="center" vertical="center" wrapText="1"/>
    </xf>
    <xf numFmtId="10" fontId="1" fillId="2" borderId="24" xfId="0" applyNumberFormat="1" applyFont="1" applyFill="1" applyBorder="1" applyAlignment="1">
      <alignment horizontal="center" vertical="center" wrapText="1"/>
    </xf>
    <xf numFmtId="176" fontId="1" fillId="2" borderId="17" xfId="0" applyNumberFormat="1" applyFont="1" applyFill="1" applyBorder="1" applyAlignment="1">
      <alignment horizontal="center" vertical="center" wrapText="1"/>
    </xf>
    <xf numFmtId="10" fontId="1" fillId="2" borderId="25" xfId="0" applyNumberFormat="1" applyFont="1" applyFill="1" applyBorder="1" applyAlignment="1">
      <alignment horizontal="center" vertical="center" wrapText="1"/>
    </xf>
    <xf numFmtId="176" fontId="1" fillId="2" borderId="26" xfId="0" applyNumberFormat="1" applyFont="1" applyFill="1" applyBorder="1" applyAlignment="1">
      <alignment horizontal="center" vertical="center" wrapText="1"/>
    </xf>
    <xf numFmtId="10" fontId="1" fillId="2" borderId="27" xfId="0" applyNumberFormat="1" applyFont="1" applyFill="1" applyBorder="1" applyAlignment="1">
      <alignment horizontal="center" vertical="center" wrapText="1"/>
    </xf>
    <xf numFmtId="10" fontId="1" fillId="2" borderId="28" xfId="0" applyNumberFormat="1" applyFont="1" applyFill="1" applyBorder="1" applyAlignment="1">
      <alignment horizontal="center" vertical="center" wrapText="1"/>
    </xf>
    <xf numFmtId="176" fontId="1" fillId="2" borderId="29" xfId="0" applyNumberFormat="1" applyFont="1" applyFill="1" applyBorder="1" applyAlignment="1">
      <alignment horizontal="center" vertical="center" wrapText="1"/>
    </xf>
    <xf numFmtId="10" fontId="1" fillId="2" borderId="30" xfId="0" applyNumberFormat="1" applyFont="1" applyFill="1" applyBorder="1" applyAlignment="1">
      <alignment horizontal="center" vertical="center" wrapText="1"/>
    </xf>
    <xf numFmtId="176" fontId="1" fillId="2" borderId="31" xfId="0" applyNumberFormat="1" applyFont="1" applyFill="1" applyBorder="1" applyAlignment="1">
      <alignment horizontal="center" vertical="center" wrapText="1"/>
    </xf>
    <xf numFmtId="10" fontId="1" fillId="2" borderId="16" xfId="0" applyNumberFormat="1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177" fontId="1" fillId="2" borderId="9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177" fontId="2" fillId="2" borderId="9" xfId="0" applyNumberFormat="1" applyFont="1" applyFill="1" applyBorder="1" applyAlignment="1">
      <alignment horizontal="center" vertical="center" wrapText="1"/>
    </xf>
    <xf numFmtId="177" fontId="2" fillId="2" borderId="5" xfId="0" applyNumberFormat="1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9" fontId="1" fillId="2" borderId="2" xfId="0" applyNumberFormat="1" applyFont="1" applyFill="1" applyBorder="1" applyAlignment="1">
      <alignment horizontal="center" vertical="center" wrapText="1"/>
    </xf>
    <xf numFmtId="10" fontId="1" fillId="2" borderId="3" xfId="0" applyNumberFormat="1" applyFont="1" applyFill="1" applyBorder="1" applyAlignment="1">
      <alignment horizontal="center" vertical="center" wrapText="1"/>
    </xf>
    <xf numFmtId="9" fontId="1" fillId="2" borderId="9" xfId="0" applyNumberFormat="1" applyFont="1" applyFill="1" applyBorder="1" applyAlignment="1">
      <alignment horizontal="center" vertical="center" wrapText="1"/>
    </xf>
    <xf numFmtId="10" fontId="1" fillId="2" borderId="10" xfId="0" applyNumberFormat="1" applyFont="1" applyFill="1" applyBorder="1" applyAlignment="1">
      <alignment horizontal="center" vertical="center" wrapText="1"/>
    </xf>
    <xf numFmtId="9" fontId="1" fillId="2" borderId="12" xfId="0" applyNumberFormat="1" applyFont="1" applyFill="1" applyBorder="1" applyAlignment="1">
      <alignment horizontal="center" vertical="center" wrapText="1"/>
    </xf>
    <xf numFmtId="10" fontId="1" fillId="2" borderId="13" xfId="0" applyNumberFormat="1" applyFont="1" applyFill="1" applyBorder="1" applyAlignment="1">
      <alignment horizontal="center" vertical="center" wrapText="1"/>
    </xf>
    <xf numFmtId="9" fontId="1" fillId="2" borderId="15" xfId="0" applyNumberFormat="1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76" fontId="1" fillId="2" borderId="5" xfId="0" applyNumberFormat="1" applyFont="1" applyFill="1" applyBorder="1" applyAlignment="1">
      <alignment horizontal="center" vertical="center" wrapText="1"/>
    </xf>
    <xf numFmtId="176" fontId="1" fillId="2" borderId="32" xfId="0" applyNumberFormat="1" applyFont="1" applyFill="1" applyBorder="1" applyAlignment="1">
      <alignment horizontal="center" vertical="center" wrapText="1"/>
    </xf>
    <xf numFmtId="9" fontId="1" fillId="2" borderId="5" xfId="0" applyNumberFormat="1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9" fontId="1" fillId="2" borderId="2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177" fontId="7" fillId="2" borderId="9" xfId="0" applyNumberFormat="1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177" fontId="1" fillId="2" borderId="0" xfId="0" applyNumberFormat="1" applyFont="1" applyFill="1" applyAlignment="1">
      <alignment horizontal="center" vertical="center" wrapText="1"/>
    </xf>
  </cellXfs>
  <cellStyles count="2">
    <cellStyle name="常规" xfId="0" builtinId="0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868045</xdr:colOff>
      <xdr:row>20</xdr:row>
      <xdr:rowOff>17780</xdr:rowOff>
    </xdr:from>
    <xdr:to>
      <xdr:col>14</xdr:col>
      <xdr:colOff>38100</xdr:colOff>
      <xdr:row>25</xdr:row>
      <xdr:rowOff>19050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34125" y="5176520"/>
          <a:ext cx="4133850" cy="1974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828675</xdr:colOff>
      <xdr:row>20</xdr:row>
      <xdr:rowOff>17780</xdr:rowOff>
    </xdr:from>
    <xdr:to>
      <xdr:col>14</xdr:col>
      <xdr:colOff>38100</xdr:colOff>
      <xdr:row>25</xdr:row>
      <xdr:rowOff>19050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34125" y="5176520"/>
          <a:ext cx="4133850" cy="1974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240030</xdr:colOff>
      <xdr:row>25</xdr:row>
      <xdr:rowOff>130175</xdr:rowOff>
    </xdr:from>
    <xdr:to>
      <xdr:col>15</xdr:col>
      <xdr:colOff>485775</xdr:colOff>
      <xdr:row>32</xdr:row>
      <xdr:rowOff>320675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45480" y="7262495"/>
          <a:ext cx="5255895" cy="27774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16</xdr:col>
      <xdr:colOff>208286</xdr:colOff>
      <xdr:row>24</xdr:row>
      <xdr:rowOff>9057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A58CEB9E-3D40-5DDF-99EC-BC6F3B164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0400" y="533400"/>
          <a:ext cx="10114286" cy="374285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18</xdr:row>
      <xdr:rowOff>107950</xdr:rowOff>
    </xdr:from>
    <xdr:to>
      <xdr:col>8</xdr:col>
      <xdr:colOff>1371600</xdr:colOff>
      <xdr:row>25</xdr:row>
      <xdr:rowOff>234950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5102860"/>
          <a:ext cx="7515225" cy="27139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828675</xdr:colOff>
      <xdr:row>28</xdr:row>
      <xdr:rowOff>17780</xdr:rowOff>
    </xdr:from>
    <xdr:to>
      <xdr:col>8</xdr:col>
      <xdr:colOff>1095375</xdr:colOff>
      <xdr:row>33</xdr:row>
      <xdr:rowOff>19050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86200" y="7005320"/>
          <a:ext cx="4133850" cy="1974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topLeftCell="J8" workbookViewId="0">
      <selection activeCell="A14" sqref="A14:P14"/>
    </sheetView>
  </sheetViews>
  <sheetFormatPr defaultColWidth="23.75" defaultRowHeight="29.1" customHeight="1" x14ac:dyDescent="0.2"/>
  <cols>
    <col min="1" max="1" width="6.625" style="82" customWidth="1"/>
    <col min="2" max="2" width="16.125" style="82" customWidth="1"/>
    <col min="3" max="3" width="19.125" style="82" customWidth="1"/>
    <col min="4" max="4" width="10.625" style="82" customWidth="1"/>
    <col min="5" max="5" width="10.375" style="82" customWidth="1"/>
    <col min="6" max="7" width="13.875" style="82" customWidth="1"/>
    <col min="8" max="8" width="17.125" style="82" customWidth="1"/>
    <col min="9" max="9" width="15.75" style="82" customWidth="1"/>
    <col min="10" max="10" width="16.625" style="82" customWidth="1"/>
    <col min="11" max="12" width="15.375" style="82" customWidth="1"/>
    <col min="13" max="13" width="11.625" style="82" customWidth="1"/>
    <col min="14" max="14" width="13.625" style="82" customWidth="1"/>
    <col min="15" max="15" width="15" style="82" customWidth="1"/>
    <col min="16" max="16" width="15.125" style="82" customWidth="1"/>
    <col min="17" max="17" width="9.25" style="82" customWidth="1"/>
    <col min="18" max="18" width="15.5" style="82" customWidth="1"/>
    <col min="19" max="19" width="19.25" style="82" customWidth="1"/>
    <col min="20" max="16384" width="23.75" style="82"/>
  </cols>
  <sheetData>
    <row r="1" spans="1:19" ht="37.5" customHeight="1" x14ac:dyDescent="0.2">
      <c r="A1" s="83" t="s">
        <v>0</v>
      </c>
      <c r="B1" s="83" t="s">
        <v>1</v>
      </c>
      <c r="C1" s="83" t="s">
        <v>2</v>
      </c>
      <c r="D1" s="83" t="s">
        <v>3</v>
      </c>
      <c r="E1" s="83" t="s">
        <v>4</v>
      </c>
      <c r="F1" s="83" t="s">
        <v>5</v>
      </c>
      <c r="G1" s="83" t="s">
        <v>6</v>
      </c>
      <c r="H1" s="83" t="s">
        <v>7</v>
      </c>
      <c r="I1" s="83" t="s">
        <v>8</v>
      </c>
      <c r="J1" s="83" t="s">
        <v>9</v>
      </c>
      <c r="K1" s="83" t="s">
        <v>10</v>
      </c>
      <c r="L1" s="83" t="s">
        <v>11</v>
      </c>
      <c r="M1" s="83" t="s">
        <v>12</v>
      </c>
      <c r="N1" s="83" t="s">
        <v>13</v>
      </c>
      <c r="O1" s="83" t="s">
        <v>14</v>
      </c>
      <c r="P1" s="83" t="s">
        <v>15</v>
      </c>
      <c r="Q1" s="83" t="s">
        <v>16</v>
      </c>
      <c r="R1" s="83" t="s">
        <v>17</v>
      </c>
      <c r="S1" s="83" t="s">
        <v>18</v>
      </c>
    </row>
    <row r="2" spans="1:19" ht="29.1" customHeight="1" x14ac:dyDescent="0.2">
      <c r="A2" s="83">
        <v>1</v>
      </c>
      <c r="B2" s="84" t="s">
        <v>19</v>
      </c>
      <c r="C2" s="85" t="s">
        <v>20</v>
      </c>
      <c r="D2" s="83">
        <v>370</v>
      </c>
      <c r="E2" s="83">
        <v>282.25</v>
      </c>
      <c r="F2" s="83">
        <f t="shared" ref="F2:F12" si="0">E2*1.1*0.0008</f>
        <v>0.24838000000000002</v>
      </c>
      <c r="G2" s="83">
        <v>701.46</v>
      </c>
      <c r="H2" s="83">
        <f t="shared" ref="H2:H12" si="1">E2/G2</f>
        <v>0.40237504633193621</v>
      </c>
      <c r="I2" s="83">
        <v>64812.51</v>
      </c>
      <c r="J2" s="83">
        <f t="shared" ref="J2:J12" si="2">I2*H2/370</f>
        <v>70.483612740916428</v>
      </c>
      <c r="K2" s="83">
        <v>49790.9</v>
      </c>
      <c r="L2" s="83">
        <f t="shared" ref="L2:L12" si="3">K2*H2/370</f>
        <v>54.147609984888661</v>
      </c>
      <c r="M2" s="83">
        <v>0.04</v>
      </c>
      <c r="N2" s="83">
        <v>0.19</v>
      </c>
      <c r="O2" s="83">
        <f t="shared" ref="O2:O12" si="4">(E2+L2+F2)*0.04</f>
        <v>13.465839599395547</v>
      </c>
      <c r="P2" s="83">
        <f t="shared" ref="P2:P12" si="5">(E2+J2+F2)*0.19</f>
        <v>67.066578620774123</v>
      </c>
      <c r="Q2" s="83">
        <v>708</v>
      </c>
      <c r="R2" s="83">
        <f t="shared" ref="R2:R12" si="6">Q2*H2/370</f>
        <v>0.76995008865678605</v>
      </c>
      <c r="S2" s="83">
        <f>E2+F2+J2+O2+P2+R2</f>
        <v>434.28436104974293</v>
      </c>
    </row>
    <row r="3" spans="1:19" ht="29.1" customHeight="1" x14ac:dyDescent="0.2">
      <c r="A3" s="83">
        <v>2</v>
      </c>
      <c r="B3" s="84" t="s">
        <v>21</v>
      </c>
      <c r="C3" s="85" t="s">
        <v>22</v>
      </c>
      <c r="D3" s="83">
        <v>370</v>
      </c>
      <c r="E3" s="83">
        <v>282.25</v>
      </c>
      <c r="F3" s="83">
        <f t="shared" si="0"/>
        <v>0.24838000000000002</v>
      </c>
      <c r="G3" s="83">
        <v>701.46</v>
      </c>
      <c r="H3" s="83">
        <f t="shared" si="1"/>
        <v>0.40237504633193621</v>
      </c>
      <c r="I3" s="83">
        <v>64812.51</v>
      </c>
      <c r="J3" s="83">
        <f t="shared" si="2"/>
        <v>70.483612740916428</v>
      </c>
      <c r="K3" s="83">
        <v>49790.9</v>
      </c>
      <c r="L3" s="83">
        <f t="shared" si="3"/>
        <v>54.147609984888661</v>
      </c>
      <c r="M3" s="83">
        <v>0.04</v>
      </c>
      <c r="N3" s="83">
        <v>0.19</v>
      </c>
      <c r="O3" s="83">
        <f t="shared" si="4"/>
        <v>13.465839599395547</v>
      </c>
      <c r="P3" s="83">
        <f t="shared" si="5"/>
        <v>67.066578620774123</v>
      </c>
      <c r="Q3" s="83">
        <v>708</v>
      </c>
      <c r="R3" s="83">
        <f t="shared" si="6"/>
        <v>0.76995008865678605</v>
      </c>
      <c r="S3" s="83">
        <f t="shared" ref="S3:S12" si="7">E3+F3+J3+O3+P3+R3</f>
        <v>434.28436104974293</v>
      </c>
    </row>
    <row r="4" spans="1:19" ht="29.1" customHeight="1" x14ac:dyDescent="0.2">
      <c r="A4" s="83">
        <v>3</v>
      </c>
      <c r="B4" s="84" t="s">
        <v>23</v>
      </c>
      <c r="C4" s="85" t="s">
        <v>24</v>
      </c>
      <c r="D4" s="83">
        <v>370</v>
      </c>
      <c r="E4" s="83">
        <v>46.6</v>
      </c>
      <c r="F4" s="83">
        <f t="shared" si="0"/>
        <v>4.1008000000000003E-2</v>
      </c>
      <c r="G4" s="83">
        <v>701.46</v>
      </c>
      <c r="H4" s="83">
        <f t="shared" si="1"/>
        <v>6.6432868588372815E-2</v>
      </c>
      <c r="I4" s="83">
        <v>64812.51</v>
      </c>
      <c r="J4" s="83">
        <f t="shared" si="2"/>
        <v>11.636975566790809</v>
      </c>
      <c r="K4" s="83">
        <v>49790.9</v>
      </c>
      <c r="L4" s="83">
        <f t="shared" si="3"/>
        <v>8.93987112593733</v>
      </c>
      <c r="M4" s="83">
        <v>0.04</v>
      </c>
      <c r="N4" s="83">
        <v>0.19</v>
      </c>
      <c r="O4" s="83">
        <f t="shared" si="4"/>
        <v>2.2232351650374933</v>
      </c>
      <c r="P4" s="83">
        <f t="shared" si="5"/>
        <v>11.072816877690254</v>
      </c>
      <c r="Q4" s="83">
        <v>708</v>
      </c>
      <c r="R4" s="83">
        <f t="shared" si="6"/>
        <v>0.12712019178531878</v>
      </c>
      <c r="S4" s="83">
        <f t="shared" si="7"/>
        <v>71.701155801303884</v>
      </c>
    </row>
    <row r="5" spans="1:19" ht="29.1" customHeight="1" x14ac:dyDescent="0.2">
      <c r="A5" s="83">
        <v>4</v>
      </c>
      <c r="B5" s="84" t="s">
        <v>25</v>
      </c>
      <c r="C5" s="85" t="s">
        <v>26</v>
      </c>
      <c r="D5" s="83">
        <v>370</v>
      </c>
      <c r="E5" s="83">
        <v>27.34</v>
      </c>
      <c r="F5" s="83">
        <f t="shared" si="0"/>
        <v>2.4059200000000003E-2</v>
      </c>
      <c r="G5" s="83">
        <v>701.46</v>
      </c>
      <c r="H5" s="83">
        <f t="shared" si="1"/>
        <v>3.8975850369229889E-2</v>
      </c>
      <c r="I5" s="83">
        <v>64812.51</v>
      </c>
      <c r="J5" s="83">
        <f t="shared" si="2"/>
        <v>6.8273586265249087</v>
      </c>
      <c r="K5" s="83">
        <v>49790.9</v>
      </c>
      <c r="L5" s="83">
        <f t="shared" si="3"/>
        <v>5.2449801841872663</v>
      </c>
      <c r="M5" s="83">
        <v>0.04</v>
      </c>
      <c r="N5" s="83">
        <v>0.19</v>
      </c>
      <c r="O5" s="83">
        <f t="shared" si="4"/>
        <v>1.3043615753674909</v>
      </c>
      <c r="P5" s="83">
        <f t="shared" si="5"/>
        <v>6.4963693870397332</v>
      </c>
      <c r="Q5" s="83">
        <v>708</v>
      </c>
      <c r="R5" s="83">
        <f t="shared" si="6"/>
        <v>7.4580816382202056E-2</v>
      </c>
      <c r="S5" s="83">
        <f t="shared" si="7"/>
        <v>42.066729605314343</v>
      </c>
    </row>
    <row r="6" spans="1:19" ht="29.1" customHeight="1" x14ac:dyDescent="0.2">
      <c r="A6" s="83">
        <v>5</v>
      </c>
      <c r="B6" s="84" t="s">
        <v>27</v>
      </c>
      <c r="C6" s="85" t="s">
        <v>28</v>
      </c>
      <c r="D6" s="83">
        <v>370</v>
      </c>
      <c r="E6" s="83">
        <v>27.34</v>
      </c>
      <c r="F6" s="83">
        <f t="shared" si="0"/>
        <v>2.4059200000000003E-2</v>
      </c>
      <c r="G6" s="83">
        <v>701.46</v>
      </c>
      <c r="H6" s="83">
        <f t="shared" si="1"/>
        <v>3.8975850369229889E-2</v>
      </c>
      <c r="I6" s="83">
        <v>64812.51</v>
      </c>
      <c r="J6" s="83">
        <f t="shared" si="2"/>
        <v>6.8273586265249087</v>
      </c>
      <c r="K6" s="83">
        <v>49790.9</v>
      </c>
      <c r="L6" s="83">
        <f t="shared" si="3"/>
        <v>5.2449801841872663</v>
      </c>
      <c r="M6" s="83">
        <v>0.04</v>
      </c>
      <c r="N6" s="83">
        <v>0.19</v>
      </c>
      <c r="O6" s="83">
        <f t="shared" si="4"/>
        <v>1.3043615753674909</v>
      </c>
      <c r="P6" s="83">
        <f t="shared" si="5"/>
        <v>6.4963693870397332</v>
      </c>
      <c r="Q6" s="83">
        <v>708</v>
      </c>
      <c r="R6" s="83">
        <f t="shared" si="6"/>
        <v>7.4580816382202056E-2</v>
      </c>
      <c r="S6" s="83">
        <f t="shared" si="7"/>
        <v>42.066729605314343</v>
      </c>
    </row>
    <row r="7" spans="1:19" ht="29.1" customHeight="1" x14ac:dyDescent="0.2">
      <c r="A7" s="83">
        <v>6</v>
      </c>
      <c r="B7" s="84" t="s">
        <v>29</v>
      </c>
      <c r="C7" s="85" t="s">
        <v>30</v>
      </c>
      <c r="D7" s="83">
        <v>370</v>
      </c>
      <c r="E7" s="83">
        <v>7.17</v>
      </c>
      <c r="F7" s="83">
        <f t="shared" si="0"/>
        <v>6.3096000000000003E-3</v>
      </c>
      <c r="G7" s="83">
        <v>701.46</v>
      </c>
      <c r="H7" s="83">
        <f t="shared" si="1"/>
        <v>1.02215379351638E-2</v>
      </c>
      <c r="I7" s="83">
        <v>64812.51</v>
      </c>
      <c r="J7" s="83">
        <f t="shared" si="2"/>
        <v>1.7904960260491438</v>
      </c>
      <c r="K7" s="83">
        <v>49790.9</v>
      </c>
      <c r="L7" s="83">
        <f t="shared" si="3"/>
        <v>1.3755123599349925</v>
      </c>
      <c r="M7" s="83">
        <v>0.04</v>
      </c>
      <c r="N7" s="83">
        <v>0.19</v>
      </c>
      <c r="O7" s="83">
        <f t="shared" si="4"/>
        <v>0.34207287839739969</v>
      </c>
      <c r="P7" s="83">
        <f t="shared" si="5"/>
        <v>1.7036930689493375</v>
      </c>
      <c r="Q7" s="83">
        <v>708</v>
      </c>
      <c r="R7" s="83">
        <f t="shared" si="6"/>
        <v>1.9559050967826948E-2</v>
      </c>
      <c r="S7" s="83">
        <f t="shared" si="7"/>
        <v>11.032130624363708</v>
      </c>
    </row>
    <row r="8" spans="1:19" ht="29.1" customHeight="1" x14ac:dyDescent="0.2">
      <c r="A8" s="83">
        <v>7</v>
      </c>
      <c r="B8" s="84" t="s">
        <v>31</v>
      </c>
      <c r="C8" s="85" t="s">
        <v>32</v>
      </c>
      <c r="D8" s="83">
        <v>370</v>
      </c>
      <c r="E8" s="83">
        <v>7.17</v>
      </c>
      <c r="F8" s="83">
        <f t="shared" si="0"/>
        <v>6.3096000000000003E-3</v>
      </c>
      <c r="G8" s="83">
        <v>701.46</v>
      </c>
      <c r="H8" s="83">
        <f t="shared" si="1"/>
        <v>1.02215379351638E-2</v>
      </c>
      <c r="I8" s="83">
        <v>64812.51</v>
      </c>
      <c r="J8" s="83">
        <f t="shared" si="2"/>
        <v>1.7904960260491438</v>
      </c>
      <c r="K8" s="83">
        <v>49790.9</v>
      </c>
      <c r="L8" s="83">
        <f t="shared" si="3"/>
        <v>1.3755123599349925</v>
      </c>
      <c r="M8" s="83">
        <v>0.04</v>
      </c>
      <c r="N8" s="83">
        <v>0.19</v>
      </c>
      <c r="O8" s="83">
        <f t="shared" si="4"/>
        <v>0.34207287839739969</v>
      </c>
      <c r="P8" s="83">
        <f t="shared" si="5"/>
        <v>1.7036930689493375</v>
      </c>
      <c r="Q8" s="83">
        <v>708</v>
      </c>
      <c r="R8" s="83">
        <f t="shared" si="6"/>
        <v>1.9559050967826948E-2</v>
      </c>
      <c r="S8" s="83">
        <f t="shared" si="7"/>
        <v>11.032130624363708</v>
      </c>
    </row>
    <row r="9" spans="1:19" ht="29.1" customHeight="1" x14ac:dyDescent="0.2">
      <c r="A9" s="83">
        <v>8</v>
      </c>
      <c r="B9" s="84" t="s">
        <v>33</v>
      </c>
      <c r="C9" s="85" t="s">
        <v>34</v>
      </c>
      <c r="D9" s="83">
        <v>370</v>
      </c>
      <c r="E9" s="83">
        <v>6.97</v>
      </c>
      <c r="F9" s="83">
        <f t="shared" si="0"/>
        <v>6.1336000000000012E-3</v>
      </c>
      <c r="G9" s="83">
        <v>701.46</v>
      </c>
      <c r="H9" s="83">
        <f t="shared" si="1"/>
        <v>9.9364183274883808E-3</v>
      </c>
      <c r="I9" s="83">
        <v>64812.51</v>
      </c>
      <c r="J9" s="83">
        <f t="shared" si="2"/>
        <v>1.7405519249041188</v>
      </c>
      <c r="K9" s="83">
        <v>49790.9</v>
      </c>
      <c r="L9" s="83">
        <f t="shared" si="3"/>
        <v>1.3371438143301113</v>
      </c>
      <c r="M9" s="83">
        <v>0.04</v>
      </c>
      <c r="N9" s="83">
        <v>0.19</v>
      </c>
      <c r="O9" s="83">
        <f t="shared" si="4"/>
        <v>0.33253109657320445</v>
      </c>
      <c r="P9" s="83">
        <f t="shared" si="5"/>
        <v>1.6561702497317825</v>
      </c>
      <c r="Q9" s="83">
        <v>708</v>
      </c>
      <c r="R9" s="83">
        <f t="shared" si="6"/>
        <v>1.9013470745572362E-2</v>
      </c>
      <c r="S9" s="83">
        <f t="shared" si="7"/>
        <v>10.724400341954677</v>
      </c>
    </row>
    <row r="10" spans="1:19" ht="29.1" customHeight="1" x14ac:dyDescent="0.2">
      <c r="A10" s="83">
        <v>9</v>
      </c>
      <c r="B10" s="84" t="s">
        <v>35</v>
      </c>
      <c r="C10" s="85" t="s">
        <v>36</v>
      </c>
      <c r="D10" s="83">
        <v>370</v>
      </c>
      <c r="E10" s="83">
        <v>6.97</v>
      </c>
      <c r="F10" s="83">
        <f t="shared" si="0"/>
        <v>6.1336000000000012E-3</v>
      </c>
      <c r="G10" s="83">
        <v>701.46</v>
      </c>
      <c r="H10" s="83">
        <f t="shared" si="1"/>
        <v>9.9364183274883808E-3</v>
      </c>
      <c r="I10" s="83">
        <v>64812.51</v>
      </c>
      <c r="J10" s="83">
        <f t="shared" si="2"/>
        <v>1.7405519249041188</v>
      </c>
      <c r="K10" s="83">
        <v>49790.9</v>
      </c>
      <c r="L10" s="83">
        <f t="shared" si="3"/>
        <v>1.3371438143301113</v>
      </c>
      <c r="M10" s="83">
        <v>0.04</v>
      </c>
      <c r="N10" s="83">
        <v>0.19</v>
      </c>
      <c r="O10" s="83">
        <f t="shared" si="4"/>
        <v>0.33253109657320445</v>
      </c>
      <c r="P10" s="83">
        <f t="shared" si="5"/>
        <v>1.6561702497317825</v>
      </c>
      <c r="Q10" s="83">
        <v>708</v>
      </c>
      <c r="R10" s="83">
        <f t="shared" si="6"/>
        <v>1.9013470745572362E-2</v>
      </c>
      <c r="S10" s="83">
        <f t="shared" si="7"/>
        <v>10.724400341954677</v>
      </c>
    </row>
    <row r="11" spans="1:19" ht="29.1" customHeight="1" x14ac:dyDescent="0.2">
      <c r="A11" s="83">
        <v>10</v>
      </c>
      <c r="B11" s="84" t="s">
        <v>37</v>
      </c>
      <c r="C11" s="85" t="s">
        <v>38</v>
      </c>
      <c r="D11" s="83">
        <v>370</v>
      </c>
      <c r="E11" s="83">
        <v>3.7</v>
      </c>
      <c r="F11" s="83">
        <f t="shared" si="0"/>
        <v>3.2560000000000002E-3</v>
      </c>
      <c r="G11" s="83">
        <v>701.46</v>
      </c>
      <c r="H11" s="83">
        <f t="shared" si="1"/>
        <v>5.2747127419952673E-3</v>
      </c>
      <c r="I11" s="83">
        <v>64812.51</v>
      </c>
      <c r="J11" s="83">
        <f t="shared" si="2"/>
        <v>0.92396587118296136</v>
      </c>
      <c r="K11" s="83">
        <v>49790.9</v>
      </c>
      <c r="L11" s="83">
        <f t="shared" si="3"/>
        <v>0.70981809369030313</v>
      </c>
      <c r="M11" s="83">
        <v>0.04</v>
      </c>
      <c r="N11" s="83">
        <v>0.19</v>
      </c>
      <c r="O11" s="83">
        <f t="shared" si="4"/>
        <v>0.17652296374761214</v>
      </c>
      <c r="P11" s="83">
        <f t="shared" si="5"/>
        <v>0.8791721555247628</v>
      </c>
      <c r="Q11" s="83">
        <v>708</v>
      </c>
      <c r="R11" s="83">
        <f t="shared" si="6"/>
        <v>1.0093234111709863E-2</v>
      </c>
      <c r="S11" s="83">
        <f t="shared" si="7"/>
        <v>5.693010224567046</v>
      </c>
    </row>
    <row r="12" spans="1:19" ht="29.1" customHeight="1" x14ac:dyDescent="0.2">
      <c r="A12" s="83">
        <v>11</v>
      </c>
      <c r="B12" s="84" t="s">
        <v>39</v>
      </c>
      <c r="C12" s="85" t="s">
        <v>40</v>
      </c>
      <c r="D12" s="83">
        <v>370</v>
      </c>
      <c r="E12" s="83">
        <v>3.7</v>
      </c>
      <c r="F12" s="83">
        <f t="shared" si="0"/>
        <v>3.2560000000000002E-3</v>
      </c>
      <c r="G12" s="83">
        <v>701.46</v>
      </c>
      <c r="H12" s="83">
        <f t="shared" si="1"/>
        <v>5.2747127419952673E-3</v>
      </c>
      <c r="I12" s="83">
        <v>64812.51</v>
      </c>
      <c r="J12" s="83">
        <f t="shared" si="2"/>
        <v>0.92396587118296136</v>
      </c>
      <c r="K12" s="83">
        <v>49790.9</v>
      </c>
      <c r="L12" s="83">
        <f t="shared" si="3"/>
        <v>0.70981809369030313</v>
      </c>
      <c r="M12" s="83">
        <v>0.04</v>
      </c>
      <c r="N12" s="83">
        <v>0.19</v>
      </c>
      <c r="O12" s="83">
        <f t="shared" si="4"/>
        <v>0.17652296374761214</v>
      </c>
      <c r="P12" s="83">
        <f t="shared" si="5"/>
        <v>0.8791721555247628</v>
      </c>
      <c r="Q12" s="83">
        <v>708</v>
      </c>
      <c r="R12" s="83">
        <f t="shared" si="6"/>
        <v>1.0093234111709863E-2</v>
      </c>
      <c r="S12" s="83">
        <f t="shared" si="7"/>
        <v>5.693010224567046</v>
      </c>
    </row>
    <row r="14" spans="1:19" ht="45" customHeight="1" x14ac:dyDescent="0.2">
      <c r="A14" s="96" t="s">
        <v>41</v>
      </c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</row>
    <row r="15" spans="1:19" ht="23.1" customHeight="1" x14ac:dyDescent="0.2">
      <c r="A15" s="86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</row>
    <row r="16" spans="1:19" ht="29.1" customHeight="1" x14ac:dyDescent="0.2">
      <c r="A16" s="97" t="s">
        <v>42</v>
      </c>
      <c r="B16" s="97"/>
      <c r="C16" s="97"/>
      <c r="D16" s="97"/>
    </row>
    <row r="17" spans="1:4" ht="29.1" customHeight="1" x14ac:dyDescent="0.2">
      <c r="A17" s="87" t="s">
        <v>0</v>
      </c>
      <c r="B17" s="91" t="s">
        <v>43</v>
      </c>
      <c r="C17" s="92"/>
      <c r="D17" s="87" t="s">
        <v>44</v>
      </c>
    </row>
    <row r="18" spans="1:4" ht="29.1" customHeight="1" x14ac:dyDescent="0.2">
      <c r="A18" s="87">
        <v>1</v>
      </c>
      <c r="B18" s="95" t="s">
        <v>45</v>
      </c>
      <c r="C18" s="87" t="s">
        <v>46</v>
      </c>
      <c r="D18" s="87">
        <v>2700</v>
      </c>
    </row>
    <row r="19" spans="1:4" ht="29.1" customHeight="1" x14ac:dyDescent="0.2">
      <c r="A19" s="87">
        <v>2</v>
      </c>
      <c r="B19" s="95"/>
      <c r="C19" s="87" t="s">
        <v>47</v>
      </c>
      <c r="D19" s="87">
        <v>280</v>
      </c>
    </row>
    <row r="20" spans="1:4" ht="29.1" customHeight="1" x14ac:dyDescent="0.2">
      <c r="A20" s="87">
        <v>3</v>
      </c>
      <c r="B20" s="95"/>
      <c r="C20" s="87" t="s">
        <v>48</v>
      </c>
      <c r="D20" s="87">
        <v>500</v>
      </c>
    </row>
    <row r="21" spans="1:4" ht="29.1" customHeight="1" x14ac:dyDescent="0.2">
      <c r="A21" s="87">
        <v>4</v>
      </c>
      <c r="B21" s="95"/>
      <c r="C21" s="87" t="s">
        <v>49</v>
      </c>
      <c r="D21" s="87">
        <v>150</v>
      </c>
    </row>
    <row r="22" spans="1:4" ht="29.1" customHeight="1" x14ac:dyDescent="0.2">
      <c r="A22" s="87">
        <v>5</v>
      </c>
      <c r="B22" s="95"/>
      <c r="C22" s="87" t="s">
        <v>50</v>
      </c>
      <c r="D22" s="87">
        <v>972</v>
      </c>
    </row>
    <row r="23" spans="1:4" ht="29.1" customHeight="1" x14ac:dyDescent="0.2">
      <c r="A23" s="87">
        <v>6</v>
      </c>
      <c r="B23" s="95"/>
      <c r="C23" s="87" t="s">
        <v>51</v>
      </c>
      <c r="D23" s="87">
        <v>100</v>
      </c>
    </row>
    <row r="24" spans="1:4" ht="29.1" customHeight="1" x14ac:dyDescent="0.2">
      <c r="A24" s="87">
        <v>7</v>
      </c>
      <c r="B24" s="95"/>
      <c r="C24" s="87" t="s">
        <v>52</v>
      </c>
      <c r="D24" s="87">
        <v>100</v>
      </c>
    </row>
    <row r="25" spans="1:4" ht="29.1" customHeight="1" x14ac:dyDescent="0.2">
      <c r="A25" s="87">
        <v>8</v>
      </c>
      <c r="B25" s="95"/>
      <c r="C25" s="87" t="s">
        <v>53</v>
      </c>
      <c r="D25" s="87">
        <v>200</v>
      </c>
    </row>
    <row r="26" spans="1:4" ht="29.1" customHeight="1" x14ac:dyDescent="0.2">
      <c r="A26" s="87">
        <v>9</v>
      </c>
      <c r="B26" s="91" t="s">
        <v>54</v>
      </c>
      <c r="C26" s="92"/>
      <c r="D26" s="87">
        <f>SUM(D18:D25)</f>
        <v>5002</v>
      </c>
    </row>
    <row r="27" spans="1:4" ht="29.1" customHeight="1" x14ac:dyDescent="0.2">
      <c r="A27" s="87">
        <v>10</v>
      </c>
      <c r="B27" s="91" t="s">
        <v>55</v>
      </c>
      <c r="C27" s="92"/>
      <c r="D27" s="87">
        <v>44788.9</v>
      </c>
    </row>
    <row r="28" spans="1:4" ht="29.1" customHeight="1" x14ac:dyDescent="0.2">
      <c r="A28" s="87">
        <v>11</v>
      </c>
      <c r="B28" s="91" t="s">
        <v>56</v>
      </c>
      <c r="C28" s="92"/>
      <c r="D28" s="87">
        <v>15021.61</v>
      </c>
    </row>
    <row r="29" spans="1:4" ht="29.1" customHeight="1" x14ac:dyDescent="0.2">
      <c r="A29" s="87">
        <v>12</v>
      </c>
      <c r="B29" s="91" t="s">
        <v>57</v>
      </c>
      <c r="C29" s="92"/>
      <c r="D29" s="87">
        <f>D26+D27</f>
        <v>49790.9</v>
      </c>
    </row>
    <row r="30" spans="1:4" ht="29.1" customHeight="1" x14ac:dyDescent="0.2">
      <c r="A30" s="87">
        <v>13</v>
      </c>
      <c r="B30" s="93" t="s">
        <v>8</v>
      </c>
      <c r="C30" s="94"/>
      <c r="D30" s="83">
        <f>SUM(D26:D28)</f>
        <v>64812.51</v>
      </c>
    </row>
  </sheetData>
  <sortState ref="A2:S12">
    <sortCondition descending="1" ref="E2"/>
  </sortState>
  <mergeCells count="9">
    <mergeCell ref="B28:C28"/>
    <mergeCell ref="B29:C29"/>
    <mergeCell ref="B30:C30"/>
    <mergeCell ref="B18:B25"/>
    <mergeCell ref="A14:P14"/>
    <mergeCell ref="A16:D16"/>
    <mergeCell ref="B17:C17"/>
    <mergeCell ref="B26:C26"/>
    <mergeCell ref="B27:C27"/>
  </mergeCells>
  <phoneticPr fontId="6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7"/>
  <sheetViews>
    <sheetView workbookViewId="0">
      <selection activeCell="D14" sqref="D14:M14"/>
    </sheetView>
  </sheetViews>
  <sheetFormatPr defaultColWidth="23.75" defaultRowHeight="29.1" customHeight="1" x14ac:dyDescent="0.2"/>
  <cols>
    <col min="1" max="1" width="4.625" style="1" customWidth="1"/>
    <col min="2" max="2" width="4.375" style="1" customWidth="1"/>
    <col min="3" max="3" width="15.625" style="1" customWidth="1"/>
    <col min="4" max="4" width="17.125" style="1" customWidth="1"/>
    <col min="5" max="5" width="9.375" style="1" customWidth="1"/>
    <col min="6" max="6" width="10.75" style="1" customWidth="1"/>
    <col min="7" max="7" width="10.375" style="1" customWidth="1"/>
    <col min="8" max="8" width="10.875" style="1" customWidth="1"/>
    <col min="9" max="9" width="10.375" style="1" customWidth="1"/>
    <col min="10" max="10" width="9.375" style="1" customWidth="1"/>
    <col min="11" max="11" width="7.75" style="1" customWidth="1"/>
    <col min="12" max="12" width="9.25" style="1" customWidth="1"/>
    <col min="13" max="13" width="9.5" style="1" customWidth="1"/>
    <col min="14" max="14" width="7.5" style="1" customWidth="1"/>
    <col min="15" max="15" width="1.125" style="1" customWidth="1"/>
    <col min="16" max="18" width="9.875" style="1" customWidth="1"/>
    <col min="19" max="16384" width="23.75" style="1"/>
  </cols>
  <sheetData>
    <row r="2" spans="2:18" ht="29.1" customHeight="1" x14ac:dyDescent="0.2">
      <c r="B2" s="98" t="s">
        <v>58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100"/>
    </row>
    <row r="3" spans="2:18" ht="42" customHeight="1" x14ac:dyDescent="0.2">
      <c r="B3" s="2" t="s">
        <v>0</v>
      </c>
      <c r="C3" s="3" t="s">
        <v>1</v>
      </c>
      <c r="D3" s="3" t="s">
        <v>2</v>
      </c>
      <c r="E3" s="3" t="s">
        <v>59</v>
      </c>
      <c r="F3" s="3" t="s">
        <v>60</v>
      </c>
      <c r="G3" s="3" t="s">
        <v>61</v>
      </c>
      <c r="H3" s="3" t="s">
        <v>62</v>
      </c>
      <c r="I3" s="3" t="s">
        <v>63</v>
      </c>
      <c r="J3" s="3" t="s">
        <v>64</v>
      </c>
      <c r="K3" s="3" t="s">
        <v>65</v>
      </c>
      <c r="L3" s="3" t="s">
        <v>66</v>
      </c>
      <c r="M3" s="3" t="s">
        <v>67</v>
      </c>
      <c r="N3" s="4" t="s">
        <v>68</v>
      </c>
      <c r="P3" s="1" t="s">
        <v>69</v>
      </c>
      <c r="Q3" s="1" t="s">
        <v>70</v>
      </c>
      <c r="R3" s="1" t="s">
        <v>71</v>
      </c>
    </row>
    <row r="4" spans="2:18" ht="18" customHeight="1" x14ac:dyDescent="0.2">
      <c r="B4" s="6">
        <v>1</v>
      </c>
      <c r="C4" s="7" t="s">
        <v>19</v>
      </c>
      <c r="D4" s="8" t="s">
        <v>20</v>
      </c>
      <c r="E4" s="10">
        <v>270.87</v>
      </c>
      <c r="F4" s="10">
        <v>0.24837999999999999</v>
      </c>
      <c r="G4" s="10">
        <f>E4/644.19*(54327.51/370)</f>
        <v>61.739769715834207</v>
      </c>
      <c r="H4" s="10">
        <f t="shared" ref="H4:H14" si="0">E4/$E$15*$H$16/370</f>
        <v>56.58420015833839</v>
      </c>
      <c r="I4" s="10">
        <f>(E4+F4+H4)*0.04</f>
        <v>13.108103206333535</v>
      </c>
      <c r="J4" s="10">
        <f>9918/370*E4/$E$15</f>
        <v>11.271178009845176</v>
      </c>
      <c r="K4" s="65">
        <v>0.1</v>
      </c>
      <c r="L4" s="10">
        <f>(E4+J4)*0.13+G4*0.06</f>
        <v>40.382739324229931</v>
      </c>
      <c r="M4" s="10">
        <f>E4+G4+I4+J4+K4*E4-L4</f>
        <v>343.69331160778296</v>
      </c>
      <c r="N4" s="66"/>
      <c r="P4" s="1">
        <v>424.7</v>
      </c>
      <c r="Q4" s="1">
        <f>P4/7.28</f>
        <v>58.337912087912088</v>
      </c>
      <c r="R4" s="1">
        <f>Q4*6.99</f>
        <v>407.78200549450548</v>
      </c>
    </row>
    <row r="5" spans="2:18" ht="18" customHeight="1" x14ac:dyDescent="0.2">
      <c r="B5" s="12">
        <v>2</v>
      </c>
      <c r="C5" s="13" t="s">
        <v>27</v>
      </c>
      <c r="D5" s="14" t="s">
        <v>28</v>
      </c>
      <c r="E5" s="15">
        <v>17.53</v>
      </c>
      <c r="F5" s="15">
        <v>2.4059199999999999E-2</v>
      </c>
      <c r="G5" s="15">
        <f t="shared" ref="G5:G14" si="1">E5/644.19*(54327.51/370)</f>
        <v>3.995636885290264</v>
      </c>
      <c r="H5" s="15">
        <f t="shared" si="0"/>
        <v>3.6619818687033341</v>
      </c>
      <c r="I5" s="15">
        <f t="shared" ref="I5:I14" si="2">(E5+F5+H5)*0.04</f>
        <v>0.84864164274813336</v>
      </c>
      <c r="J5" s="15">
        <f>9918/370*E5/$E$15</f>
        <v>0.72944124676998545</v>
      </c>
      <c r="K5" s="67">
        <v>0.1</v>
      </c>
      <c r="L5" s="15">
        <f t="shared" ref="L5:L14" si="3">(E5+J5)*0.13+G5*0.06</f>
        <v>2.6134655751975142</v>
      </c>
      <c r="M5" s="15">
        <f>E5+G5+I5+J5+K5*E5-L5</f>
        <v>22.243254199610874</v>
      </c>
      <c r="N5" s="68"/>
      <c r="O5" s="29"/>
    </row>
    <row r="6" spans="2:18" ht="18" customHeight="1" x14ac:dyDescent="0.2">
      <c r="B6" s="12">
        <v>3</v>
      </c>
      <c r="C6" s="13" t="s">
        <v>31</v>
      </c>
      <c r="D6" s="14" t="s">
        <v>32</v>
      </c>
      <c r="E6" s="15">
        <v>5.14</v>
      </c>
      <c r="F6" s="15">
        <v>6.3096000000000003E-3</v>
      </c>
      <c r="G6" s="15">
        <f t="shared" si="1"/>
        <v>1.1715672327662268</v>
      </c>
      <c r="H6" s="15">
        <f t="shared" si="0"/>
        <v>1.0737356990949878</v>
      </c>
      <c r="I6" s="15">
        <f t="shared" si="2"/>
        <v>0.24880181196379952</v>
      </c>
      <c r="J6" s="15">
        <f t="shared" ref="J6:J14" si="4">9918/370*E6/$E$15</f>
        <v>0.21388066220180973</v>
      </c>
      <c r="K6" s="67">
        <v>0.1</v>
      </c>
      <c r="L6" s="15">
        <f t="shared" si="3"/>
        <v>0.76629852005220878</v>
      </c>
      <c r="M6" s="15">
        <f>E6+G6+I6+J6+K6*E6-L6</f>
        <v>6.5219511868796261</v>
      </c>
      <c r="N6" s="68"/>
      <c r="O6" s="29"/>
    </row>
    <row r="7" spans="2:18" ht="18" customHeight="1" x14ac:dyDescent="0.2">
      <c r="B7" s="12">
        <v>4</v>
      </c>
      <c r="C7" s="13" t="s">
        <v>35</v>
      </c>
      <c r="D7" s="14" t="s">
        <v>36</v>
      </c>
      <c r="E7" s="15">
        <v>4.66</v>
      </c>
      <c r="F7" s="15">
        <v>6.1336000000000003E-3</v>
      </c>
      <c r="G7" s="15">
        <f t="shared" si="1"/>
        <v>1.0621601760098476</v>
      </c>
      <c r="H7" s="15">
        <f t="shared" si="0"/>
        <v>0.97346466104720686</v>
      </c>
      <c r="I7" s="15">
        <f t="shared" si="2"/>
        <v>0.22558393044188829</v>
      </c>
      <c r="J7" s="15">
        <f t="shared" si="4"/>
        <v>0.19390737078996761</v>
      </c>
      <c r="K7" s="67">
        <v>0.1</v>
      </c>
      <c r="L7" s="15">
        <f t="shared" si="3"/>
        <v>0.69473756876328674</v>
      </c>
      <c r="M7" s="15">
        <f>E7+G7+I7+J7+K7*E7-L7</f>
        <v>5.9129139084784166</v>
      </c>
      <c r="N7" s="68"/>
      <c r="O7" s="29"/>
    </row>
    <row r="8" spans="2:18" ht="18" customHeight="1" x14ac:dyDescent="0.2">
      <c r="B8" s="17">
        <v>5</v>
      </c>
      <c r="C8" s="18" t="s">
        <v>39</v>
      </c>
      <c r="D8" s="23" t="s">
        <v>40</v>
      </c>
      <c r="E8" s="24">
        <v>2.5</v>
      </c>
      <c r="F8" s="24">
        <v>3.2560000000000002E-3</v>
      </c>
      <c r="G8" s="20">
        <f t="shared" si="1"/>
        <v>0.56982842060614136</v>
      </c>
      <c r="H8" s="20">
        <f t="shared" si="0"/>
        <v>0.52224498983219247</v>
      </c>
      <c r="I8" s="20">
        <f t="shared" si="2"/>
        <v>0.12102003959328769</v>
      </c>
      <c r="J8" s="20">
        <f t="shared" si="4"/>
        <v>0.10402755943667789</v>
      </c>
      <c r="K8" s="69">
        <v>0.1</v>
      </c>
      <c r="L8" s="20">
        <f t="shared" si="3"/>
        <v>0.37271328796313663</v>
      </c>
      <c r="M8" s="20">
        <f>E8+G8+I8+J8+K8*E8-L8</f>
        <v>3.1721627316729704</v>
      </c>
      <c r="N8" s="70"/>
      <c r="O8" s="29"/>
      <c r="P8" s="1">
        <v>394</v>
      </c>
      <c r="Q8" s="1" t="s">
        <v>72</v>
      </c>
    </row>
    <row r="9" spans="2:18" ht="18" customHeight="1" x14ac:dyDescent="0.2">
      <c r="B9" s="38">
        <v>6</v>
      </c>
      <c r="C9" s="72" t="s">
        <v>21</v>
      </c>
      <c r="D9" s="73" t="s">
        <v>22</v>
      </c>
      <c r="E9" s="39">
        <f>E4</f>
        <v>270.87</v>
      </c>
      <c r="F9" s="39">
        <v>0.24837999999999999</v>
      </c>
      <c r="G9" s="39">
        <f t="shared" si="1"/>
        <v>61.739769715834207</v>
      </c>
      <c r="H9" s="39">
        <f t="shared" si="0"/>
        <v>56.58420015833839</v>
      </c>
      <c r="I9" s="39">
        <f t="shared" si="2"/>
        <v>13.108103206333535</v>
      </c>
      <c r="J9" s="39">
        <f t="shared" si="4"/>
        <v>11.271178009845176</v>
      </c>
      <c r="K9" s="71">
        <v>0.1</v>
      </c>
      <c r="L9" s="39">
        <f t="shared" si="3"/>
        <v>40.382739324229931</v>
      </c>
      <c r="M9" s="39">
        <f t="shared" ref="M9:M14" si="5">E9+G9+I9+J9+K9*E9-L9</f>
        <v>343.69331160778296</v>
      </c>
      <c r="N9" s="50"/>
    </row>
    <row r="10" spans="2:18" ht="18" customHeight="1" x14ac:dyDescent="0.2">
      <c r="B10" s="12">
        <v>7</v>
      </c>
      <c r="C10" s="13" t="s">
        <v>25</v>
      </c>
      <c r="D10" s="14" t="s">
        <v>26</v>
      </c>
      <c r="E10" s="15">
        <v>17.53</v>
      </c>
      <c r="F10" s="15">
        <v>2.4059199999999999E-2</v>
      </c>
      <c r="G10" s="15">
        <f t="shared" si="1"/>
        <v>3.995636885290264</v>
      </c>
      <c r="H10" s="15">
        <f t="shared" si="0"/>
        <v>3.6619818687033341</v>
      </c>
      <c r="I10" s="15">
        <f t="shared" si="2"/>
        <v>0.84864164274813336</v>
      </c>
      <c r="J10" s="15">
        <f t="shared" si="4"/>
        <v>0.72944124676998545</v>
      </c>
      <c r="K10" s="67">
        <v>0.1</v>
      </c>
      <c r="L10" s="15">
        <f t="shared" si="3"/>
        <v>2.6134655751975142</v>
      </c>
      <c r="M10" s="15">
        <f t="shared" si="5"/>
        <v>22.243254199610874</v>
      </c>
      <c r="N10" s="68"/>
      <c r="O10" s="29"/>
      <c r="Q10" s="1">
        <v>24</v>
      </c>
    </row>
    <row r="11" spans="2:18" ht="18" customHeight="1" x14ac:dyDescent="0.2">
      <c r="B11" s="12">
        <v>8</v>
      </c>
      <c r="C11" s="13" t="s">
        <v>29</v>
      </c>
      <c r="D11" s="14" t="s">
        <v>30</v>
      </c>
      <c r="E11" s="15">
        <v>5.14</v>
      </c>
      <c r="F11" s="15">
        <v>6.3096000000000003E-3</v>
      </c>
      <c r="G11" s="15">
        <f t="shared" si="1"/>
        <v>1.1715672327662268</v>
      </c>
      <c r="H11" s="15">
        <f t="shared" si="0"/>
        <v>1.0737356990949878</v>
      </c>
      <c r="I11" s="15">
        <f t="shared" si="2"/>
        <v>0.24880181196379952</v>
      </c>
      <c r="J11" s="15">
        <f t="shared" si="4"/>
        <v>0.21388066220180973</v>
      </c>
      <c r="K11" s="67">
        <v>0.1</v>
      </c>
      <c r="L11" s="15">
        <f t="shared" si="3"/>
        <v>0.76629852005220878</v>
      </c>
      <c r="M11" s="15">
        <f t="shared" si="5"/>
        <v>6.5219511868796261</v>
      </c>
      <c r="N11" s="68"/>
      <c r="O11" s="29"/>
      <c r="Q11" s="1">
        <v>24</v>
      </c>
    </row>
    <row r="12" spans="2:18" ht="18" customHeight="1" x14ac:dyDescent="0.2">
      <c r="B12" s="12">
        <v>9</v>
      </c>
      <c r="C12" s="13" t="s">
        <v>33</v>
      </c>
      <c r="D12" s="14" t="s">
        <v>34</v>
      </c>
      <c r="E12" s="15">
        <v>4.66</v>
      </c>
      <c r="F12" s="15">
        <v>6.1336000000000003E-3</v>
      </c>
      <c r="G12" s="15">
        <f t="shared" si="1"/>
        <v>1.0621601760098476</v>
      </c>
      <c r="H12" s="15">
        <f t="shared" si="0"/>
        <v>0.97346466104720686</v>
      </c>
      <c r="I12" s="15">
        <f t="shared" si="2"/>
        <v>0.22558393044188829</v>
      </c>
      <c r="J12" s="15">
        <f t="shared" si="4"/>
        <v>0.19390737078996761</v>
      </c>
      <c r="K12" s="67">
        <v>0.1</v>
      </c>
      <c r="L12" s="15">
        <f t="shared" si="3"/>
        <v>0.69473756876328674</v>
      </c>
      <c r="M12" s="15">
        <f t="shared" si="5"/>
        <v>5.9129139084784166</v>
      </c>
      <c r="N12" s="68"/>
      <c r="O12" s="29"/>
    </row>
    <row r="13" spans="2:18" ht="18" customHeight="1" x14ac:dyDescent="0.2">
      <c r="B13" s="74">
        <v>10</v>
      </c>
      <c r="C13" s="75" t="s">
        <v>37</v>
      </c>
      <c r="D13" s="76" t="s">
        <v>38</v>
      </c>
      <c r="E13" s="77">
        <v>2.5</v>
      </c>
      <c r="F13" s="77">
        <v>3.2560000000000002E-3</v>
      </c>
      <c r="G13" s="78">
        <f t="shared" si="1"/>
        <v>0.56982842060614136</v>
      </c>
      <c r="H13" s="77">
        <f t="shared" si="0"/>
        <v>0.52224498983219247</v>
      </c>
      <c r="I13" s="77">
        <f t="shared" si="2"/>
        <v>0.12102003959328769</v>
      </c>
      <c r="J13" s="77">
        <f t="shared" si="4"/>
        <v>0.10402755943667789</v>
      </c>
      <c r="K13" s="79">
        <v>0.1</v>
      </c>
      <c r="L13" s="77">
        <f t="shared" si="3"/>
        <v>0.37271328796313663</v>
      </c>
      <c r="M13" s="77">
        <f t="shared" si="5"/>
        <v>3.1721627316729704</v>
      </c>
      <c r="N13" s="80"/>
      <c r="O13" s="29"/>
    </row>
    <row r="14" spans="2:18" ht="18" customHeight="1" x14ac:dyDescent="0.2">
      <c r="B14" s="34">
        <v>11</v>
      </c>
      <c r="C14" s="35" t="s">
        <v>23</v>
      </c>
      <c r="D14" s="36" t="s">
        <v>24</v>
      </c>
      <c r="E14" s="37">
        <v>42.79</v>
      </c>
      <c r="F14" s="37">
        <v>4.1008000000000003E-2</v>
      </c>
      <c r="G14" s="37">
        <f t="shared" si="1"/>
        <v>9.7531832470947162</v>
      </c>
      <c r="H14" s="37">
        <f t="shared" si="0"/>
        <v>8.938745245967807</v>
      </c>
      <c r="I14" s="37">
        <f t="shared" si="2"/>
        <v>2.0707901298387124</v>
      </c>
      <c r="J14" s="37">
        <f t="shared" si="4"/>
        <v>1.7805357073181787</v>
      </c>
      <c r="K14" s="81">
        <v>0.1</v>
      </c>
      <c r="L14" s="37">
        <f t="shared" si="3"/>
        <v>6.3793606367770463</v>
      </c>
      <c r="M14" s="37">
        <f t="shared" si="5"/>
        <v>54.294148447474562</v>
      </c>
      <c r="N14" s="48"/>
    </row>
    <row r="15" spans="2:18" ht="18" customHeight="1" x14ac:dyDescent="0.2">
      <c r="B15" s="6">
        <v>12</v>
      </c>
      <c r="C15" s="64"/>
      <c r="D15" s="64" t="s">
        <v>73</v>
      </c>
      <c r="E15" s="10">
        <f>SUM(E4:E14)</f>
        <v>644.18999999999983</v>
      </c>
      <c r="F15" s="10">
        <v>0.61728479999999997</v>
      </c>
      <c r="G15" s="10">
        <f>SUM(G4:G14)</f>
        <v>146.83110810810808</v>
      </c>
      <c r="H15" s="10">
        <f>SUM(H4:H13)</f>
        <v>125.63125475403223</v>
      </c>
      <c r="I15" s="10">
        <f>SUM(I4:I14)</f>
        <v>31.175091392000002</v>
      </c>
      <c r="J15" s="10">
        <f>SUM(J4:J14)</f>
        <v>26.805405405405416</v>
      </c>
      <c r="K15" s="65">
        <v>0.1</v>
      </c>
      <c r="L15" s="10">
        <f>SUM(L4:L14)</f>
        <v>96.039269189189199</v>
      </c>
      <c r="M15" s="10">
        <f>SUM(M4:M14)</f>
        <v>817.3813357163242</v>
      </c>
      <c r="N15" s="66"/>
      <c r="O15" s="29"/>
    </row>
    <row r="16" spans="2:18" ht="18" customHeight="1" x14ac:dyDescent="0.2">
      <c r="B16" s="17">
        <v>13</v>
      </c>
      <c r="C16" s="40"/>
      <c r="D16" s="40" t="s">
        <v>74</v>
      </c>
      <c r="E16" s="20"/>
      <c r="F16" s="20">
        <v>228.395376</v>
      </c>
      <c r="G16" s="20">
        <f>64812.51-1500*6.99</f>
        <v>54327.51</v>
      </c>
      <c r="H16" s="20">
        <v>49790.9</v>
      </c>
      <c r="I16" s="20">
        <f>I15*370</f>
        <v>11534.78381504</v>
      </c>
      <c r="J16" s="20">
        <v>9918</v>
      </c>
      <c r="K16" s="69">
        <v>0.1</v>
      </c>
      <c r="L16" s="20"/>
      <c r="M16" s="20"/>
      <c r="N16" s="52"/>
      <c r="O16" s="29"/>
    </row>
    <row r="17" spans="2:18" ht="18" customHeight="1" x14ac:dyDescent="0.2">
      <c r="E17" s="28"/>
      <c r="F17" s="28"/>
      <c r="G17" s="28"/>
      <c r="H17" s="28"/>
      <c r="I17" s="28"/>
      <c r="J17" s="28"/>
      <c r="K17" s="27" t="s">
        <v>75</v>
      </c>
      <c r="L17" s="27"/>
      <c r="M17" s="28"/>
      <c r="N17" s="29"/>
      <c r="O17" s="29"/>
    </row>
    <row r="18" spans="2:18" ht="18" customHeight="1" x14ac:dyDescent="0.2">
      <c r="E18" s="28"/>
      <c r="F18" s="15" t="s">
        <v>76</v>
      </c>
      <c r="G18" s="15">
        <v>83.82</v>
      </c>
      <c r="H18" s="15"/>
      <c r="I18" s="15">
        <v>12.61</v>
      </c>
      <c r="J18" s="15">
        <v>17.670000000000002</v>
      </c>
      <c r="K18" s="15">
        <v>31.53</v>
      </c>
      <c r="L18" s="28"/>
      <c r="M18" s="28"/>
      <c r="N18" s="29"/>
      <c r="O18" s="29"/>
      <c r="Q18" s="1">
        <f>G15-Q10-Q11</f>
        <v>98.831108108108083</v>
      </c>
      <c r="R18" s="1">
        <f>350+350+60</f>
        <v>760</v>
      </c>
    </row>
    <row r="19" spans="2:18" ht="18" customHeight="1" x14ac:dyDescent="0.2">
      <c r="E19" s="28"/>
      <c r="F19" s="15" t="s">
        <v>24</v>
      </c>
      <c r="G19" s="15">
        <v>12.55</v>
      </c>
      <c r="H19" s="15"/>
      <c r="I19" s="15">
        <v>1.89</v>
      </c>
      <c r="J19" s="15">
        <v>1.9</v>
      </c>
      <c r="K19" s="15">
        <v>4.72</v>
      </c>
      <c r="L19" s="28"/>
      <c r="M19" s="28"/>
      <c r="N19" s="29"/>
      <c r="O19" s="29"/>
    </row>
    <row r="20" spans="2:18" ht="18" customHeight="1" x14ac:dyDescent="0.2">
      <c r="E20" s="28"/>
      <c r="F20" s="28"/>
      <c r="G20" s="28"/>
      <c r="H20" s="28"/>
      <c r="I20" s="28"/>
      <c r="J20" s="28"/>
      <c r="K20" s="28"/>
      <c r="L20" s="28"/>
      <c r="M20" s="28"/>
      <c r="N20" s="29"/>
      <c r="O20" s="29"/>
      <c r="Q20" s="1">
        <f>Q18*500</f>
        <v>49415.554054054039</v>
      </c>
    </row>
    <row r="21" spans="2:18" ht="45" customHeight="1" x14ac:dyDescent="0.2">
      <c r="B21" s="101" t="s">
        <v>77</v>
      </c>
      <c r="C21" s="101"/>
      <c r="D21" s="101"/>
      <c r="E21" s="101"/>
      <c r="F21" s="101"/>
      <c r="G21" s="101"/>
      <c r="H21" s="101"/>
      <c r="I21" s="101"/>
    </row>
    <row r="22" spans="2:18" ht="23.1" customHeight="1" x14ac:dyDescent="0.2">
      <c r="B22" s="30"/>
      <c r="C22" s="30"/>
      <c r="D22" s="30"/>
      <c r="E22" s="30"/>
      <c r="F22" s="30"/>
      <c r="G22" s="30"/>
      <c r="H22" s="30"/>
      <c r="I22" s="30"/>
    </row>
    <row r="23" spans="2:18" ht="29.1" customHeight="1" x14ac:dyDescent="0.2">
      <c r="B23" s="102" t="s">
        <v>42</v>
      </c>
      <c r="C23" s="102"/>
      <c r="D23" s="102"/>
      <c r="E23" s="102"/>
    </row>
    <row r="24" spans="2:18" ht="29.1" customHeight="1" x14ac:dyDescent="0.2">
      <c r="B24" s="32" t="s">
        <v>0</v>
      </c>
      <c r="C24" s="103" t="s">
        <v>43</v>
      </c>
      <c r="D24" s="103"/>
      <c r="E24" s="32" t="s">
        <v>44</v>
      </c>
      <c r="J24" s="33"/>
      <c r="K24" s="33"/>
      <c r="L24" s="33"/>
    </row>
    <row r="25" spans="2:18" ht="29.1" customHeight="1" x14ac:dyDescent="0.2">
      <c r="B25" s="32">
        <v>1</v>
      </c>
      <c r="C25" s="103" t="s">
        <v>45</v>
      </c>
      <c r="D25" s="32" t="s">
        <v>46</v>
      </c>
      <c r="E25" s="32">
        <v>2700</v>
      </c>
    </row>
    <row r="26" spans="2:18" ht="29.1" customHeight="1" x14ac:dyDescent="0.2">
      <c r="B26" s="32">
        <v>2</v>
      </c>
      <c r="C26" s="103"/>
      <c r="D26" s="32" t="s">
        <v>47</v>
      </c>
      <c r="E26" s="32">
        <v>280</v>
      </c>
    </row>
    <row r="27" spans="2:18" ht="29.1" customHeight="1" x14ac:dyDescent="0.2">
      <c r="B27" s="32">
        <v>3</v>
      </c>
      <c r="C27" s="103"/>
      <c r="D27" s="32" t="s">
        <v>48</v>
      </c>
      <c r="E27" s="32">
        <v>500</v>
      </c>
    </row>
    <row r="28" spans="2:18" ht="29.1" customHeight="1" x14ac:dyDescent="0.2">
      <c r="B28" s="32">
        <v>4</v>
      </c>
      <c r="C28" s="103"/>
      <c r="D28" s="32" t="s">
        <v>49</v>
      </c>
      <c r="E28" s="32">
        <v>150</v>
      </c>
      <c r="P28" s="1">
        <f>424.7/7</f>
        <v>60.671428571428571</v>
      </c>
    </row>
    <row r="29" spans="2:18" ht="29.1" customHeight="1" x14ac:dyDescent="0.2">
      <c r="B29" s="32">
        <v>5</v>
      </c>
      <c r="C29" s="103"/>
      <c r="D29" s="32" t="s">
        <v>50</v>
      </c>
      <c r="E29" s="32">
        <v>972</v>
      </c>
    </row>
    <row r="30" spans="2:18" ht="29.1" customHeight="1" x14ac:dyDescent="0.2">
      <c r="B30" s="32">
        <v>6</v>
      </c>
      <c r="C30" s="103"/>
      <c r="D30" s="32" t="s">
        <v>51</v>
      </c>
      <c r="E30" s="32">
        <v>100</v>
      </c>
    </row>
    <row r="31" spans="2:18" ht="29.1" customHeight="1" x14ac:dyDescent="0.2">
      <c r="B31" s="32">
        <v>7</v>
      </c>
      <c r="C31" s="103"/>
      <c r="D31" s="32" t="s">
        <v>52</v>
      </c>
      <c r="E31" s="32">
        <v>100</v>
      </c>
    </row>
    <row r="32" spans="2:18" ht="29.1" customHeight="1" x14ac:dyDescent="0.2">
      <c r="B32" s="32">
        <v>8</v>
      </c>
      <c r="C32" s="103"/>
      <c r="D32" s="32" t="s">
        <v>53</v>
      </c>
      <c r="E32" s="32">
        <v>200</v>
      </c>
    </row>
    <row r="33" spans="2:11" ht="29.1" customHeight="1" x14ac:dyDescent="0.2">
      <c r="B33" s="32">
        <v>9</v>
      </c>
      <c r="C33" s="104" t="s">
        <v>54</v>
      </c>
      <c r="D33" s="105"/>
      <c r="E33" s="32">
        <f>SUM(E25:E32)</f>
        <v>5002</v>
      </c>
    </row>
    <row r="34" spans="2:11" ht="29.1" customHeight="1" x14ac:dyDescent="0.2">
      <c r="B34" s="32">
        <v>10</v>
      </c>
      <c r="C34" s="104" t="s">
        <v>55</v>
      </c>
      <c r="D34" s="105"/>
      <c r="E34" s="32">
        <v>44788.9</v>
      </c>
      <c r="G34" s="1">
        <f>E34/7</f>
        <v>6398.4142857142861</v>
      </c>
      <c r="H34" s="1">
        <v>1300</v>
      </c>
      <c r="I34" s="1">
        <v>2200</v>
      </c>
      <c r="K34" s="1">
        <v>2800</v>
      </c>
    </row>
    <row r="35" spans="2:11" ht="29.1" customHeight="1" x14ac:dyDescent="0.2">
      <c r="B35" s="32">
        <v>11</v>
      </c>
      <c r="C35" s="104" t="s">
        <v>56</v>
      </c>
      <c r="D35" s="105"/>
      <c r="E35" s="32">
        <v>15021.61</v>
      </c>
    </row>
    <row r="36" spans="2:11" ht="29.1" customHeight="1" x14ac:dyDescent="0.2">
      <c r="B36" s="32">
        <v>12</v>
      </c>
      <c r="C36" s="104" t="s">
        <v>57</v>
      </c>
      <c r="D36" s="105"/>
      <c r="E36" s="32">
        <f>E33+E34</f>
        <v>49790.9</v>
      </c>
    </row>
    <row r="37" spans="2:11" ht="29.1" customHeight="1" x14ac:dyDescent="0.2">
      <c r="B37" s="32">
        <v>13</v>
      </c>
      <c r="C37" s="106" t="s">
        <v>8</v>
      </c>
      <c r="D37" s="107"/>
      <c r="E37" s="57">
        <f>SUM(E33:E35)</f>
        <v>64812.51</v>
      </c>
    </row>
  </sheetData>
  <mergeCells count="10">
    <mergeCell ref="C34:D34"/>
    <mergeCell ref="C35:D35"/>
    <mergeCell ref="C36:D36"/>
    <mergeCell ref="C37:D37"/>
    <mergeCell ref="C25:C32"/>
    <mergeCell ref="B2:N2"/>
    <mergeCell ref="B21:I21"/>
    <mergeCell ref="B23:E23"/>
    <mergeCell ref="C24:D24"/>
    <mergeCell ref="C33:D33"/>
  </mergeCells>
  <phoneticPr fontId="6" type="noConversion"/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7"/>
  <sheetViews>
    <sheetView topLeftCell="A2" workbookViewId="0">
      <selection activeCell="J4" sqref="J4:J8"/>
    </sheetView>
  </sheetViews>
  <sheetFormatPr defaultColWidth="23.75" defaultRowHeight="29.1" customHeight="1" x14ac:dyDescent="0.2"/>
  <cols>
    <col min="1" max="1" width="4.625" style="1" customWidth="1"/>
    <col min="2" max="2" width="4.375" style="1" customWidth="1"/>
    <col min="3" max="3" width="15.625" style="1" customWidth="1"/>
    <col min="4" max="4" width="17.125" style="1" customWidth="1"/>
    <col min="5" max="5" width="9.375" style="1" customWidth="1"/>
    <col min="6" max="6" width="10.75" style="1" customWidth="1"/>
    <col min="7" max="7" width="10.375" style="1" customWidth="1"/>
    <col min="8" max="8" width="10.875" style="1" customWidth="1"/>
    <col min="9" max="9" width="10.375" style="1" customWidth="1"/>
    <col min="10" max="10" width="9.375" style="1" customWidth="1"/>
    <col min="11" max="11" width="7.75" style="1" customWidth="1"/>
    <col min="12" max="12" width="9.25" style="1" customWidth="1"/>
    <col min="13" max="13" width="9.5" style="1" customWidth="1"/>
    <col min="14" max="14" width="7.5" style="1" customWidth="1"/>
    <col min="15" max="15" width="1.125" style="1" customWidth="1"/>
    <col min="16" max="18" width="9.875" style="1" customWidth="1"/>
    <col min="19" max="16384" width="23.75" style="1"/>
  </cols>
  <sheetData>
    <row r="2" spans="2:18" ht="29.1" customHeight="1" x14ac:dyDescent="0.2">
      <c r="B2" s="98" t="s">
        <v>58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100"/>
    </row>
    <row r="3" spans="2:18" ht="42" customHeight="1" x14ac:dyDescent="0.2">
      <c r="B3" s="2" t="s">
        <v>0</v>
      </c>
      <c r="C3" s="3" t="s">
        <v>1</v>
      </c>
      <c r="D3" s="3" t="s">
        <v>2</v>
      </c>
      <c r="E3" s="3" t="s">
        <v>59</v>
      </c>
      <c r="F3" s="3" t="s">
        <v>60</v>
      </c>
      <c r="G3" s="3" t="s">
        <v>61</v>
      </c>
      <c r="H3" s="3" t="s">
        <v>62</v>
      </c>
      <c r="I3" s="3" t="s">
        <v>63</v>
      </c>
      <c r="J3" s="3" t="s">
        <v>64</v>
      </c>
      <c r="K3" s="3" t="s">
        <v>65</v>
      </c>
      <c r="L3" s="3"/>
      <c r="M3" s="3" t="s">
        <v>67</v>
      </c>
      <c r="N3" s="4" t="s">
        <v>68</v>
      </c>
      <c r="P3" s="1" t="s">
        <v>69</v>
      </c>
      <c r="Q3" s="1" t="s">
        <v>70</v>
      </c>
      <c r="R3" s="1" t="s">
        <v>71</v>
      </c>
    </row>
    <row r="4" spans="2:18" ht="18" customHeight="1" x14ac:dyDescent="0.2">
      <c r="B4" s="6">
        <v>1</v>
      </c>
      <c r="C4" s="7" t="s">
        <v>19</v>
      </c>
      <c r="D4" s="8" t="s">
        <v>20</v>
      </c>
      <c r="E4" s="10">
        <v>270.87</v>
      </c>
      <c r="F4" s="10">
        <v>0.24837999999999999</v>
      </c>
      <c r="G4" s="10">
        <f t="shared" ref="G4:G15" si="0">E4/644.19*(38773/370)</f>
        <v>44.063055553108171</v>
      </c>
      <c r="H4" s="10">
        <f t="shared" ref="H4:H14" si="1">E4/$E$15*$H$16/370</f>
        <v>56.58420015833839</v>
      </c>
      <c r="I4" s="10">
        <f t="shared" ref="I4:I14" si="2">(E4+F4+H4)*0.04</f>
        <v>13.108103206333535</v>
      </c>
      <c r="J4" s="10">
        <f>9918/370*E4/$E$15+3</f>
        <v>14.271178009845176</v>
      </c>
      <c r="K4" s="65">
        <v>0.03</v>
      </c>
      <c r="L4" s="10"/>
      <c r="M4" s="10">
        <f t="shared" ref="M4:M14" si="3">E4+G4+I4+J4+K4*E4-L4</f>
        <v>350.43843676928685</v>
      </c>
      <c r="N4" s="66"/>
      <c r="P4" s="1">
        <v>424.7</v>
      </c>
      <c r="Q4" s="1">
        <f>P4/7.28</f>
        <v>58.337912087912088</v>
      </c>
      <c r="R4" s="1">
        <f>Q4*6.99</f>
        <v>407.78200549450548</v>
      </c>
    </row>
    <row r="5" spans="2:18" ht="18" customHeight="1" x14ac:dyDescent="0.2">
      <c r="B5" s="12">
        <v>2</v>
      </c>
      <c r="C5" s="13" t="s">
        <v>27</v>
      </c>
      <c r="D5" s="14" t="s">
        <v>28</v>
      </c>
      <c r="E5" s="15">
        <v>17.53</v>
      </c>
      <c r="F5" s="15">
        <v>2.4059199999999999E-2</v>
      </c>
      <c r="G5" s="15">
        <f t="shared" si="0"/>
        <v>2.8516460436592697</v>
      </c>
      <c r="H5" s="15">
        <f t="shared" si="1"/>
        <v>3.6619818687033341</v>
      </c>
      <c r="I5" s="15">
        <f t="shared" si="2"/>
        <v>0.84864164274813336</v>
      </c>
      <c r="J5" s="15">
        <v>1.73</v>
      </c>
      <c r="K5" s="67">
        <v>0.03</v>
      </c>
      <c r="L5" s="15"/>
      <c r="M5" s="15">
        <f t="shared" si="3"/>
        <v>23.486187686407405</v>
      </c>
      <c r="N5" s="68"/>
      <c r="O5" s="29"/>
    </row>
    <row r="6" spans="2:18" ht="18" customHeight="1" x14ac:dyDescent="0.2">
      <c r="B6" s="12">
        <v>3</v>
      </c>
      <c r="C6" s="13" t="s">
        <v>31</v>
      </c>
      <c r="D6" s="14" t="s">
        <v>32</v>
      </c>
      <c r="E6" s="15">
        <v>5.14</v>
      </c>
      <c r="F6" s="15">
        <v>6.3096000000000003E-3</v>
      </c>
      <c r="G6" s="15">
        <f t="shared" si="0"/>
        <v>0.83613580515736707</v>
      </c>
      <c r="H6" s="15">
        <f t="shared" si="1"/>
        <v>1.0737356990949878</v>
      </c>
      <c r="I6" s="15">
        <f t="shared" si="2"/>
        <v>0.24880181196379952</v>
      </c>
      <c r="J6" s="15">
        <v>1.21</v>
      </c>
      <c r="K6" s="67">
        <v>0.03</v>
      </c>
      <c r="L6" s="15"/>
      <c r="M6" s="15">
        <f t="shared" si="3"/>
        <v>7.5891376171211666</v>
      </c>
      <c r="N6" s="68"/>
      <c r="O6" s="29"/>
    </row>
    <row r="7" spans="2:18" ht="18" customHeight="1" x14ac:dyDescent="0.2">
      <c r="B7" s="12">
        <v>4</v>
      </c>
      <c r="C7" s="13" t="s">
        <v>35</v>
      </c>
      <c r="D7" s="14" t="s">
        <v>36</v>
      </c>
      <c r="E7" s="15">
        <v>4.66</v>
      </c>
      <c r="F7" s="15">
        <v>6.1336000000000003E-3</v>
      </c>
      <c r="G7" s="15">
        <f t="shared" si="0"/>
        <v>0.75805308405317717</v>
      </c>
      <c r="H7" s="15">
        <f t="shared" si="1"/>
        <v>0.97346466104720686</v>
      </c>
      <c r="I7" s="15">
        <f t="shared" si="2"/>
        <v>0.22558393044188829</v>
      </c>
      <c r="J7" s="15">
        <v>1.19</v>
      </c>
      <c r="K7" s="67">
        <v>0.03</v>
      </c>
      <c r="L7" s="15"/>
      <c r="M7" s="15">
        <f t="shared" si="3"/>
        <v>6.9734370144950661</v>
      </c>
      <c r="N7" s="68"/>
      <c r="O7" s="29"/>
    </row>
    <row r="8" spans="2:18" ht="18" customHeight="1" x14ac:dyDescent="0.2">
      <c r="B8" s="17">
        <v>5</v>
      </c>
      <c r="C8" s="18" t="s">
        <v>39</v>
      </c>
      <c r="D8" s="23" t="s">
        <v>40</v>
      </c>
      <c r="E8" s="24">
        <v>2.5</v>
      </c>
      <c r="F8" s="24">
        <v>3.2560000000000002E-3</v>
      </c>
      <c r="G8" s="39">
        <f t="shared" si="0"/>
        <v>0.40668083908432251</v>
      </c>
      <c r="H8" s="20">
        <f t="shared" si="1"/>
        <v>0.52224498983219247</v>
      </c>
      <c r="I8" s="20">
        <f t="shared" si="2"/>
        <v>0.12102003959328769</v>
      </c>
      <c r="J8" s="20">
        <v>1.1000000000000001</v>
      </c>
      <c r="K8" s="69">
        <v>0.03</v>
      </c>
      <c r="L8" s="20"/>
      <c r="M8" s="20">
        <f t="shared" si="3"/>
        <v>4.2027008786776108</v>
      </c>
      <c r="N8" s="70"/>
      <c r="O8" s="29"/>
      <c r="P8" s="1">
        <v>394</v>
      </c>
      <c r="Q8" s="1" t="s">
        <v>72</v>
      </c>
    </row>
    <row r="9" spans="2:18" ht="18" customHeight="1" x14ac:dyDescent="0.2">
      <c r="B9" s="6">
        <v>6</v>
      </c>
      <c r="C9" s="7" t="s">
        <v>21</v>
      </c>
      <c r="D9" s="8" t="s">
        <v>22</v>
      </c>
      <c r="E9" s="10">
        <f>E4</f>
        <v>270.87</v>
      </c>
      <c r="F9" s="10">
        <v>0.24837999999999999</v>
      </c>
      <c r="G9" s="10">
        <f t="shared" si="0"/>
        <v>44.063055553108171</v>
      </c>
      <c r="H9" s="10">
        <f t="shared" si="1"/>
        <v>56.58420015833839</v>
      </c>
      <c r="I9" s="10">
        <f t="shared" si="2"/>
        <v>13.108103206333535</v>
      </c>
      <c r="J9" s="10">
        <f>9918/370*E9/$E$15+3</f>
        <v>14.271178009845176</v>
      </c>
      <c r="K9" s="65">
        <v>0.03</v>
      </c>
      <c r="L9" s="10"/>
      <c r="M9" s="10">
        <f t="shared" si="3"/>
        <v>350.43843676928685</v>
      </c>
      <c r="N9" s="66"/>
    </row>
    <row r="10" spans="2:18" ht="18" customHeight="1" x14ac:dyDescent="0.2">
      <c r="B10" s="12">
        <v>7</v>
      </c>
      <c r="C10" s="13" t="s">
        <v>25</v>
      </c>
      <c r="D10" s="14" t="s">
        <v>26</v>
      </c>
      <c r="E10" s="15">
        <v>17.53</v>
      </c>
      <c r="F10" s="15">
        <v>2.4059199999999999E-2</v>
      </c>
      <c r="G10" s="15">
        <f t="shared" si="0"/>
        <v>2.8516460436592697</v>
      </c>
      <c r="H10" s="15">
        <f t="shared" si="1"/>
        <v>3.6619818687033341</v>
      </c>
      <c r="I10" s="15">
        <f t="shared" si="2"/>
        <v>0.84864164274813336</v>
      </c>
      <c r="J10" s="15">
        <f t="shared" ref="J10:J14" si="4">9918/370*E10/$E$15+1</f>
        <v>1.7294412467699853</v>
      </c>
      <c r="K10" s="67">
        <v>0.03</v>
      </c>
      <c r="L10" s="15"/>
      <c r="M10" s="15">
        <f t="shared" si="3"/>
        <v>23.485628933177388</v>
      </c>
      <c r="N10" s="68"/>
      <c r="O10" s="29"/>
      <c r="Q10" s="1">
        <v>24</v>
      </c>
    </row>
    <row r="11" spans="2:18" ht="18" customHeight="1" x14ac:dyDescent="0.2">
      <c r="B11" s="12">
        <v>8</v>
      </c>
      <c r="C11" s="13" t="s">
        <v>29</v>
      </c>
      <c r="D11" s="14" t="s">
        <v>30</v>
      </c>
      <c r="E11" s="15">
        <v>5.14</v>
      </c>
      <c r="F11" s="15">
        <v>6.3096000000000003E-3</v>
      </c>
      <c r="G11" s="15">
        <f t="shared" si="0"/>
        <v>0.83613580515736707</v>
      </c>
      <c r="H11" s="15">
        <f t="shared" si="1"/>
        <v>1.0737356990949878</v>
      </c>
      <c r="I11" s="15">
        <f t="shared" si="2"/>
        <v>0.24880181196379952</v>
      </c>
      <c r="J11" s="15">
        <f t="shared" si="4"/>
        <v>1.2138806622018097</v>
      </c>
      <c r="K11" s="67">
        <v>0.03</v>
      </c>
      <c r="L11" s="15"/>
      <c r="M11" s="15">
        <f t="shared" si="3"/>
        <v>7.5930182793229761</v>
      </c>
      <c r="N11" s="68"/>
      <c r="O11" s="29"/>
      <c r="Q11" s="1">
        <v>24</v>
      </c>
    </row>
    <row r="12" spans="2:18" ht="18" customHeight="1" x14ac:dyDescent="0.2">
      <c r="B12" s="12">
        <v>9</v>
      </c>
      <c r="C12" s="13" t="s">
        <v>33</v>
      </c>
      <c r="D12" s="14" t="s">
        <v>34</v>
      </c>
      <c r="E12" s="15">
        <v>4.66</v>
      </c>
      <c r="F12" s="15">
        <v>6.1336000000000003E-3</v>
      </c>
      <c r="G12" s="15">
        <f t="shared" si="0"/>
        <v>0.75805308405317717</v>
      </c>
      <c r="H12" s="15">
        <f t="shared" si="1"/>
        <v>0.97346466104720686</v>
      </c>
      <c r="I12" s="15">
        <f t="shared" si="2"/>
        <v>0.22558393044188829</v>
      </c>
      <c r="J12" s="15">
        <f t="shared" si="4"/>
        <v>1.1939073707899677</v>
      </c>
      <c r="K12" s="67">
        <v>0.03</v>
      </c>
      <c r="L12" s="15"/>
      <c r="M12" s="15">
        <f t="shared" si="3"/>
        <v>6.9773443852850336</v>
      </c>
      <c r="N12" s="68"/>
      <c r="O12" s="29"/>
    </row>
    <row r="13" spans="2:18" ht="18" customHeight="1" x14ac:dyDescent="0.2">
      <c r="B13" s="17">
        <v>10</v>
      </c>
      <c r="C13" s="18" t="s">
        <v>37</v>
      </c>
      <c r="D13" s="19" t="s">
        <v>38</v>
      </c>
      <c r="E13" s="20">
        <v>2.5</v>
      </c>
      <c r="F13" s="20">
        <v>3.2560000000000002E-3</v>
      </c>
      <c r="G13" s="39">
        <f t="shared" si="0"/>
        <v>0.40668083908432251</v>
      </c>
      <c r="H13" s="20">
        <f t="shared" si="1"/>
        <v>0.52224498983219247</v>
      </c>
      <c r="I13" s="20">
        <f t="shared" si="2"/>
        <v>0.12102003959328769</v>
      </c>
      <c r="J13" s="20">
        <f t="shared" si="4"/>
        <v>1.104027559436678</v>
      </c>
      <c r="K13" s="69">
        <v>0.03</v>
      </c>
      <c r="L13" s="20"/>
      <c r="M13" s="20">
        <f t="shared" si="3"/>
        <v>4.2067284381142889</v>
      </c>
      <c r="N13" s="70"/>
      <c r="O13" s="29"/>
    </row>
    <row r="14" spans="2:18" ht="18" customHeight="1" x14ac:dyDescent="0.2">
      <c r="B14" s="62">
        <v>11</v>
      </c>
      <c r="C14" s="63" t="s">
        <v>23</v>
      </c>
      <c r="D14" s="23" t="s">
        <v>24</v>
      </c>
      <c r="E14" s="24">
        <v>42.79</v>
      </c>
      <c r="F14" s="24">
        <v>4.1008000000000003E-2</v>
      </c>
      <c r="G14" s="10">
        <f t="shared" si="0"/>
        <v>6.9607492417672638</v>
      </c>
      <c r="H14" s="24">
        <f t="shared" si="1"/>
        <v>8.938745245967807</v>
      </c>
      <c r="I14" s="24">
        <f t="shared" si="2"/>
        <v>2.0707901298387124</v>
      </c>
      <c r="J14" s="24">
        <f t="shared" si="4"/>
        <v>2.7805357073181787</v>
      </c>
      <c r="K14" s="71">
        <v>0.03</v>
      </c>
      <c r="L14" s="24"/>
      <c r="M14" s="24">
        <f t="shared" si="3"/>
        <v>55.885775078924162</v>
      </c>
      <c r="N14" s="52"/>
    </row>
    <row r="15" spans="2:18" ht="18" customHeight="1" x14ac:dyDescent="0.2">
      <c r="B15" s="6">
        <v>12</v>
      </c>
      <c r="C15" s="64"/>
      <c r="D15" s="64" t="s">
        <v>73</v>
      </c>
      <c r="E15" s="10">
        <f t="shared" ref="E15:J15" si="5">SUM(E4:E14)</f>
        <v>644.18999999999983</v>
      </c>
      <c r="F15" s="10">
        <v>0.61728479999999997</v>
      </c>
      <c r="G15" s="10">
        <f t="shared" si="0"/>
        <v>104.79189189189186</v>
      </c>
      <c r="H15" s="10">
        <f>SUM(H4:H13)</f>
        <v>125.63125475403223</v>
      </c>
      <c r="I15" s="10">
        <f t="shared" si="5"/>
        <v>31.175091392000002</v>
      </c>
      <c r="J15" s="10">
        <f t="shared" si="5"/>
        <v>41.794148566206978</v>
      </c>
      <c r="K15" s="65">
        <v>0.03</v>
      </c>
      <c r="L15" s="10"/>
      <c r="M15" s="10">
        <f>SUM(M4:M14)</f>
        <v>841.2768318500988</v>
      </c>
      <c r="N15" s="66"/>
      <c r="O15" s="29"/>
    </row>
    <row r="16" spans="2:18" ht="18" customHeight="1" x14ac:dyDescent="0.2">
      <c r="B16" s="17">
        <v>13</v>
      </c>
      <c r="C16" s="40"/>
      <c r="D16" s="40" t="s">
        <v>74</v>
      </c>
      <c r="E16" s="20"/>
      <c r="F16" s="20">
        <v>228.395376</v>
      </c>
      <c r="G16" s="20">
        <v>38773</v>
      </c>
      <c r="H16" s="20">
        <v>49790.9</v>
      </c>
      <c r="I16" s="20">
        <f>I15*370</f>
        <v>11534.78381504</v>
      </c>
      <c r="J16" s="20">
        <v>9918</v>
      </c>
      <c r="K16" s="69">
        <v>0.03</v>
      </c>
      <c r="L16" s="20"/>
      <c r="M16" s="20"/>
      <c r="N16" s="52"/>
      <c r="O16" s="29"/>
    </row>
    <row r="17" spans="2:18" ht="18" customHeight="1" x14ac:dyDescent="0.2">
      <c r="E17" s="28"/>
      <c r="F17" s="28"/>
      <c r="G17" s="28"/>
      <c r="H17" s="28"/>
      <c r="I17" s="28"/>
      <c r="J17" s="28"/>
      <c r="K17" s="27" t="s">
        <v>75</v>
      </c>
      <c r="L17" s="27"/>
      <c r="M17" s="28"/>
      <c r="N17" s="29"/>
      <c r="O17" s="29"/>
    </row>
    <row r="18" spans="2:18" ht="18" customHeight="1" x14ac:dyDescent="0.2">
      <c r="E18" s="28"/>
      <c r="F18" s="15" t="s">
        <v>76</v>
      </c>
      <c r="G18" s="15">
        <v>83.82</v>
      </c>
      <c r="H18" s="15"/>
      <c r="I18" s="15">
        <v>12.61</v>
      </c>
      <c r="J18" s="15">
        <v>17.670000000000002</v>
      </c>
      <c r="K18" s="15">
        <v>31.53</v>
      </c>
      <c r="L18" s="28"/>
      <c r="M18" s="28"/>
      <c r="N18" s="29"/>
      <c r="O18" s="29"/>
      <c r="Q18" s="1">
        <f>G15-Q10-Q11</f>
        <v>56.791891891891865</v>
      </c>
      <c r="R18" s="1">
        <f>350+350+60</f>
        <v>760</v>
      </c>
    </row>
    <row r="19" spans="2:18" ht="18" customHeight="1" x14ac:dyDescent="0.2">
      <c r="E19" s="28"/>
      <c r="F19" s="15" t="s">
        <v>24</v>
      </c>
      <c r="G19" s="15">
        <v>12.55</v>
      </c>
      <c r="H19" s="15"/>
      <c r="I19" s="15">
        <v>1.89</v>
      </c>
      <c r="J19" s="15">
        <v>1.9</v>
      </c>
      <c r="K19" s="15">
        <v>4.72</v>
      </c>
      <c r="L19" s="28"/>
      <c r="M19" s="28">
        <f>20/E15</f>
        <v>3.1046740868377349E-2</v>
      </c>
      <c r="N19" s="29"/>
      <c r="O19" s="29"/>
    </row>
    <row r="20" spans="2:18" ht="18" customHeight="1" x14ac:dyDescent="0.2">
      <c r="E20" s="28"/>
      <c r="F20" s="28"/>
      <c r="G20" s="28"/>
      <c r="H20" s="28"/>
      <c r="I20" s="28"/>
      <c r="J20" s="28"/>
      <c r="K20" s="28"/>
      <c r="L20" s="28"/>
      <c r="M20" s="28"/>
      <c r="N20" s="29"/>
      <c r="O20" s="29"/>
      <c r="Q20" s="1">
        <f>Q18*500</f>
        <v>28395.945945945932</v>
      </c>
    </row>
    <row r="21" spans="2:18" ht="45" customHeight="1" x14ac:dyDescent="0.2">
      <c r="B21" s="101" t="s">
        <v>77</v>
      </c>
      <c r="C21" s="101"/>
      <c r="D21" s="101"/>
      <c r="E21" s="101"/>
      <c r="F21" s="101"/>
      <c r="G21" s="101"/>
      <c r="H21" s="101"/>
      <c r="I21" s="101"/>
    </row>
    <row r="22" spans="2:18" ht="23.1" customHeight="1" x14ac:dyDescent="0.2">
      <c r="B22" s="30"/>
      <c r="C22" s="30"/>
      <c r="D22" s="30"/>
      <c r="E22" s="30"/>
      <c r="F22" s="30"/>
      <c r="G22" s="30"/>
      <c r="H22" s="30"/>
      <c r="I22" s="30"/>
    </row>
    <row r="23" spans="2:18" ht="29.1" customHeight="1" x14ac:dyDescent="0.2">
      <c r="B23" s="102" t="s">
        <v>42</v>
      </c>
      <c r="C23" s="102"/>
      <c r="D23" s="102"/>
      <c r="E23" s="102"/>
    </row>
    <row r="24" spans="2:18" ht="29.1" customHeight="1" x14ac:dyDescent="0.2">
      <c r="B24" s="32" t="s">
        <v>0</v>
      </c>
      <c r="C24" s="103" t="s">
        <v>43</v>
      </c>
      <c r="D24" s="103"/>
      <c r="E24" s="32" t="s">
        <v>44</v>
      </c>
      <c r="J24" s="33"/>
      <c r="K24" s="33"/>
      <c r="L24" s="33"/>
    </row>
    <row r="25" spans="2:18" ht="29.1" customHeight="1" x14ac:dyDescent="0.2">
      <c r="B25" s="32">
        <v>1</v>
      </c>
      <c r="C25" s="103" t="s">
        <v>45</v>
      </c>
      <c r="D25" s="32" t="s">
        <v>46</v>
      </c>
      <c r="E25" s="32">
        <v>2700</v>
      </c>
    </row>
    <row r="26" spans="2:18" ht="29.1" customHeight="1" x14ac:dyDescent="0.2">
      <c r="B26" s="32">
        <v>2</v>
      </c>
      <c r="C26" s="103"/>
      <c r="D26" s="32" t="s">
        <v>47</v>
      </c>
      <c r="E26" s="32">
        <v>280</v>
      </c>
      <c r="G26" s="1">
        <f>G15*370</f>
        <v>38772.999999999993</v>
      </c>
    </row>
    <row r="27" spans="2:18" ht="29.1" customHeight="1" x14ac:dyDescent="0.2">
      <c r="B27" s="32">
        <v>3</v>
      </c>
      <c r="C27" s="103"/>
      <c r="D27" s="32" t="s">
        <v>48</v>
      </c>
      <c r="E27" s="32">
        <v>500</v>
      </c>
    </row>
    <row r="28" spans="2:18" ht="29.1" customHeight="1" x14ac:dyDescent="0.2">
      <c r="B28" s="32">
        <v>4</v>
      </c>
      <c r="C28" s="103"/>
      <c r="D28" s="32" t="s">
        <v>49</v>
      </c>
      <c r="E28" s="32">
        <v>150</v>
      </c>
    </row>
    <row r="29" spans="2:18" ht="29.1" customHeight="1" x14ac:dyDescent="0.2">
      <c r="B29" s="32">
        <v>5</v>
      </c>
      <c r="C29" s="103"/>
      <c r="D29" s="32" t="s">
        <v>50</v>
      </c>
      <c r="E29" s="32">
        <v>972</v>
      </c>
    </row>
    <row r="30" spans="2:18" ht="29.1" customHeight="1" x14ac:dyDescent="0.2">
      <c r="B30" s="32">
        <v>6</v>
      </c>
      <c r="C30" s="103"/>
      <c r="D30" s="32" t="s">
        <v>51</v>
      </c>
      <c r="E30" s="32">
        <v>100</v>
      </c>
    </row>
    <row r="31" spans="2:18" ht="29.1" customHeight="1" x14ac:dyDescent="0.2">
      <c r="B31" s="32">
        <v>7</v>
      </c>
      <c r="C31" s="103"/>
      <c r="D31" s="32" t="s">
        <v>52</v>
      </c>
      <c r="E31" s="32">
        <v>100</v>
      </c>
    </row>
    <row r="32" spans="2:18" ht="29.1" customHeight="1" x14ac:dyDescent="0.2">
      <c r="B32" s="32">
        <v>8</v>
      </c>
      <c r="C32" s="103"/>
      <c r="D32" s="32" t="s">
        <v>53</v>
      </c>
      <c r="E32" s="32">
        <v>200</v>
      </c>
    </row>
    <row r="33" spans="2:11" ht="29.1" customHeight="1" x14ac:dyDescent="0.2">
      <c r="B33" s="32">
        <v>9</v>
      </c>
      <c r="C33" s="104" t="s">
        <v>54</v>
      </c>
      <c r="D33" s="105"/>
      <c r="E33" s="32">
        <f>SUM(E25:E32)</f>
        <v>5002</v>
      </c>
    </row>
    <row r="34" spans="2:11" ht="29.1" customHeight="1" x14ac:dyDescent="0.2">
      <c r="B34" s="32">
        <v>10</v>
      </c>
      <c r="C34" s="104" t="s">
        <v>55</v>
      </c>
      <c r="D34" s="105"/>
      <c r="E34" s="32">
        <f>2500*7.5</f>
        <v>18750</v>
      </c>
      <c r="G34" s="1">
        <f>E34/7</f>
        <v>2678.5714285714284</v>
      </c>
      <c r="H34" s="1">
        <v>1300</v>
      </c>
      <c r="I34" s="1">
        <v>2200</v>
      </c>
      <c r="K34" s="1">
        <v>2800</v>
      </c>
    </row>
    <row r="35" spans="2:11" ht="29.1" customHeight="1" x14ac:dyDescent="0.2">
      <c r="B35" s="32">
        <v>11</v>
      </c>
      <c r="C35" s="104" t="s">
        <v>56</v>
      </c>
      <c r="D35" s="105"/>
      <c r="E35" s="32">
        <v>15021.61</v>
      </c>
      <c r="G35" s="1">
        <f>2000*7</f>
        <v>14000</v>
      </c>
    </row>
    <row r="36" spans="2:11" ht="29.1" customHeight="1" x14ac:dyDescent="0.2">
      <c r="B36" s="32">
        <v>12</v>
      </c>
      <c r="C36" s="104" t="s">
        <v>57</v>
      </c>
      <c r="D36" s="105"/>
      <c r="E36" s="32">
        <f>E33+E34</f>
        <v>23752</v>
      </c>
    </row>
    <row r="37" spans="2:11" ht="29.1" customHeight="1" x14ac:dyDescent="0.2">
      <c r="B37" s="32">
        <v>13</v>
      </c>
      <c r="C37" s="106" t="s">
        <v>8</v>
      </c>
      <c r="D37" s="107"/>
      <c r="E37" s="57">
        <f>SUM(E33:E35)</f>
        <v>38773.61</v>
      </c>
    </row>
  </sheetData>
  <mergeCells count="10">
    <mergeCell ref="C34:D34"/>
    <mergeCell ref="C35:D35"/>
    <mergeCell ref="C36:D36"/>
    <mergeCell ref="C37:D37"/>
    <mergeCell ref="C25:C32"/>
    <mergeCell ref="B2:N2"/>
    <mergeCell ref="B21:I21"/>
    <mergeCell ref="B23:E23"/>
    <mergeCell ref="C24:D24"/>
    <mergeCell ref="C33:D33"/>
  </mergeCells>
  <phoneticPr fontId="6" type="noConversion"/>
  <pageMargins left="0.7" right="0.7" top="0.75" bottom="0.75" header="0.3" footer="0.3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2"/>
  <sheetViews>
    <sheetView tabSelected="1" zoomScale="60" zoomScaleNormal="60" workbookViewId="0">
      <pane ySplit="2" topLeftCell="A3" activePane="bottomLeft" state="frozen"/>
      <selection pane="bottomLeft" activeCell="Q4" sqref="Q4"/>
    </sheetView>
  </sheetViews>
  <sheetFormatPr defaultColWidth="23.75" defaultRowHeight="29.1" customHeight="1" x14ac:dyDescent="0.2"/>
  <cols>
    <col min="1" max="1" width="3.375" style="1" customWidth="1"/>
    <col min="2" max="2" width="7.875" style="1" customWidth="1"/>
    <col min="3" max="3" width="18.25" style="1" customWidth="1"/>
    <col min="4" max="4" width="8.875" style="1" customWidth="1"/>
    <col min="5" max="5" width="10.875" style="53" customWidth="1"/>
    <col min="6" max="6" width="11.625" style="1" customWidth="1"/>
    <col min="7" max="7" width="18" style="53" customWidth="1"/>
    <col min="8" max="8" width="13.625" style="1" customWidth="1"/>
    <col min="9" max="9" width="14.25" style="53" customWidth="1"/>
    <col min="10" max="10" width="10.25" style="53" customWidth="1"/>
    <col min="11" max="11" width="18" style="53" customWidth="1"/>
    <col min="12" max="12" width="16" style="53" customWidth="1"/>
    <col min="13" max="13" width="12.875" style="54" customWidth="1"/>
    <col min="14" max="14" width="9.875" style="1" customWidth="1"/>
    <col min="15" max="15" width="22" style="1" customWidth="1"/>
    <col min="16" max="16" width="9.875" style="1" customWidth="1"/>
    <col min="17" max="16384" width="23.75" style="1"/>
  </cols>
  <sheetData>
    <row r="1" spans="2:18" ht="76.5" customHeight="1" x14ac:dyDescent="0.2">
      <c r="E1" s="110" t="s">
        <v>118</v>
      </c>
      <c r="F1" s="111"/>
      <c r="G1" s="111"/>
      <c r="H1" s="111"/>
      <c r="I1" s="111"/>
      <c r="J1" s="111"/>
      <c r="K1" s="111"/>
      <c r="L1" s="111"/>
      <c r="M1" s="1"/>
    </row>
    <row r="2" spans="2:18" ht="144" customHeight="1" x14ac:dyDescent="0.2">
      <c r="B2" s="55" t="s">
        <v>78</v>
      </c>
      <c r="C2" s="55" t="s">
        <v>79</v>
      </c>
      <c r="D2" s="55" t="s">
        <v>80</v>
      </c>
      <c r="E2" s="55" t="s">
        <v>81</v>
      </c>
      <c r="F2" s="55" t="s">
        <v>82</v>
      </c>
      <c r="G2" s="55" t="s">
        <v>83</v>
      </c>
      <c r="H2" s="55" t="s">
        <v>116</v>
      </c>
      <c r="I2" s="55" t="s">
        <v>84</v>
      </c>
      <c r="J2" s="55" t="s">
        <v>85</v>
      </c>
      <c r="K2" s="55" t="s">
        <v>86</v>
      </c>
      <c r="L2" s="55" t="s">
        <v>87</v>
      </c>
      <c r="M2" s="55" t="s">
        <v>88</v>
      </c>
      <c r="N2" s="55" t="s">
        <v>89</v>
      </c>
      <c r="O2" s="55" t="s">
        <v>90</v>
      </c>
      <c r="P2" s="1">
        <v>7.35</v>
      </c>
    </row>
    <row r="3" spans="2:18" ht="24.75" customHeight="1" x14ac:dyDescent="0.2">
      <c r="B3" s="88"/>
      <c r="C3" s="31"/>
      <c r="D3" s="31"/>
      <c r="E3" s="31"/>
      <c r="F3" s="31"/>
      <c r="G3" s="31">
        <v>30902.2</v>
      </c>
      <c r="H3" s="31">
        <v>9922</v>
      </c>
      <c r="I3" s="31"/>
      <c r="J3" s="31"/>
      <c r="K3" s="31"/>
      <c r="L3" s="31"/>
      <c r="M3" s="31"/>
      <c r="N3" s="88"/>
      <c r="O3" s="88"/>
    </row>
    <row r="4" spans="2:18" ht="142.5" customHeight="1" x14ac:dyDescent="0.2">
      <c r="B4" s="56"/>
      <c r="C4" s="57"/>
      <c r="D4" s="57"/>
      <c r="E4" s="60" t="s">
        <v>91</v>
      </c>
      <c r="F4" s="60" t="s">
        <v>92</v>
      </c>
      <c r="G4" s="60" t="s">
        <v>114</v>
      </c>
      <c r="H4" s="60" t="s">
        <v>115</v>
      </c>
      <c r="I4" s="60" t="s">
        <v>93</v>
      </c>
      <c r="J4" s="60"/>
      <c r="K4" s="60" t="s">
        <v>94</v>
      </c>
      <c r="L4" s="60" t="s">
        <v>95</v>
      </c>
      <c r="M4" s="60"/>
      <c r="N4" s="61"/>
      <c r="O4" s="89" t="s">
        <v>96</v>
      </c>
      <c r="P4" s="28"/>
      <c r="Q4" s="28"/>
    </row>
    <row r="5" spans="2:18" ht="54" customHeight="1" x14ac:dyDescent="0.2">
      <c r="B5" s="112">
        <v>1</v>
      </c>
      <c r="C5" s="57" t="s">
        <v>119</v>
      </c>
      <c r="D5" s="59" t="s">
        <v>97</v>
      </c>
      <c r="E5" s="58">
        <f>46.26/P2</f>
        <v>6.2938775510204081</v>
      </c>
      <c r="F5" s="58">
        <f>E5*1.1*0.08%</f>
        <v>5.5386122448979605E-3</v>
      </c>
      <c r="G5" s="58">
        <f>G3/P2/4608</f>
        <v>0.91240906084656082</v>
      </c>
      <c r="H5" s="58">
        <f>H3/P2/4608</f>
        <v>0.29295398715041571</v>
      </c>
      <c r="I5" s="58">
        <f>(E5+F5+G5)*4%</f>
        <v>0.2884730089644747</v>
      </c>
      <c r="J5" s="58">
        <f>2.27/P2</f>
        <v>0.30884353741496601</v>
      </c>
      <c r="K5" s="60">
        <f>E5*3%</f>
        <v>0.18881632653061223</v>
      </c>
      <c r="L5" s="60">
        <v>1.0999999999999999E-2</v>
      </c>
      <c r="M5" s="90">
        <f>E5+F5+G5+I5+J5+K5+L5</f>
        <v>8.0089580970219192</v>
      </c>
      <c r="N5" s="60"/>
      <c r="O5" s="108" t="s">
        <v>113</v>
      </c>
      <c r="P5" s="28"/>
      <c r="Q5" s="116">
        <f>SUM(F5:L5)</f>
        <v>2.0080345331519274</v>
      </c>
      <c r="R5" s="28"/>
    </row>
    <row r="6" spans="2:18" ht="44.1" customHeight="1" x14ac:dyDescent="0.2">
      <c r="B6" s="113"/>
      <c r="C6" s="57" t="s">
        <v>98</v>
      </c>
      <c r="D6" s="59" t="s">
        <v>99</v>
      </c>
      <c r="E6" s="58">
        <v>0.13907785336356701</v>
      </c>
      <c r="F6" s="58">
        <f>E6*1.1*0.08%</f>
        <v>1.2238851095993899E-4</v>
      </c>
      <c r="G6" s="58">
        <v>6.19500460416781E-2</v>
      </c>
      <c r="H6" s="58">
        <v>1.9007249444285199E-2</v>
      </c>
      <c r="I6" s="58">
        <v>6.3593863345363221E-3</v>
      </c>
      <c r="J6" s="58">
        <v>1.3605442176870699E-2</v>
      </c>
      <c r="K6" s="60">
        <v>7.0000000000000001E-3</v>
      </c>
      <c r="L6" s="60">
        <v>2.0000000000000001E-4</v>
      </c>
      <c r="M6" s="90">
        <f>E6+F6+G6+I6+J6+K6+L6</f>
        <v>0.22831511642761207</v>
      </c>
      <c r="O6" s="108"/>
      <c r="P6" s="28"/>
      <c r="Q6" s="116">
        <f>SUM(F6:L6)</f>
        <v>0.10824451250833027</v>
      </c>
      <c r="R6" s="28"/>
    </row>
    <row r="7" spans="2:18" ht="38.25" customHeight="1" x14ac:dyDescent="0.2">
      <c r="B7" s="57">
        <v>2</v>
      </c>
      <c r="C7" s="57" t="s">
        <v>117</v>
      </c>
      <c r="D7" s="57">
        <v>6016</v>
      </c>
      <c r="E7" s="58">
        <f>42.79/P2</f>
        <v>5.8217687074829936</v>
      </c>
      <c r="F7" s="58">
        <f>E7*1.1*0.08%</f>
        <v>5.1231564625850348E-3</v>
      </c>
      <c r="G7" s="58">
        <f t="shared" ref="G7:H7" si="0">G5</f>
        <v>0.91240906084656082</v>
      </c>
      <c r="H7" s="58">
        <f t="shared" si="0"/>
        <v>0.29295398715041571</v>
      </c>
      <c r="I7" s="58">
        <f>(E7+F7+G7)*0.04</f>
        <v>0.26957203699168558</v>
      </c>
      <c r="J7" s="58">
        <f>J5</f>
        <v>0.30884353741496601</v>
      </c>
      <c r="K7" s="60">
        <f>E7*3%</f>
        <v>0.17465306122448981</v>
      </c>
      <c r="L7" s="60">
        <f>L5</f>
        <v>1.0999999999999999E-2</v>
      </c>
      <c r="M7" s="90">
        <f>E7+F7+G7+I7+J7+K7+L7</f>
        <v>7.5033695604232813</v>
      </c>
      <c r="N7" s="57"/>
      <c r="O7" s="109"/>
      <c r="P7" s="28"/>
      <c r="R7" s="28"/>
    </row>
    <row r="8" spans="2:18" ht="29.1" customHeight="1" x14ac:dyDescent="0.2">
      <c r="E8" s="1"/>
      <c r="G8" s="1"/>
      <c r="I8" s="1"/>
      <c r="J8" s="1"/>
      <c r="K8" s="1"/>
      <c r="L8" s="1"/>
      <c r="M8" s="1"/>
    </row>
    <row r="9" spans="2:18" ht="29.1" customHeight="1" x14ac:dyDescent="0.2">
      <c r="E9" s="1"/>
      <c r="G9" s="1"/>
      <c r="I9" s="1"/>
      <c r="J9" s="1"/>
      <c r="K9" s="1"/>
      <c r="L9" s="1"/>
      <c r="M9" s="1"/>
    </row>
    <row r="10" spans="2:18" ht="29.1" customHeight="1" x14ac:dyDescent="0.2">
      <c r="E10" s="1"/>
      <c r="G10" s="1"/>
      <c r="I10" s="1"/>
      <c r="J10" s="1"/>
      <c r="K10" s="1"/>
      <c r="L10" s="1"/>
      <c r="M10" s="1"/>
    </row>
    <row r="11" spans="2:18" ht="29.1" customHeight="1" x14ac:dyDescent="0.2">
      <c r="E11" s="1"/>
      <c r="G11" s="1"/>
      <c r="I11" s="1"/>
      <c r="J11" s="1"/>
      <c r="K11" s="1"/>
      <c r="L11" s="1"/>
      <c r="M11" s="1"/>
    </row>
    <row r="12" spans="2:18" ht="29.1" customHeight="1" x14ac:dyDescent="0.2">
      <c r="E12" s="1"/>
      <c r="G12" s="1"/>
      <c r="I12" s="1"/>
      <c r="J12" s="1"/>
      <c r="K12" s="1"/>
      <c r="L12" s="1"/>
      <c r="M12" s="1"/>
    </row>
    <row r="13" spans="2:18" ht="29.1" customHeight="1" x14ac:dyDescent="0.2">
      <c r="E13" s="1"/>
      <c r="G13" s="1"/>
      <c r="I13" s="1"/>
      <c r="J13" s="1"/>
      <c r="K13" s="1"/>
      <c r="L13" s="1"/>
      <c r="M13" s="1"/>
    </row>
    <row r="14" spans="2:18" ht="29.1" customHeight="1" x14ac:dyDescent="0.2">
      <c r="E14" s="1"/>
      <c r="G14" s="1"/>
      <c r="I14" s="1"/>
      <c r="J14" s="1"/>
      <c r="K14" s="1"/>
      <c r="L14" s="1"/>
      <c r="M14" s="1"/>
    </row>
    <row r="15" spans="2:18" ht="29.1" customHeight="1" x14ac:dyDescent="0.2">
      <c r="E15" s="1"/>
      <c r="G15" s="1"/>
      <c r="I15" s="1"/>
      <c r="J15" s="1"/>
      <c r="K15" s="1"/>
      <c r="L15" s="1"/>
      <c r="M15" s="1"/>
    </row>
    <row r="16" spans="2:18" ht="29.1" customHeight="1" x14ac:dyDescent="0.2">
      <c r="E16" s="1"/>
      <c r="G16" s="1"/>
      <c r="I16" s="1"/>
      <c r="J16" s="1"/>
      <c r="K16" s="1"/>
      <c r="L16" s="1"/>
      <c r="M16" s="1"/>
    </row>
    <row r="17" s="1" customFormat="1" ht="29.1" customHeight="1" x14ac:dyDescent="0.2"/>
    <row r="18" s="1" customFormat="1" ht="29.1" customHeight="1" x14ac:dyDescent="0.2"/>
    <row r="19" s="1" customFormat="1" ht="29.1" customHeight="1" x14ac:dyDescent="0.2"/>
    <row r="20" s="1" customFormat="1" ht="29.1" customHeight="1" x14ac:dyDescent="0.2"/>
    <row r="21" s="1" customFormat="1" ht="29.1" customHeight="1" x14ac:dyDescent="0.2"/>
    <row r="22" s="1" customFormat="1" ht="29.1" customHeight="1" x14ac:dyDescent="0.2"/>
    <row r="23" s="1" customFormat="1" ht="29.1" customHeight="1" x14ac:dyDescent="0.2"/>
    <row r="24" s="1" customFormat="1" ht="29.1" customHeight="1" x14ac:dyDescent="0.2"/>
    <row r="25" s="1" customFormat="1" ht="29.1" customHeight="1" x14ac:dyDescent="0.2"/>
    <row r="26" s="1" customFormat="1" ht="29.1" customHeight="1" x14ac:dyDescent="0.2"/>
    <row r="27" s="1" customFormat="1" ht="29.1" customHeight="1" x14ac:dyDescent="0.2"/>
    <row r="28" s="1" customFormat="1" ht="29.1" customHeight="1" x14ac:dyDescent="0.2"/>
    <row r="29" s="1" customFormat="1" ht="29.1" customHeight="1" x14ac:dyDescent="0.2"/>
    <row r="30" s="1" customFormat="1" ht="29.1" customHeight="1" x14ac:dyDescent="0.2"/>
    <row r="31" s="1" customFormat="1" ht="29.1" customHeight="1" x14ac:dyDescent="0.2"/>
    <row r="32" s="1" customFormat="1" ht="29.1" customHeight="1" x14ac:dyDescent="0.2"/>
  </sheetData>
  <mergeCells count="3">
    <mergeCell ref="O5:O7"/>
    <mergeCell ref="E1:L1"/>
    <mergeCell ref="B5:B6"/>
  </mergeCells>
  <phoneticPr fontId="6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R10" sqref="R10"/>
    </sheetView>
  </sheetViews>
  <sheetFormatPr defaultRowHeight="14.25" x14ac:dyDescent="0.2"/>
  <sheetData/>
  <phoneticPr fontId="6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8"/>
  <sheetViews>
    <sheetView topLeftCell="B3" workbookViewId="0">
      <selection activeCell="B18" sqref="B18:E18"/>
    </sheetView>
  </sheetViews>
  <sheetFormatPr defaultColWidth="23.75" defaultRowHeight="29.1" customHeight="1" x14ac:dyDescent="0.2"/>
  <cols>
    <col min="1" max="1" width="4.625" style="1" customWidth="1"/>
    <col min="2" max="2" width="4.375" style="1" customWidth="1"/>
    <col min="3" max="3" width="15.625" style="1" customWidth="1"/>
    <col min="4" max="4" width="17.125" style="1" customWidth="1"/>
    <col min="5" max="5" width="10.125" style="1" customWidth="1"/>
    <col min="6" max="6" width="12.375" style="1" customWidth="1"/>
    <col min="7" max="7" width="9.375" style="1" customWidth="1"/>
    <col min="8" max="8" width="10.625" style="1" customWidth="1"/>
    <col min="9" max="9" width="18.375" style="1" customWidth="1"/>
    <col min="10" max="10" width="16.875" style="1" customWidth="1"/>
    <col min="11" max="11" width="7.875" style="1" customWidth="1"/>
    <col min="12" max="12" width="9.875" style="1" customWidth="1"/>
    <col min="13" max="16384" width="23.75" style="1"/>
  </cols>
  <sheetData>
    <row r="2" spans="2:12" ht="29.1" customHeight="1" x14ac:dyDescent="0.2">
      <c r="B2" s="98" t="s">
        <v>100</v>
      </c>
      <c r="C2" s="99"/>
      <c r="D2" s="99"/>
      <c r="E2" s="99"/>
      <c r="F2" s="99"/>
      <c r="G2" s="99"/>
      <c r="H2" s="99"/>
      <c r="I2" s="114"/>
      <c r="J2" s="114"/>
      <c r="K2" s="100"/>
    </row>
    <row r="3" spans="2:12" ht="60" customHeight="1" x14ac:dyDescent="0.2">
      <c r="B3" s="2" t="s">
        <v>0</v>
      </c>
      <c r="C3" s="3" t="s">
        <v>1</v>
      </c>
      <c r="D3" s="3" t="s">
        <v>2</v>
      </c>
      <c r="E3" s="3" t="s">
        <v>59</v>
      </c>
      <c r="F3" s="3" t="s">
        <v>61</v>
      </c>
      <c r="G3" s="3" t="s">
        <v>64</v>
      </c>
      <c r="H3" s="3" t="s">
        <v>101</v>
      </c>
      <c r="I3" s="41" t="s">
        <v>102</v>
      </c>
      <c r="J3" s="41" t="s">
        <v>103</v>
      </c>
      <c r="K3" s="4" t="s">
        <v>68</v>
      </c>
    </row>
    <row r="4" spans="2:12" ht="18" customHeight="1" x14ac:dyDescent="0.2">
      <c r="B4" s="6">
        <v>1</v>
      </c>
      <c r="C4" s="7" t="s">
        <v>19</v>
      </c>
      <c r="D4" s="8" t="s">
        <v>20</v>
      </c>
      <c r="E4" s="10">
        <v>270.87</v>
      </c>
      <c r="F4" s="10">
        <f>E4/644.19*(44933/370)</f>
        <v>51.063504891749659</v>
      </c>
      <c r="G4" s="10">
        <f t="shared" ref="G4:G14" si="0">9918/370*E4/$E$15</f>
        <v>11.271178009845176</v>
      </c>
      <c r="H4" s="10">
        <f>E4+F4+G4</f>
        <v>333.20468290159482</v>
      </c>
      <c r="I4" s="42">
        <f>H4*0.9</f>
        <v>299.88421461143537</v>
      </c>
      <c r="J4" s="10">
        <f>I4*1.03</f>
        <v>308.88074104977846</v>
      </c>
      <c r="K4" s="43"/>
    </row>
    <row r="5" spans="2:12" ht="18" customHeight="1" x14ac:dyDescent="0.2">
      <c r="B5" s="12">
        <v>2</v>
      </c>
      <c r="C5" s="13" t="s">
        <v>27</v>
      </c>
      <c r="D5" s="14" t="s">
        <v>28</v>
      </c>
      <c r="E5" s="15">
        <v>17.53</v>
      </c>
      <c r="F5" s="15">
        <f t="shared" ref="F5:F14" si="1">E5/644.19*(44933/370)</f>
        <v>3.3046968684327225</v>
      </c>
      <c r="G5" s="15">
        <f t="shared" si="0"/>
        <v>0.72944124676998545</v>
      </c>
      <c r="H5" s="15">
        <f>E5+F5+G5</f>
        <v>21.564138115202709</v>
      </c>
      <c r="I5" s="44">
        <f t="shared" ref="I5:I14" si="2">H5*0.9</f>
        <v>19.407724303682439</v>
      </c>
      <c r="J5" s="15">
        <f>I5*1.03</f>
        <v>19.989956032792914</v>
      </c>
      <c r="K5" s="45"/>
      <c r="L5" s="29"/>
    </row>
    <row r="6" spans="2:12" ht="18" customHeight="1" x14ac:dyDescent="0.2">
      <c r="B6" s="12">
        <v>3</v>
      </c>
      <c r="C6" s="13" t="s">
        <v>31</v>
      </c>
      <c r="D6" s="14" t="s">
        <v>32</v>
      </c>
      <c r="E6" s="15">
        <v>5.14</v>
      </c>
      <c r="F6" s="15">
        <f t="shared" si="1"/>
        <v>0.96897557922100364</v>
      </c>
      <c r="G6" s="15">
        <f t="shared" si="0"/>
        <v>0.21388066220180973</v>
      </c>
      <c r="H6" s="15">
        <f>E6+F6+G6</f>
        <v>6.3228562414228131</v>
      </c>
      <c r="I6" s="44">
        <f t="shared" si="2"/>
        <v>5.6905706172805317</v>
      </c>
      <c r="J6" s="15">
        <f>I6*1.03</f>
        <v>5.8612877357989479</v>
      </c>
      <c r="K6" s="45"/>
      <c r="L6" s="29"/>
    </row>
    <row r="7" spans="2:12" ht="18" customHeight="1" x14ac:dyDescent="0.2">
      <c r="B7" s="12">
        <v>4</v>
      </c>
      <c r="C7" s="13" t="s">
        <v>35</v>
      </c>
      <c r="D7" s="14" t="s">
        <v>36</v>
      </c>
      <c r="E7" s="15">
        <v>4.66</v>
      </c>
      <c r="F7" s="15">
        <f t="shared" si="1"/>
        <v>0.87848758738713562</v>
      </c>
      <c r="G7" s="15">
        <f t="shared" si="0"/>
        <v>0.19390737078996761</v>
      </c>
      <c r="H7" s="15">
        <f>E7+F7+G7</f>
        <v>5.7323949581771041</v>
      </c>
      <c r="I7" s="44">
        <f t="shared" si="2"/>
        <v>5.1591554623593936</v>
      </c>
      <c r="J7" s="15">
        <f>I7*1.03</f>
        <v>5.3139301262301757</v>
      </c>
      <c r="K7" s="45"/>
      <c r="L7" s="29"/>
    </row>
    <row r="8" spans="2:12" ht="18" customHeight="1" x14ac:dyDescent="0.2">
      <c r="B8" s="17">
        <v>5</v>
      </c>
      <c r="C8" s="18" t="s">
        <v>39</v>
      </c>
      <c r="D8" s="23" t="s">
        <v>40</v>
      </c>
      <c r="E8" s="24">
        <v>2.5</v>
      </c>
      <c r="F8" s="20">
        <f t="shared" si="1"/>
        <v>0.47129162413472936</v>
      </c>
      <c r="G8" s="20">
        <f t="shared" si="0"/>
        <v>0.10402755943667789</v>
      </c>
      <c r="H8" s="20">
        <f>E8+F8+G8</f>
        <v>3.0753191835714073</v>
      </c>
      <c r="I8" s="46">
        <f t="shared" si="2"/>
        <v>2.7677872652142668</v>
      </c>
      <c r="J8" s="20">
        <f>I8*1.03</f>
        <v>2.8508208831706949</v>
      </c>
      <c r="K8" s="47"/>
      <c r="L8" s="29"/>
    </row>
    <row r="9" spans="2:12" ht="18" customHeight="1" x14ac:dyDescent="0.2">
      <c r="B9" s="6">
        <v>6</v>
      </c>
      <c r="C9" s="7" t="s">
        <v>21</v>
      </c>
      <c r="D9" s="8" t="s">
        <v>22</v>
      </c>
      <c r="E9" s="10">
        <f>E4</f>
        <v>270.87</v>
      </c>
      <c r="F9" s="10">
        <f t="shared" si="1"/>
        <v>51.063504891749659</v>
      </c>
      <c r="G9" s="10">
        <f t="shared" si="0"/>
        <v>11.271178009845176</v>
      </c>
      <c r="H9" s="10">
        <f t="shared" ref="H9:H15" si="3">E9+F9+G9</f>
        <v>333.20468290159482</v>
      </c>
      <c r="I9" s="42">
        <f t="shared" si="2"/>
        <v>299.88421461143537</v>
      </c>
      <c r="J9" s="10">
        <f t="shared" ref="J9:J14" si="4">I9*1.03</f>
        <v>308.88074104977846</v>
      </c>
      <c r="K9" s="43"/>
    </row>
    <row r="10" spans="2:12" ht="18" customHeight="1" x14ac:dyDescent="0.2">
      <c r="B10" s="12">
        <v>7</v>
      </c>
      <c r="C10" s="13" t="s">
        <v>25</v>
      </c>
      <c r="D10" s="14" t="s">
        <v>26</v>
      </c>
      <c r="E10" s="15">
        <v>17.53</v>
      </c>
      <c r="F10" s="15">
        <f t="shared" si="1"/>
        <v>3.3046968684327225</v>
      </c>
      <c r="G10" s="15">
        <f t="shared" si="0"/>
        <v>0.72944124676998545</v>
      </c>
      <c r="H10" s="15">
        <f t="shared" si="3"/>
        <v>21.564138115202709</v>
      </c>
      <c r="I10" s="44">
        <f t="shared" si="2"/>
        <v>19.407724303682439</v>
      </c>
      <c r="J10" s="15">
        <f t="shared" si="4"/>
        <v>19.989956032792914</v>
      </c>
      <c r="K10" s="45"/>
      <c r="L10" s="29"/>
    </row>
    <row r="11" spans="2:12" ht="18" customHeight="1" x14ac:dyDescent="0.2">
      <c r="B11" s="12">
        <v>8</v>
      </c>
      <c r="C11" s="13" t="s">
        <v>29</v>
      </c>
      <c r="D11" s="14" t="s">
        <v>30</v>
      </c>
      <c r="E11" s="15">
        <v>5.14</v>
      </c>
      <c r="F11" s="15">
        <f t="shared" si="1"/>
        <v>0.96897557922100364</v>
      </c>
      <c r="G11" s="15">
        <f t="shared" si="0"/>
        <v>0.21388066220180973</v>
      </c>
      <c r="H11" s="15">
        <f t="shared" si="3"/>
        <v>6.3228562414228131</v>
      </c>
      <c r="I11" s="44">
        <f t="shared" si="2"/>
        <v>5.6905706172805317</v>
      </c>
      <c r="J11" s="15">
        <f t="shared" si="4"/>
        <v>5.8612877357989479</v>
      </c>
      <c r="K11" s="45"/>
      <c r="L11" s="29"/>
    </row>
    <row r="12" spans="2:12" ht="18" customHeight="1" x14ac:dyDescent="0.2">
      <c r="B12" s="12">
        <v>9</v>
      </c>
      <c r="C12" s="13" t="s">
        <v>33</v>
      </c>
      <c r="D12" s="14" t="s">
        <v>34</v>
      </c>
      <c r="E12" s="15">
        <v>4.66</v>
      </c>
      <c r="F12" s="15">
        <f t="shared" si="1"/>
        <v>0.87848758738713562</v>
      </c>
      <c r="G12" s="15">
        <f t="shared" si="0"/>
        <v>0.19390737078996761</v>
      </c>
      <c r="H12" s="15">
        <f t="shared" si="3"/>
        <v>5.7323949581771041</v>
      </c>
      <c r="I12" s="44">
        <f t="shared" si="2"/>
        <v>5.1591554623593936</v>
      </c>
      <c r="J12" s="15">
        <f t="shared" si="4"/>
        <v>5.3139301262301757</v>
      </c>
      <c r="K12" s="45"/>
      <c r="L12" s="29"/>
    </row>
    <row r="13" spans="2:12" ht="18" customHeight="1" x14ac:dyDescent="0.2">
      <c r="B13" s="17">
        <v>10</v>
      </c>
      <c r="C13" s="18" t="s">
        <v>37</v>
      </c>
      <c r="D13" s="19" t="s">
        <v>38</v>
      </c>
      <c r="E13" s="20">
        <v>2.5</v>
      </c>
      <c r="F13" s="20">
        <f t="shared" si="1"/>
        <v>0.47129162413472936</v>
      </c>
      <c r="G13" s="20">
        <f t="shared" si="0"/>
        <v>0.10402755943667789</v>
      </c>
      <c r="H13" s="20">
        <f t="shared" si="3"/>
        <v>3.0753191835714073</v>
      </c>
      <c r="I13" s="46">
        <f t="shared" si="2"/>
        <v>2.7677872652142668</v>
      </c>
      <c r="J13" s="20">
        <f t="shared" si="4"/>
        <v>2.8508208831706949</v>
      </c>
      <c r="K13" s="47"/>
      <c r="L13" s="29"/>
    </row>
    <row r="14" spans="2:12" ht="18" customHeight="1" x14ac:dyDescent="0.2">
      <c r="B14" s="34">
        <v>11</v>
      </c>
      <c r="C14" s="35" t="s">
        <v>23</v>
      </c>
      <c r="D14" s="36" t="s">
        <v>24</v>
      </c>
      <c r="E14" s="37">
        <v>42.79</v>
      </c>
      <c r="F14" s="37">
        <f t="shared" si="1"/>
        <v>8.066627438690027</v>
      </c>
      <c r="G14" s="37">
        <f t="shared" si="0"/>
        <v>1.7805357073181787</v>
      </c>
      <c r="H14" s="37">
        <f t="shared" si="3"/>
        <v>52.637163146008206</v>
      </c>
      <c r="I14" s="37">
        <f t="shared" si="2"/>
        <v>47.373446831407385</v>
      </c>
      <c r="J14" s="37">
        <f t="shared" si="4"/>
        <v>48.794650236349611</v>
      </c>
      <c r="K14" s="48"/>
    </row>
    <row r="15" spans="2:12" ht="18" customHeight="1" x14ac:dyDescent="0.2">
      <c r="B15" s="38">
        <v>12</v>
      </c>
      <c r="C15" s="25"/>
      <c r="D15" s="25" t="s">
        <v>73</v>
      </c>
      <c r="E15" s="39">
        <f>SUM(E4:E14)</f>
        <v>644.18999999999983</v>
      </c>
      <c r="F15" s="39">
        <f>SUM(F4:F14)</f>
        <v>121.44054054054055</v>
      </c>
      <c r="G15" s="39">
        <f>SUM(G4:G14)</f>
        <v>26.805405405405416</v>
      </c>
      <c r="H15" s="39">
        <f t="shared" si="3"/>
        <v>792.43594594594572</v>
      </c>
      <c r="I15" s="49">
        <f>SUM(I4:I14)</f>
        <v>713.19235135135136</v>
      </c>
      <c r="J15" s="49">
        <f>SUM(J4:J14)</f>
        <v>734.58812189189189</v>
      </c>
      <c r="K15" s="50"/>
      <c r="L15" s="29"/>
    </row>
    <row r="16" spans="2:12" ht="18" customHeight="1" x14ac:dyDescent="0.2">
      <c r="B16" s="17">
        <v>13</v>
      </c>
      <c r="C16" s="40"/>
      <c r="D16" s="40" t="s">
        <v>74</v>
      </c>
      <c r="E16" s="20"/>
      <c r="F16" s="20">
        <v>44933</v>
      </c>
      <c r="G16" s="20">
        <v>9918</v>
      </c>
      <c r="H16" s="20"/>
      <c r="I16" s="51"/>
      <c r="J16" s="51"/>
      <c r="K16" s="52"/>
      <c r="L16" s="29"/>
    </row>
    <row r="17" spans="2:6" ht="12" customHeight="1" x14ac:dyDescent="0.2">
      <c r="B17" s="30"/>
      <c r="C17" s="30"/>
      <c r="D17" s="30"/>
      <c r="E17" s="30"/>
      <c r="F17" s="30"/>
    </row>
    <row r="18" spans="2:6" ht="29.1" customHeight="1" x14ac:dyDescent="0.2">
      <c r="B18" s="115" t="s">
        <v>104</v>
      </c>
      <c r="C18" s="115"/>
      <c r="D18" s="115"/>
      <c r="E18" s="115"/>
    </row>
  </sheetData>
  <mergeCells count="2">
    <mergeCell ref="B2:K2"/>
    <mergeCell ref="B18:E18"/>
  </mergeCells>
  <phoneticPr fontId="6" type="noConversion"/>
  <pageMargins left="0.7" right="0.7" top="0.75" bottom="0.75" header="0.3" footer="0.3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5"/>
  <sheetViews>
    <sheetView workbookViewId="0">
      <selection activeCell="H5" sqref="H5"/>
    </sheetView>
  </sheetViews>
  <sheetFormatPr defaultColWidth="23.75" defaultRowHeight="29.1" customHeight="1" x14ac:dyDescent="0.2"/>
  <cols>
    <col min="1" max="1" width="4.625" style="1" customWidth="1"/>
    <col min="2" max="2" width="4.375" style="1" customWidth="1"/>
    <col min="3" max="3" width="15.625" style="1" customWidth="1"/>
    <col min="4" max="4" width="17.125" style="1" customWidth="1"/>
    <col min="5" max="5" width="9.25" style="1" customWidth="1"/>
    <col min="6" max="6" width="9.5" style="1" customWidth="1"/>
    <col min="7" max="7" width="14.75" style="1" customWidth="1"/>
    <col min="8" max="8" width="15.625" style="1" customWidth="1"/>
    <col min="9" max="16384" width="23.75" style="1"/>
  </cols>
  <sheetData>
    <row r="2" spans="2:9" ht="29.1" customHeight="1" x14ac:dyDescent="0.2">
      <c r="B2" s="98" t="s">
        <v>58</v>
      </c>
      <c r="C2" s="99"/>
      <c r="D2" s="99"/>
      <c r="E2" s="99"/>
      <c r="F2" s="99"/>
      <c r="G2" s="100"/>
    </row>
    <row r="3" spans="2:9" ht="42" customHeight="1" x14ac:dyDescent="0.2">
      <c r="B3" s="2" t="s">
        <v>0</v>
      </c>
      <c r="C3" s="3" t="s">
        <v>1</v>
      </c>
      <c r="D3" s="3" t="s">
        <v>2</v>
      </c>
      <c r="E3" s="3" t="s">
        <v>105</v>
      </c>
      <c r="F3" s="3" t="s">
        <v>64</v>
      </c>
      <c r="G3" s="4" t="s">
        <v>106</v>
      </c>
      <c r="H3" s="5" t="s">
        <v>107</v>
      </c>
      <c r="I3" s="1" t="s">
        <v>108</v>
      </c>
    </row>
    <row r="4" spans="2:9" ht="18" customHeight="1" x14ac:dyDescent="0.2">
      <c r="B4" s="6">
        <v>1</v>
      </c>
      <c r="C4" s="7"/>
      <c r="D4" s="8" t="s">
        <v>109</v>
      </c>
      <c r="E4" s="9">
        <v>264.86</v>
      </c>
      <c r="F4" s="10">
        <f>E4/698.86*41.81</f>
        <v>15.845514981541369</v>
      </c>
      <c r="G4" s="11">
        <f>E4+F4</f>
        <v>280.7055149815414</v>
      </c>
    </row>
    <row r="5" spans="2:9" ht="18" customHeight="1" x14ac:dyDescent="0.2">
      <c r="B5" s="12">
        <v>2</v>
      </c>
      <c r="C5" s="13"/>
      <c r="D5" s="14" t="s">
        <v>110</v>
      </c>
      <c r="E5" s="15">
        <v>11.29</v>
      </c>
      <c r="F5" s="15">
        <f t="shared" ref="F5:F23" si="0">E5/698.86*41.81</f>
        <v>0.67543556649400449</v>
      </c>
      <c r="G5" s="16">
        <f t="shared" ref="G5:G23" si="1">E5+F5</f>
        <v>11.965435566494003</v>
      </c>
    </row>
    <row r="6" spans="2:9" ht="18" customHeight="1" x14ac:dyDescent="0.2">
      <c r="B6" s="12">
        <v>3</v>
      </c>
      <c r="C6" s="13"/>
      <c r="D6" s="14" t="s">
        <v>110</v>
      </c>
      <c r="E6" s="15">
        <v>11.29</v>
      </c>
      <c r="F6" s="15">
        <f t="shared" si="0"/>
        <v>0.67543556649400449</v>
      </c>
      <c r="G6" s="16">
        <f t="shared" si="1"/>
        <v>11.965435566494003</v>
      </c>
    </row>
    <row r="7" spans="2:9" ht="18" customHeight="1" x14ac:dyDescent="0.2">
      <c r="B7" s="12">
        <v>4</v>
      </c>
      <c r="C7" s="13"/>
      <c r="D7" s="14" t="s">
        <v>111</v>
      </c>
      <c r="E7" s="15">
        <v>13.84</v>
      </c>
      <c r="F7" s="15">
        <f t="shared" si="0"/>
        <v>0.82799187247803574</v>
      </c>
      <c r="G7" s="16">
        <f t="shared" si="1"/>
        <v>14.667991872478035</v>
      </c>
    </row>
    <row r="8" spans="2:9" ht="18" customHeight="1" x14ac:dyDescent="0.2">
      <c r="B8" s="12">
        <v>5</v>
      </c>
      <c r="C8" s="13"/>
      <c r="D8" s="14" t="s">
        <v>111</v>
      </c>
      <c r="E8" s="15">
        <v>13.84</v>
      </c>
      <c r="F8" s="15">
        <f t="shared" si="0"/>
        <v>0.82799187247803574</v>
      </c>
      <c r="G8" s="16">
        <f t="shared" si="1"/>
        <v>14.667991872478035</v>
      </c>
    </row>
    <row r="9" spans="2:9" ht="18" customHeight="1" x14ac:dyDescent="0.2">
      <c r="B9" s="12">
        <v>6</v>
      </c>
      <c r="C9" s="13"/>
      <c r="D9" s="14" t="s">
        <v>28</v>
      </c>
      <c r="E9" s="15">
        <v>14.87</v>
      </c>
      <c r="F9" s="15">
        <f t="shared" si="0"/>
        <v>0.88961265489511487</v>
      </c>
      <c r="G9" s="16">
        <f t="shared" si="1"/>
        <v>15.759612654895115</v>
      </c>
    </row>
    <row r="10" spans="2:9" ht="18" customHeight="1" x14ac:dyDescent="0.2">
      <c r="B10" s="12">
        <v>7</v>
      </c>
      <c r="C10" s="13"/>
      <c r="D10" s="14" t="s">
        <v>32</v>
      </c>
      <c r="E10" s="15">
        <v>3.76</v>
      </c>
      <c r="F10" s="15">
        <f t="shared" si="0"/>
        <v>0.22494576882351258</v>
      </c>
      <c r="G10" s="16">
        <f t="shared" si="1"/>
        <v>3.9849457688235121</v>
      </c>
    </row>
    <row r="11" spans="2:9" ht="18" customHeight="1" x14ac:dyDescent="0.2">
      <c r="B11" s="12">
        <v>8</v>
      </c>
      <c r="C11" s="13"/>
      <c r="D11" s="14" t="s">
        <v>36</v>
      </c>
      <c r="E11" s="15">
        <v>8.77</v>
      </c>
      <c r="F11" s="15">
        <f t="shared" si="0"/>
        <v>0.5246740405803737</v>
      </c>
      <c r="G11" s="16">
        <f t="shared" si="1"/>
        <v>9.2946740405803734</v>
      </c>
    </row>
    <row r="12" spans="2:9" ht="18" customHeight="1" x14ac:dyDescent="0.2">
      <c r="B12" s="12">
        <v>9</v>
      </c>
      <c r="C12" s="13"/>
      <c r="D12" s="14" t="s">
        <v>40</v>
      </c>
      <c r="E12" s="15">
        <v>2.11</v>
      </c>
      <c r="F12" s="15">
        <f t="shared" si="0"/>
        <v>0.12623286495149244</v>
      </c>
      <c r="G12" s="16">
        <f t="shared" si="1"/>
        <v>2.2362328649514924</v>
      </c>
    </row>
    <row r="13" spans="2:9" ht="18" customHeight="1" x14ac:dyDescent="0.2">
      <c r="B13" s="17">
        <v>10</v>
      </c>
      <c r="C13" s="18"/>
      <c r="D13" s="19" t="s">
        <v>112</v>
      </c>
      <c r="E13" s="20">
        <v>4.8</v>
      </c>
      <c r="F13" s="20">
        <f t="shared" si="0"/>
        <v>0.28716481126405863</v>
      </c>
      <c r="G13" s="21">
        <f t="shared" si="1"/>
        <v>5.0871648112640582</v>
      </c>
    </row>
    <row r="14" spans="2:9" ht="18" customHeight="1" x14ac:dyDescent="0.2">
      <c r="B14" s="6">
        <v>11</v>
      </c>
      <c r="C14" s="7"/>
      <c r="D14" s="8" t="s">
        <v>109</v>
      </c>
      <c r="E14" s="9">
        <v>264.86</v>
      </c>
      <c r="F14" s="10">
        <f t="shared" si="0"/>
        <v>15.845514981541369</v>
      </c>
      <c r="G14" s="11">
        <f t="shared" si="1"/>
        <v>280.7055149815414</v>
      </c>
    </row>
    <row r="15" spans="2:9" ht="18" customHeight="1" x14ac:dyDescent="0.2">
      <c r="B15" s="12">
        <v>12</v>
      </c>
      <c r="C15" s="13"/>
      <c r="D15" s="14" t="s">
        <v>110</v>
      </c>
      <c r="E15" s="15">
        <v>11.29</v>
      </c>
      <c r="F15" s="15">
        <f t="shared" si="0"/>
        <v>0.67543556649400449</v>
      </c>
      <c r="G15" s="16">
        <f t="shared" si="1"/>
        <v>11.965435566494003</v>
      </c>
    </row>
    <row r="16" spans="2:9" ht="18" customHeight="1" x14ac:dyDescent="0.2">
      <c r="B16" s="12">
        <v>13</v>
      </c>
      <c r="C16" s="13"/>
      <c r="D16" s="14" t="s">
        <v>110</v>
      </c>
      <c r="E16" s="15">
        <v>11.29</v>
      </c>
      <c r="F16" s="15">
        <f t="shared" si="0"/>
        <v>0.67543556649400449</v>
      </c>
      <c r="G16" s="16">
        <f t="shared" si="1"/>
        <v>11.965435566494003</v>
      </c>
    </row>
    <row r="17" spans="2:7" ht="18" customHeight="1" x14ac:dyDescent="0.2">
      <c r="B17" s="12">
        <v>14</v>
      </c>
      <c r="C17" s="13"/>
      <c r="D17" s="14" t="s">
        <v>111</v>
      </c>
      <c r="E17" s="15">
        <v>13.84</v>
      </c>
      <c r="F17" s="15">
        <f t="shared" si="0"/>
        <v>0.82799187247803574</v>
      </c>
      <c r="G17" s="16">
        <f t="shared" si="1"/>
        <v>14.667991872478035</v>
      </c>
    </row>
    <row r="18" spans="2:7" ht="18" customHeight="1" x14ac:dyDescent="0.2">
      <c r="B18" s="12">
        <v>15</v>
      </c>
      <c r="C18" s="13"/>
      <c r="D18" s="14" t="s">
        <v>111</v>
      </c>
      <c r="E18" s="15">
        <v>13.84</v>
      </c>
      <c r="F18" s="15">
        <f t="shared" si="0"/>
        <v>0.82799187247803574</v>
      </c>
      <c r="G18" s="16">
        <f t="shared" si="1"/>
        <v>14.667991872478035</v>
      </c>
    </row>
    <row r="19" spans="2:7" ht="18" customHeight="1" x14ac:dyDescent="0.2">
      <c r="B19" s="12">
        <v>16</v>
      </c>
      <c r="C19" s="13"/>
      <c r="D19" s="14" t="s">
        <v>28</v>
      </c>
      <c r="E19" s="15">
        <v>14.87</v>
      </c>
      <c r="F19" s="15">
        <f t="shared" si="0"/>
        <v>0.88961265489511487</v>
      </c>
      <c r="G19" s="16">
        <f t="shared" si="1"/>
        <v>15.759612654895115</v>
      </c>
    </row>
    <row r="20" spans="2:7" ht="18" customHeight="1" x14ac:dyDescent="0.2">
      <c r="B20" s="12">
        <v>17</v>
      </c>
      <c r="C20" s="13"/>
      <c r="D20" s="14" t="s">
        <v>32</v>
      </c>
      <c r="E20" s="15">
        <v>3.76</v>
      </c>
      <c r="F20" s="15">
        <f t="shared" si="0"/>
        <v>0.22494576882351258</v>
      </c>
      <c r="G20" s="16">
        <f t="shared" si="1"/>
        <v>3.9849457688235121</v>
      </c>
    </row>
    <row r="21" spans="2:7" ht="18" customHeight="1" x14ac:dyDescent="0.2">
      <c r="B21" s="12">
        <v>18</v>
      </c>
      <c r="C21" s="13"/>
      <c r="D21" s="14" t="s">
        <v>36</v>
      </c>
      <c r="E21" s="15">
        <v>8.77</v>
      </c>
      <c r="F21" s="15">
        <f t="shared" si="0"/>
        <v>0.5246740405803737</v>
      </c>
      <c r="G21" s="16">
        <f t="shared" si="1"/>
        <v>9.2946740405803734</v>
      </c>
    </row>
    <row r="22" spans="2:7" ht="18" customHeight="1" x14ac:dyDescent="0.2">
      <c r="B22" s="12">
        <v>19</v>
      </c>
      <c r="C22" s="13"/>
      <c r="D22" s="14" t="s">
        <v>40</v>
      </c>
      <c r="E22" s="15">
        <v>2.11</v>
      </c>
      <c r="F22" s="15">
        <f t="shared" si="0"/>
        <v>0.12623286495149244</v>
      </c>
      <c r="G22" s="16">
        <f t="shared" si="1"/>
        <v>2.2362328649514924</v>
      </c>
    </row>
    <row r="23" spans="2:7" ht="18" customHeight="1" x14ac:dyDescent="0.2">
      <c r="B23" s="17">
        <v>20</v>
      </c>
      <c r="C23" s="22"/>
      <c r="D23" s="23" t="s">
        <v>112</v>
      </c>
      <c r="E23" s="24">
        <v>4.8</v>
      </c>
      <c r="F23" s="20">
        <f t="shared" si="0"/>
        <v>0.28716481126405863</v>
      </c>
      <c r="G23" s="21">
        <f t="shared" si="1"/>
        <v>5.0871648112640582</v>
      </c>
    </row>
    <row r="24" spans="2:7" ht="18" customHeight="1" x14ac:dyDescent="0.2">
      <c r="B24" s="25">
        <v>21</v>
      </c>
      <c r="C24" s="22"/>
      <c r="D24" s="22"/>
      <c r="E24" s="24">
        <f>SUM(E4:E23)</f>
        <v>698.8599999999999</v>
      </c>
      <c r="F24" s="24">
        <f>15+26.81</f>
        <v>41.81</v>
      </c>
      <c r="G24" s="26">
        <f>SUM(G4:G23)</f>
        <v>740.67000000000019</v>
      </c>
    </row>
    <row r="25" spans="2:7" ht="18" customHeight="1" x14ac:dyDescent="0.2">
      <c r="E25" s="27"/>
      <c r="F25" s="28"/>
      <c r="G25" s="29"/>
    </row>
    <row r="26" spans="2:7" ht="18" customHeight="1" x14ac:dyDescent="0.2">
      <c r="E26" s="28"/>
      <c r="F26" s="28"/>
      <c r="G26" s="29"/>
    </row>
    <row r="27" spans="2:7" ht="18" customHeight="1" x14ac:dyDescent="0.2">
      <c r="E27" s="28"/>
      <c r="F27" s="28"/>
      <c r="G27" s="29"/>
    </row>
    <row r="28" spans="2:7" ht="18" customHeight="1" x14ac:dyDescent="0.2">
      <c r="E28" s="28"/>
      <c r="F28" s="28"/>
      <c r="G28" s="29"/>
    </row>
    <row r="29" spans="2:7" ht="45" customHeight="1" x14ac:dyDescent="0.2">
      <c r="B29" s="101" t="s">
        <v>77</v>
      </c>
      <c r="C29" s="101"/>
      <c r="D29" s="101"/>
    </row>
    <row r="30" spans="2:7" ht="23.1" customHeight="1" x14ac:dyDescent="0.2">
      <c r="B30" s="30"/>
      <c r="C30" s="30"/>
      <c r="D30" s="30"/>
    </row>
    <row r="31" spans="2:7" ht="29.1" customHeight="1" x14ac:dyDescent="0.2">
      <c r="B31" s="102" t="s">
        <v>42</v>
      </c>
      <c r="C31" s="102"/>
      <c r="D31" s="102"/>
    </row>
    <row r="32" spans="2:7" ht="29.1" customHeight="1" x14ac:dyDescent="0.2">
      <c r="B32" s="32" t="s">
        <v>0</v>
      </c>
      <c r="C32" s="103" t="s">
        <v>43</v>
      </c>
      <c r="D32" s="103"/>
      <c r="E32" s="33"/>
    </row>
    <row r="33" spans="2:4" ht="29.1" customHeight="1" x14ac:dyDescent="0.2">
      <c r="B33" s="32">
        <v>1</v>
      </c>
      <c r="C33" s="103" t="s">
        <v>45</v>
      </c>
      <c r="D33" s="32" t="s">
        <v>46</v>
      </c>
    </row>
    <row r="34" spans="2:4" ht="29.1" customHeight="1" x14ac:dyDescent="0.2">
      <c r="B34" s="32">
        <v>2</v>
      </c>
      <c r="C34" s="103"/>
      <c r="D34" s="32" t="s">
        <v>47</v>
      </c>
    </row>
    <row r="35" spans="2:4" ht="29.1" customHeight="1" x14ac:dyDescent="0.2">
      <c r="B35" s="32">
        <v>3</v>
      </c>
      <c r="C35" s="103"/>
      <c r="D35" s="32" t="s">
        <v>48</v>
      </c>
    </row>
    <row r="36" spans="2:4" ht="29.1" customHeight="1" x14ac:dyDescent="0.2">
      <c r="B36" s="32">
        <v>4</v>
      </c>
      <c r="C36" s="103"/>
      <c r="D36" s="32" t="s">
        <v>49</v>
      </c>
    </row>
    <row r="37" spans="2:4" ht="29.1" customHeight="1" x14ac:dyDescent="0.2">
      <c r="B37" s="32">
        <v>5</v>
      </c>
      <c r="C37" s="103"/>
      <c r="D37" s="32" t="s">
        <v>50</v>
      </c>
    </row>
    <row r="38" spans="2:4" ht="29.1" customHeight="1" x14ac:dyDescent="0.2">
      <c r="B38" s="32">
        <v>6</v>
      </c>
      <c r="C38" s="103"/>
      <c r="D38" s="32" t="s">
        <v>51</v>
      </c>
    </row>
    <row r="39" spans="2:4" ht="29.1" customHeight="1" x14ac:dyDescent="0.2">
      <c r="B39" s="32">
        <v>7</v>
      </c>
      <c r="C39" s="103"/>
      <c r="D39" s="32" t="s">
        <v>52</v>
      </c>
    </row>
    <row r="40" spans="2:4" ht="29.1" customHeight="1" x14ac:dyDescent="0.2">
      <c r="B40" s="32">
        <v>8</v>
      </c>
      <c r="C40" s="103"/>
      <c r="D40" s="32" t="s">
        <v>53</v>
      </c>
    </row>
    <row r="41" spans="2:4" ht="29.1" customHeight="1" x14ac:dyDescent="0.2">
      <c r="B41" s="32">
        <v>9</v>
      </c>
      <c r="C41" s="104" t="s">
        <v>54</v>
      </c>
      <c r="D41" s="105"/>
    </row>
    <row r="42" spans="2:4" ht="29.1" customHeight="1" x14ac:dyDescent="0.2">
      <c r="B42" s="32">
        <v>10</v>
      </c>
      <c r="C42" s="104" t="s">
        <v>55</v>
      </c>
      <c r="D42" s="105"/>
    </row>
    <row r="43" spans="2:4" ht="29.1" customHeight="1" x14ac:dyDescent="0.2">
      <c r="B43" s="32">
        <v>11</v>
      </c>
      <c r="C43" s="104" t="s">
        <v>56</v>
      </c>
      <c r="D43" s="105"/>
    </row>
    <row r="44" spans="2:4" ht="29.1" customHeight="1" x14ac:dyDescent="0.2">
      <c r="B44" s="32">
        <v>12</v>
      </c>
      <c r="C44" s="104" t="s">
        <v>57</v>
      </c>
      <c r="D44" s="105"/>
    </row>
    <row r="45" spans="2:4" ht="29.1" customHeight="1" x14ac:dyDescent="0.2">
      <c r="B45" s="32">
        <v>13</v>
      </c>
      <c r="C45" s="106" t="s">
        <v>8</v>
      </c>
      <c r="D45" s="107"/>
    </row>
  </sheetData>
  <mergeCells count="10">
    <mergeCell ref="C42:D42"/>
    <mergeCell ref="C43:D43"/>
    <mergeCell ref="C44:D44"/>
    <mergeCell ref="C45:D45"/>
    <mergeCell ref="C33:C40"/>
    <mergeCell ref="B2:G2"/>
    <mergeCell ref="B29:D29"/>
    <mergeCell ref="B31:D31"/>
    <mergeCell ref="C32:D32"/>
    <mergeCell ref="C41:D41"/>
  </mergeCells>
  <phoneticPr fontId="6" type="noConversion"/>
  <pageMargins left="0.7" right="0.7" top="0.75" bottom="0.75" header="0.3" footer="0.3"/>
  <pageSetup paperSize="9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DA4EF4925722446B6D1039FEEFF8CF9" ma:contentTypeVersion="12" ma:contentTypeDescription="Ein neues Dokument erstellen." ma:contentTypeScope="" ma:versionID="dcdfb8e62d39036e0170fb86228a5111">
  <xsd:schema xmlns:xsd="http://www.w3.org/2001/XMLSchema" xmlns:xs="http://www.w3.org/2001/XMLSchema" xmlns:p="http://schemas.microsoft.com/office/2006/metadata/properties" xmlns:ns2="c6e9ca5e-c1f7-4c4f-9f0d-17958acdac25" xmlns:ns3="2b772955-d911-4b11-b1e9-66995aaa7126" targetNamespace="http://schemas.microsoft.com/office/2006/metadata/properties" ma:root="true" ma:fieldsID="ba5347fb8961624f47831430ed84895b" ns2:_="" ns3:_="">
    <xsd:import namespace="c6e9ca5e-c1f7-4c4f-9f0d-17958acdac25"/>
    <xsd:import namespace="2b772955-d911-4b11-b1e9-66995aaa71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e9ca5e-c1f7-4c4f-9f0d-17958acdac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899af8e8-aa77-48fe-9061-5a9da22cf2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772955-d911-4b11-b1e9-66995aaa712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afd42d5-0bfe-4967-8ae1-596dae8d18de}" ma:internalName="TaxCatchAll" ma:showField="CatchAllData" ma:web="2b772955-d911-4b11-b1e9-66995aaa71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D8D4C1-5CCE-4ABD-94D8-C12C049E8E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e9ca5e-c1f7-4c4f-9f0d-17958acdac25"/>
    <ds:schemaRef ds:uri="2b772955-d911-4b11-b1e9-66995aaa71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D794E43-9677-4CF0-929D-07C1D9E94C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后视镜售价核算</vt:lpstr>
      <vt:lpstr>后视镜售价核算 (2)</vt:lpstr>
      <vt:lpstr>后视镜售价核算 (5)</vt:lpstr>
      <vt:lpstr>2023.8.30 Ramp mirror quotation</vt:lpstr>
      <vt:lpstr>Ocean transportation breakdown</vt:lpstr>
      <vt:lpstr>内部售价</vt:lpstr>
      <vt:lpstr>后视镜售价核算 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zzf</cp:lastModifiedBy>
  <dcterms:created xsi:type="dcterms:W3CDTF">2015-06-05T18:19:00Z</dcterms:created>
  <dcterms:modified xsi:type="dcterms:W3CDTF">2023-10-20T02:36:05Z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64ADA3C0983942FE9EAF75CD7F00D90F</vt:lpwstr>
  </property>
  <property fmtid="{D5CDD505-2E9C-101B-9397-08002B2CF9AE}" pid="3" name="KSOProductBuildVer">
    <vt:lpwstr>2052-11.1.0.13703</vt:lpwstr>
  </property>
</Properties>
</file>