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戴姆勒卡车集团补盲镜出口项目\"/>
    </mc:Choice>
  </mc:AlternateContent>
  <bookViews>
    <workbookView xWindow="0" yWindow="240" windowWidth="18525" windowHeight="645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 " sheetId="60" r:id="rId8"/>
    <sheet name="2028年" sheetId="59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'2023年'!$A$1:$E$48</definedName>
    <definedName name="_xlnm.Print_Area" localSheetId="4">'2024年'!$A$1:$E$48</definedName>
    <definedName name="_xlnm.Print_Area" localSheetId="5">'2025年'!$A$1:$E$48</definedName>
    <definedName name="_xlnm.Print_Area" localSheetId="6">'2026年'!$A$1:$E$48</definedName>
    <definedName name="_xlnm.Print_Area" localSheetId="7">'2027年 '!$A$1:$E$48</definedName>
    <definedName name="_xlnm.Print_Area" localSheetId="8">'2028年'!$A$1:$E$48</definedName>
    <definedName name="_xlnm.Print_Area" localSheetId="1">损益表!$A$2:$I$62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D8" i="55" l="1"/>
  <c r="C8" i="55"/>
  <c r="E21" i="59" l="1"/>
  <c r="E18" i="59"/>
  <c r="E10" i="59"/>
  <c r="E6" i="59"/>
  <c r="D10" i="59"/>
  <c r="C10" i="59"/>
  <c r="D31" i="59"/>
  <c r="D33" i="59"/>
  <c r="C33" i="59"/>
  <c r="D3" i="59"/>
  <c r="D4" i="59"/>
  <c r="D6" i="59"/>
  <c r="D7" i="59"/>
  <c r="D8" i="59" s="1"/>
  <c r="D18" i="59"/>
  <c r="D21" i="59"/>
  <c r="D46" i="59" s="1"/>
  <c r="K9" i="55"/>
  <c r="K10" i="55"/>
  <c r="K11" i="55" s="1"/>
  <c r="E21" i="60"/>
  <c r="D21" i="60" s="1"/>
  <c r="D46" i="60" s="1"/>
  <c r="E18" i="60"/>
  <c r="E10" i="60"/>
  <c r="E6" i="60"/>
  <c r="D10" i="60"/>
  <c r="C10" i="60"/>
  <c r="D3" i="60"/>
  <c r="D4" i="60"/>
  <c r="D6" i="60"/>
  <c r="D7" i="60"/>
  <c r="D18" i="60"/>
  <c r="D31" i="60"/>
  <c r="D33" i="60"/>
  <c r="C33" i="60"/>
  <c r="E21" i="58"/>
  <c r="E18" i="58"/>
  <c r="E10" i="58"/>
  <c r="E6" i="58"/>
  <c r="D18" i="58" s="1"/>
  <c r="D10" i="58"/>
  <c r="C10" i="58"/>
  <c r="D3" i="58"/>
  <c r="D4" i="58"/>
  <c r="D6" i="58"/>
  <c r="D7" i="58" s="1"/>
  <c r="D21" i="58"/>
  <c r="D46" i="58" s="1"/>
  <c r="D31" i="58"/>
  <c r="D33" i="58"/>
  <c r="C33" i="58"/>
  <c r="E21" i="57"/>
  <c r="E18" i="57"/>
  <c r="E10" i="57"/>
  <c r="E6" i="57"/>
  <c r="D7" i="57"/>
  <c r="D8" i="57"/>
  <c r="D10" i="57"/>
  <c r="D18" i="57"/>
  <c r="D21" i="57"/>
  <c r="D31" i="57"/>
  <c r="D33" i="57"/>
  <c r="C33" i="57"/>
  <c r="C10" i="57" s="1"/>
  <c r="D3" i="57"/>
  <c r="D4" i="57"/>
  <c r="D6" i="57"/>
  <c r="E21" i="56"/>
  <c r="E18" i="56"/>
  <c r="E10" i="56"/>
  <c r="E6" i="56"/>
  <c r="D10" i="56"/>
  <c r="D18" i="56"/>
  <c r="D21" i="56"/>
  <c r="D46" i="56" s="1"/>
  <c r="D31" i="56"/>
  <c r="D33" i="56"/>
  <c r="C33" i="56"/>
  <c r="C10" i="56" s="1"/>
  <c r="D7" i="56"/>
  <c r="D3" i="56"/>
  <c r="D4" i="56"/>
  <c r="D6" i="56"/>
  <c r="E21" i="43"/>
  <c r="E18" i="43"/>
  <c r="E8" i="43"/>
  <c r="E10" i="43"/>
  <c r="D9" i="57" l="1"/>
  <c r="D9" i="59"/>
  <c r="D32" i="59" s="1"/>
  <c r="D34" i="59" s="1"/>
  <c r="D46" i="57"/>
  <c r="D32" i="57"/>
  <c r="D34" i="57" s="1"/>
  <c r="D8" i="56"/>
  <c r="D9" i="56" s="1"/>
  <c r="D32" i="56" s="1"/>
  <c r="D34" i="56" s="1"/>
  <c r="F58" i="50"/>
  <c r="F71" i="50"/>
  <c r="F72" i="50"/>
  <c r="F73" i="50"/>
  <c r="F75" i="50"/>
  <c r="F76" i="50"/>
  <c r="F77" i="50"/>
  <c r="F7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D10" i="43"/>
  <c r="C10" i="43"/>
  <c r="D33" i="43"/>
  <c r="C33" i="43"/>
  <c r="D14" i="53"/>
  <c r="E14" i="53"/>
  <c r="F14" i="53"/>
  <c r="G14" i="53"/>
  <c r="H14" i="53"/>
  <c r="I14" i="53"/>
  <c r="D15" i="53"/>
  <c r="E15" i="53"/>
  <c r="F15" i="53"/>
  <c r="G15" i="53"/>
  <c r="H15" i="53"/>
  <c r="I15" i="53"/>
  <c r="D16" i="53"/>
  <c r="E16" i="53"/>
  <c r="F16" i="53"/>
  <c r="G16" i="53"/>
  <c r="H16" i="53"/>
  <c r="I16" i="53"/>
  <c r="D17" i="53"/>
  <c r="E17" i="53"/>
  <c r="F17" i="53"/>
  <c r="G17" i="53"/>
  <c r="H17" i="53"/>
  <c r="I17" i="53"/>
  <c r="E13" i="53"/>
  <c r="F13" i="53"/>
  <c r="G13" i="53"/>
  <c r="H13" i="53"/>
  <c r="I13" i="53"/>
  <c r="D13" i="53"/>
  <c r="E6" i="43"/>
  <c r="D31" i="43"/>
  <c r="D32" i="43" s="1"/>
  <c r="D6" i="43"/>
  <c r="D7" i="43" s="1"/>
  <c r="D9" i="43" s="1"/>
  <c r="D3" i="43"/>
  <c r="D4" i="43"/>
  <c r="I8" i="55"/>
  <c r="D34" i="43" l="1"/>
  <c r="D3" i="53"/>
  <c r="F7" i="50" l="1"/>
  <c r="F74" i="50" l="1"/>
  <c r="F48" i="50"/>
  <c r="F61" i="50"/>
  <c r="F21" i="50"/>
  <c r="F35" i="50"/>
  <c r="I10" i="55"/>
  <c r="I11" i="55"/>
  <c r="I12" i="55"/>
  <c r="I13" i="55"/>
  <c r="I14" i="55"/>
  <c r="E64" i="50" l="1"/>
  <c r="E61" i="50"/>
  <c r="E51" i="50"/>
  <c r="E48" i="50"/>
  <c r="E38" i="50"/>
  <c r="E35" i="50"/>
  <c r="E24" i="50"/>
  <c r="E21" i="50"/>
  <c r="E10" i="50"/>
  <c r="E7" i="50"/>
  <c r="C6" i="59" l="1"/>
  <c r="C31" i="60"/>
  <c r="C6" i="60"/>
  <c r="C4" i="60"/>
  <c r="C3" i="60"/>
  <c r="C2" i="60"/>
  <c r="G4" i="2" l="1"/>
  <c r="C7" i="60"/>
  <c r="E7" i="60" s="1"/>
  <c r="H70" i="50"/>
  <c r="H57" i="50"/>
  <c r="H44" i="50"/>
  <c r="H31" i="50"/>
  <c r="H17" i="50"/>
  <c r="H3" i="50"/>
  <c r="D4" i="50" s="1"/>
  <c r="I12" i="53"/>
  <c r="H18" i="55" s="1"/>
  <c r="H19" i="55" s="1"/>
  <c r="H20" i="55" s="1"/>
  <c r="I4" i="53"/>
  <c r="I5" i="53"/>
  <c r="E4" i="53"/>
  <c r="F4" i="53"/>
  <c r="G4" i="53"/>
  <c r="H4" i="53"/>
  <c r="E5" i="53"/>
  <c r="F5" i="53"/>
  <c r="G5" i="53"/>
  <c r="H5" i="53"/>
  <c r="D5" i="53"/>
  <c r="D4" i="53"/>
  <c r="D47" i="50" l="1"/>
  <c r="D50" i="50"/>
  <c r="D45" i="50"/>
  <c r="D48" i="50"/>
  <c r="D51" i="50"/>
  <c r="D46" i="50"/>
  <c r="D49" i="50"/>
  <c r="D52" i="50"/>
  <c r="D20" i="50"/>
  <c r="D37" i="43" s="1"/>
  <c r="D38" i="43"/>
  <c r="D21" i="50"/>
  <c r="D18" i="50"/>
  <c r="D36" i="43" s="1"/>
  <c r="D23" i="50"/>
  <c r="D44" i="43" s="1"/>
  <c r="D25" i="50"/>
  <c r="D47" i="43" s="1"/>
  <c r="D19" i="50"/>
  <c r="D43" i="43" s="1"/>
  <c r="D22" i="50"/>
  <c r="D45" i="43" s="1"/>
  <c r="D60" i="50"/>
  <c r="D63" i="50"/>
  <c r="D58" i="50"/>
  <c r="D61" i="50"/>
  <c r="D64" i="50"/>
  <c r="D59" i="50"/>
  <c r="D62" i="50"/>
  <c r="D65" i="50"/>
  <c r="D35" i="50"/>
  <c r="D38" i="50"/>
  <c r="D33" i="50"/>
  <c r="D36" i="50"/>
  <c r="D39" i="50"/>
  <c r="D34" i="50"/>
  <c r="D37" i="50"/>
  <c r="D32" i="50"/>
  <c r="D72" i="50"/>
  <c r="D75" i="50"/>
  <c r="D78" i="50"/>
  <c r="D73" i="50"/>
  <c r="D76" i="50"/>
  <c r="D71" i="50"/>
  <c r="D74" i="50"/>
  <c r="D77" i="50"/>
  <c r="D7" i="50"/>
  <c r="D5" i="50"/>
  <c r="D9" i="50"/>
  <c r="C44" i="43" s="1"/>
  <c r="D8" i="50"/>
  <c r="D6" i="50"/>
  <c r="D11" i="50"/>
  <c r="C45" i="43"/>
  <c r="C43" i="43"/>
  <c r="G5" i="2"/>
  <c r="D47" i="59" l="1"/>
  <c r="D22" i="59" s="1"/>
  <c r="D47" i="57"/>
  <c r="D22" i="57" s="1"/>
  <c r="D47" i="58"/>
  <c r="D22" i="58" s="1"/>
  <c r="D47" i="60"/>
  <c r="D22" i="60" s="1"/>
  <c r="D47" i="56"/>
  <c r="D22" i="56" s="1"/>
  <c r="D22" i="43"/>
  <c r="D45" i="58"/>
  <c r="D20" i="58" s="1"/>
  <c r="D45" i="60"/>
  <c r="D20" i="60" s="1"/>
  <c r="D45" i="56"/>
  <c r="D20" i="56" s="1"/>
  <c r="D45" i="59"/>
  <c r="D20" i="59" s="1"/>
  <c r="D45" i="57"/>
  <c r="D20" i="57" s="1"/>
  <c r="D20" i="43"/>
  <c r="D44" i="60"/>
  <c r="D19" i="60" s="1"/>
  <c r="D44" i="56"/>
  <c r="D19" i="56" s="1"/>
  <c r="D44" i="59"/>
  <c r="D19" i="59" s="1"/>
  <c r="D44" i="57"/>
  <c r="D19" i="57" s="1"/>
  <c r="D44" i="58"/>
  <c r="D19" i="58" s="1"/>
  <c r="D19" i="43"/>
  <c r="D43" i="59"/>
  <c r="D17" i="59" s="1"/>
  <c r="D23" i="59" s="1"/>
  <c r="D43" i="57"/>
  <c r="D17" i="57" s="1"/>
  <c r="D43" i="58"/>
  <c r="D17" i="58" s="1"/>
  <c r="D43" i="60"/>
  <c r="D17" i="60" s="1"/>
  <c r="D43" i="56"/>
  <c r="D17" i="56" s="1"/>
  <c r="D36" i="60"/>
  <c r="D11" i="60" s="1"/>
  <c r="D36" i="56"/>
  <c r="D11" i="56" s="1"/>
  <c r="D36" i="59"/>
  <c r="D11" i="59" s="1"/>
  <c r="D36" i="57"/>
  <c r="D11" i="57" s="1"/>
  <c r="D36" i="58"/>
  <c r="D11" i="58" s="1"/>
  <c r="D11" i="43"/>
  <c r="D37" i="58"/>
  <c r="D12" i="58" s="1"/>
  <c r="D37" i="60"/>
  <c r="D12" i="60" s="1"/>
  <c r="D37" i="56"/>
  <c r="D12" i="56" s="1"/>
  <c r="D37" i="59"/>
  <c r="D12" i="59" s="1"/>
  <c r="D37" i="57"/>
  <c r="D12" i="57" s="1"/>
  <c r="D12" i="43"/>
  <c r="D38" i="59"/>
  <c r="D38" i="60"/>
  <c r="D13" i="60" s="1"/>
  <c r="D14" i="60" s="1"/>
  <c r="D38" i="56"/>
  <c r="D38" i="58"/>
  <c r="D13" i="58" s="1"/>
  <c r="D38" i="57"/>
  <c r="D13" i="43"/>
  <c r="D14" i="43" s="1"/>
  <c r="D15" i="43" s="1"/>
  <c r="D16" i="43" s="1"/>
  <c r="D40" i="43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D14" i="58" l="1"/>
  <c r="D23" i="58"/>
  <c r="D23" i="56"/>
  <c r="D23" i="57"/>
  <c r="D23" i="60"/>
  <c r="E19" i="60"/>
  <c r="G17" i="2" s="1"/>
  <c r="G43" i="2" s="1"/>
  <c r="D13" i="56"/>
  <c r="D14" i="56" s="1"/>
  <c r="D15" i="56" s="1"/>
  <c r="D40" i="56"/>
  <c r="D48" i="56" s="1"/>
  <c r="D13" i="57"/>
  <c r="D14" i="57" s="1"/>
  <c r="D15" i="57" s="1"/>
  <c r="D40" i="57"/>
  <c r="D48" i="57" s="1"/>
  <c r="D13" i="59"/>
  <c r="D14" i="59" s="1"/>
  <c r="D15" i="59" s="1"/>
  <c r="D40" i="59"/>
  <c r="D48" i="59" s="1"/>
  <c r="K7" i="55"/>
  <c r="K8" i="55" s="1"/>
  <c r="I15" i="55"/>
  <c r="C16" i="55"/>
  <c r="D16" i="55"/>
  <c r="E16" i="55"/>
  <c r="F16" i="55"/>
  <c r="G16" i="55"/>
  <c r="H16" i="55"/>
  <c r="D16" i="57" l="1"/>
  <c r="D24" i="57"/>
  <c r="D25" i="57" s="1"/>
  <c r="D26" i="57" s="1"/>
  <c r="D27" i="57" s="1"/>
  <c r="D16" i="59"/>
  <c r="D24" i="59"/>
  <c r="D25" i="59" s="1"/>
  <c r="D26" i="59" s="1"/>
  <c r="D27" i="59" s="1"/>
  <c r="D24" i="56"/>
  <c r="D25" i="56" s="1"/>
  <c r="D26" i="56" s="1"/>
  <c r="D27" i="56" s="1"/>
  <c r="D16" i="56"/>
  <c r="C2" i="59"/>
  <c r="C2" i="58"/>
  <c r="C2" i="57"/>
  <c r="C2" i="56"/>
  <c r="C4" i="59" l="1"/>
  <c r="C3" i="59"/>
  <c r="C4" i="58"/>
  <c r="C3" i="58"/>
  <c r="C4" i="57"/>
  <c r="C3" i="57"/>
  <c r="C3" i="56"/>
  <c r="C4" i="56"/>
  <c r="C3" i="43"/>
  <c r="C4" i="43"/>
  <c r="B9" i="51"/>
  <c r="C36" i="43" l="1"/>
  <c r="C36" i="58" l="1"/>
  <c r="C36" i="60"/>
  <c r="C11" i="60" s="1"/>
  <c r="E11" i="60" s="1"/>
  <c r="C36" i="59"/>
  <c r="C36" i="57"/>
  <c r="C36" i="56"/>
  <c r="L8" i="55"/>
  <c r="L11" i="55"/>
  <c r="L7" i="55"/>
  <c r="C31" i="59"/>
  <c r="C6" i="58"/>
  <c r="C31" i="58"/>
  <c r="C6" i="57"/>
  <c r="C31" i="57"/>
  <c r="C6" i="56"/>
  <c r="C31" i="56"/>
  <c r="G9" i="2" l="1"/>
  <c r="E4" i="2"/>
  <c r="D4" i="2"/>
  <c r="C7" i="56"/>
  <c r="E7" i="56" s="1"/>
  <c r="C7" i="57"/>
  <c r="E7" i="57" s="1"/>
  <c r="C7" i="58"/>
  <c r="E7" i="58" s="1"/>
  <c r="C38" i="43"/>
  <c r="C19" i="59"/>
  <c r="E19" i="59" s="1"/>
  <c r="C37" i="43"/>
  <c r="L9" i="55"/>
  <c r="D8" i="58" s="1"/>
  <c r="D9" i="58" s="1"/>
  <c r="L10" i="55"/>
  <c r="D8" i="60" s="1"/>
  <c r="D9" i="60" s="1"/>
  <c r="C7" i="59"/>
  <c r="H4" i="2"/>
  <c r="C11" i="58"/>
  <c r="E11" i="58" s="1"/>
  <c r="C11" i="56"/>
  <c r="E11" i="56" s="1"/>
  <c r="C8" i="59" l="1"/>
  <c r="E8" i="59" s="1"/>
  <c r="E7" i="59"/>
  <c r="D32" i="60"/>
  <c r="D34" i="60" s="1"/>
  <c r="D40" i="60" s="1"/>
  <c r="D48" i="60" s="1"/>
  <c r="D15" i="60"/>
  <c r="D32" i="58"/>
  <c r="D34" i="58" s="1"/>
  <c r="D40" i="58" s="1"/>
  <c r="D48" i="58" s="1"/>
  <c r="D15" i="58"/>
  <c r="G35" i="2"/>
  <c r="C38" i="60"/>
  <c r="C13" i="60" s="1"/>
  <c r="C38" i="59"/>
  <c r="C13" i="59" s="1"/>
  <c r="C38" i="57"/>
  <c r="C13" i="57" s="1"/>
  <c r="C38" i="58"/>
  <c r="C13" i="58" s="1"/>
  <c r="E13" i="58" s="1"/>
  <c r="C38" i="56"/>
  <c r="C13" i="56" s="1"/>
  <c r="E13" i="56" s="1"/>
  <c r="C37" i="59"/>
  <c r="C12" i="59" s="1"/>
  <c r="C37" i="57"/>
  <c r="C12" i="57" s="1"/>
  <c r="E12" i="57" s="1"/>
  <c r="C37" i="58"/>
  <c r="C37" i="60"/>
  <c r="C12" i="60" s="1"/>
  <c r="E12" i="60" s="1"/>
  <c r="C37" i="56"/>
  <c r="C12" i="56" s="1"/>
  <c r="E12" i="56" s="1"/>
  <c r="C8" i="60"/>
  <c r="E8" i="60" s="1"/>
  <c r="C8" i="56"/>
  <c r="D5" i="2"/>
  <c r="E5" i="2"/>
  <c r="C8" i="57"/>
  <c r="E8" i="57" s="1"/>
  <c r="C8" i="58"/>
  <c r="E8" i="58" s="1"/>
  <c r="C11" i="57"/>
  <c r="E11" i="57" s="1"/>
  <c r="D9" i="2"/>
  <c r="C19" i="58"/>
  <c r="E19" i="58" s="1"/>
  <c r="C19" i="57"/>
  <c r="E19" i="57" s="1"/>
  <c r="C11" i="59"/>
  <c r="E11" i="59" s="1"/>
  <c r="C19" i="56"/>
  <c r="E19" i="56" s="1"/>
  <c r="C12" i="58"/>
  <c r="E12" i="58" s="1"/>
  <c r="F4" i="2"/>
  <c r="H17" i="2"/>
  <c r="H43" i="2" s="1"/>
  <c r="H5" i="2"/>
  <c r="F5" i="2"/>
  <c r="C9" i="56" l="1"/>
  <c r="E9" i="56" s="1"/>
  <c r="D7" i="2" s="1"/>
  <c r="E8" i="56"/>
  <c r="D6" i="2" s="1"/>
  <c r="E12" i="59"/>
  <c r="H10" i="2" s="1"/>
  <c r="H36" i="2" s="1"/>
  <c r="E13" i="60"/>
  <c r="G11" i="2" s="1"/>
  <c r="G37" i="2" s="1"/>
  <c r="E13" i="57"/>
  <c r="E11" i="2" s="1"/>
  <c r="E37" i="2" s="1"/>
  <c r="E13" i="59"/>
  <c r="H11" i="2" s="1"/>
  <c r="H37" i="2" s="1"/>
  <c r="D24" i="60"/>
  <c r="D25" i="60" s="1"/>
  <c r="D26" i="60" s="1"/>
  <c r="D27" i="60" s="1"/>
  <c r="D16" i="60"/>
  <c r="D16" i="58"/>
  <c r="D24" i="58"/>
  <c r="D25" i="58" s="1"/>
  <c r="D26" i="58" s="1"/>
  <c r="D27" i="58" s="1"/>
  <c r="G10" i="2"/>
  <c r="C14" i="60"/>
  <c r="C9" i="60"/>
  <c r="E9" i="60" s="1"/>
  <c r="G6" i="2"/>
  <c r="H6" i="2"/>
  <c r="C14" i="59"/>
  <c r="H9" i="2"/>
  <c r="H35" i="2" s="1"/>
  <c r="C32" i="56"/>
  <c r="C20" i="56" s="1"/>
  <c r="E20" i="56" s="1"/>
  <c r="C9" i="57"/>
  <c r="E9" i="57" s="1"/>
  <c r="E6" i="2"/>
  <c r="E9" i="2"/>
  <c r="E35" i="2" s="1"/>
  <c r="C14" i="56"/>
  <c r="E14" i="56" s="1"/>
  <c r="E15" i="56" s="1"/>
  <c r="E16" i="56" s="1"/>
  <c r="C9" i="58"/>
  <c r="E9" i="58" s="1"/>
  <c r="C14" i="57"/>
  <c r="E14" i="57" s="1"/>
  <c r="E15" i="57" s="1"/>
  <c r="E16" i="57" s="1"/>
  <c r="C14" i="58"/>
  <c r="E14" i="58" s="1"/>
  <c r="E17" i="2"/>
  <c r="E43" i="2" s="1"/>
  <c r="F6" i="2"/>
  <c r="F11" i="2"/>
  <c r="F37" i="2" s="1"/>
  <c r="D11" i="2"/>
  <c r="D37" i="2" s="1"/>
  <c r="D17" i="2"/>
  <c r="D43" i="2" s="1"/>
  <c r="C9" i="59"/>
  <c r="E9" i="59" s="1"/>
  <c r="F9" i="2"/>
  <c r="F35" i="2" s="1"/>
  <c r="D35" i="2"/>
  <c r="E14" i="60" l="1"/>
  <c r="G12" i="2" s="1"/>
  <c r="E15" i="58"/>
  <c r="E16" i="58" s="1"/>
  <c r="E14" i="59"/>
  <c r="H12" i="2" s="1"/>
  <c r="E15" i="60"/>
  <c r="E16" i="60" s="1"/>
  <c r="G36" i="2"/>
  <c r="C32" i="60"/>
  <c r="G7" i="2"/>
  <c r="C32" i="57"/>
  <c r="C20" i="57" s="1"/>
  <c r="E20" i="57" s="1"/>
  <c r="E7" i="2"/>
  <c r="E30" i="2" s="1"/>
  <c r="C32" i="58"/>
  <c r="C20" i="58" s="1"/>
  <c r="E20" i="58" s="1"/>
  <c r="F7" i="2"/>
  <c r="F30" i="2" s="1"/>
  <c r="C32" i="59"/>
  <c r="H7" i="2"/>
  <c r="H30" i="2" s="1"/>
  <c r="D30" i="2"/>
  <c r="D48" i="2"/>
  <c r="E15" i="59" l="1"/>
  <c r="E16" i="59" s="1"/>
  <c r="G30" i="2"/>
  <c r="G48" i="2"/>
  <c r="C20" i="60"/>
  <c r="E18" i="2"/>
  <c r="E48" i="2"/>
  <c r="F18" i="2"/>
  <c r="F10" i="2"/>
  <c r="F36" i="2" s="1"/>
  <c r="C20" i="59"/>
  <c r="E20" i="59" s="1"/>
  <c r="F12" i="2"/>
  <c r="H48" i="2"/>
  <c r="D12" i="2"/>
  <c r="D10" i="2"/>
  <c r="D36" i="2" s="1"/>
  <c r="E20" i="60" l="1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2" i="53" l="1"/>
  <c r="G18" i="55" s="1"/>
  <c r="G19" i="55" s="1"/>
  <c r="G20" i="55" s="1"/>
  <c r="G12" i="53"/>
  <c r="F18" i="55" s="1"/>
  <c r="F19" i="55" s="1"/>
  <c r="F20" i="55" s="1"/>
  <c r="F12" i="53"/>
  <c r="E18" i="55" s="1"/>
  <c r="E19" i="55" s="1"/>
  <c r="E20" i="55" s="1"/>
  <c r="E12" i="53"/>
  <c r="D18" i="55" s="1"/>
  <c r="D19" i="55" s="1"/>
  <c r="D20" i="55" s="1"/>
  <c r="D12" i="53"/>
  <c r="C18" i="55" s="1"/>
  <c r="I9" i="55"/>
  <c r="G22" i="5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I6" i="2" s="1"/>
  <c r="E10" i="36" l="1"/>
  <c r="I18" i="55"/>
  <c r="C19" i="55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E22" i="43" s="1"/>
  <c r="C4" i="2"/>
  <c r="I4" i="2" s="1"/>
  <c r="C19" i="43"/>
  <c r="E19" i="43" s="1"/>
  <c r="C34" i="43"/>
  <c r="C40" i="43" s="1"/>
  <c r="C7" i="43"/>
  <c r="E7" i="43" s="1"/>
  <c r="G5" i="36"/>
  <c r="M6" i="36"/>
  <c r="G10" i="36"/>
  <c r="J10" i="36"/>
  <c r="J17" i="36" s="1"/>
  <c r="J19" i="36" s="1"/>
  <c r="C10" i="36"/>
  <c r="C17" i="36" s="1"/>
  <c r="M15" i="36"/>
  <c r="H5" i="36"/>
  <c r="B10" i="51"/>
  <c r="I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M14" i="36"/>
  <c r="C11" i="43"/>
  <c r="E11" i="43" s="1"/>
  <c r="C12" i="43"/>
  <c r="E12" i="43" s="1"/>
  <c r="C13" i="43"/>
  <c r="E13" i="43" s="1"/>
  <c r="C20" i="43"/>
  <c r="E20" i="43" s="1"/>
  <c r="E22" i="60" l="1"/>
  <c r="G20" i="2" s="1"/>
  <c r="G52" i="2" s="1"/>
  <c r="E22" i="59"/>
  <c r="H20" i="2" s="1"/>
  <c r="H52" i="2" s="1"/>
  <c r="E22" i="58"/>
  <c r="F20" i="2" s="1"/>
  <c r="F52" i="2" s="1"/>
  <c r="E22" i="56"/>
  <c r="D20" i="2" s="1"/>
  <c r="D52" i="2" s="1"/>
  <c r="E22" i="57"/>
  <c r="E20" i="2" s="1"/>
  <c r="E52" i="2" s="1"/>
  <c r="C20" i="55"/>
  <c r="I19" i="55"/>
  <c r="I20" i="55" s="1"/>
  <c r="G19" i="2"/>
  <c r="G51" i="2" s="1"/>
  <c r="C8" i="2"/>
  <c r="C9" i="43"/>
  <c r="E9" i="43" s="1"/>
  <c r="C5" i="2"/>
  <c r="F61" i="2"/>
  <c r="C34" i="56"/>
  <c r="C40" i="56" s="1"/>
  <c r="C14" i="43"/>
  <c r="E14" i="43" s="1"/>
  <c r="C58" i="2"/>
  <c r="C56" i="2" s="1"/>
  <c r="G17" i="36"/>
  <c r="G19" i="36" s="1"/>
  <c r="H61" i="2"/>
  <c r="E61" i="2"/>
  <c r="K26" i="51"/>
  <c r="E23" i="36"/>
  <c r="C18" i="36"/>
  <c r="D18" i="36" s="1"/>
  <c r="E18" i="36" s="1"/>
  <c r="C19" i="36"/>
  <c r="M10" i="36"/>
  <c r="D19" i="36"/>
  <c r="E22" i="36"/>
  <c r="H17" i="36"/>
  <c r="H19" i="36" s="1"/>
  <c r="C18" i="2"/>
  <c r="C10" i="2"/>
  <c r="D28" i="51"/>
  <c r="M17" i="36"/>
  <c r="E15" i="43" l="1"/>
  <c r="E16" i="43" s="1"/>
  <c r="G16" i="2"/>
  <c r="G61" i="2"/>
  <c r="M19" i="36"/>
  <c r="I28" i="51"/>
  <c r="C18" i="60"/>
  <c r="C17" i="60" s="1"/>
  <c r="E17" i="60" s="1"/>
  <c r="E23" i="60" s="1"/>
  <c r="E24" i="60" s="1"/>
  <c r="E25" i="60" s="1"/>
  <c r="C21" i="60"/>
  <c r="C36" i="2"/>
  <c r="I10" i="2"/>
  <c r="I36" i="2" s="1"/>
  <c r="I22" i="36"/>
  <c r="D8" i="2"/>
  <c r="D31" i="2" s="1"/>
  <c r="D32" i="2" s="1"/>
  <c r="D33" i="2" s="1"/>
  <c r="C31" i="2"/>
  <c r="C44" i="2"/>
  <c r="I18" i="2"/>
  <c r="I44" i="2" s="1"/>
  <c r="F6" i="36"/>
  <c r="F5" i="36" s="1"/>
  <c r="F17" i="36" s="1"/>
  <c r="F19" i="36" s="1"/>
  <c r="I5" i="2"/>
  <c r="L6" i="36" s="1"/>
  <c r="L5" i="36" s="1"/>
  <c r="L17" i="36" s="1"/>
  <c r="L19" i="36" s="1"/>
  <c r="I23" i="36"/>
  <c r="C18" i="57"/>
  <c r="C17" i="57" s="1"/>
  <c r="E17" i="57" s="1"/>
  <c r="E23" i="57" s="1"/>
  <c r="E24" i="57" s="1"/>
  <c r="E25" i="57" s="1"/>
  <c r="C18" i="59"/>
  <c r="C17" i="59" s="1"/>
  <c r="E17" i="59" s="1"/>
  <c r="E23" i="59" s="1"/>
  <c r="E24" i="59" s="1"/>
  <c r="E25" i="59" s="1"/>
  <c r="C7" i="2"/>
  <c r="C50" i="2" s="1"/>
  <c r="C15" i="56"/>
  <c r="C34" i="57"/>
  <c r="C40" i="57" s="1"/>
  <c r="C18" i="58"/>
  <c r="C17" i="58" s="1"/>
  <c r="E17" i="58" s="1"/>
  <c r="E23" i="58" s="1"/>
  <c r="E24" i="58" s="1"/>
  <c r="E25" i="58" s="1"/>
  <c r="C20" i="36"/>
  <c r="D20" i="36" s="1"/>
  <c r="E20" i="36" s="1"/>
  <c r="C17" i="2"/>
  <c r="F19" i="2"/>
  <c r="F51" i="2" s="1"/>
  <c r="C21" i="58"/>
  <c r="C46" i="58" s="1"/>
  <c r="D19" i="2"/>
  <c r="D51" i="2" s="1"/>
  <c r="C21" i="56"/>
  <c r="C46" i="56" s="1"/>
  <c r="C48" i="56" s="1"/>
  <c r="E19" i="2"/>
  <c r="E51" i="2" s="1"/>
  <c r="C21" i="57"/>
  <c r="C46" i="57" s="1"/>
  <c r="H19" i="2"/>
  <c r="H51" i="2" s="1"/>
  <c r="C21" i="59"/>
  <c r="C46" i="59" s="1"/>
  <c r="C9" i="2"/>
  <c r="C11" i="2"/>
  <c r="C15" i="43"/>
  <c r="E28" i="51"/>
  <c r="C20" i="2"/>
  <c r="I20" i="2" s="1"/>
  <c r="F28" i="51"/>
  <c r="F20" i="36" l="1"/>
  <c r="G20" i="36" s="1"/>
  <c r="H20" i="36" s="1"/>
  <c r="I24" i="36" s="1"/>
  <c r="I17" i="2"/>
  <c r="I43" i="2" s="1"/>
  <c r="C46" i="60"/>
  <c r="C23" i="60"/>
  <c r="F18" i="36"/>
  <c r="G18" i="36" s="1"/>
  <c r="H18" i="36" s="1"/>
  <c r="E24" i="36" s="1"/>
  <c r="I11" i="2"/>
  <c r="I37" i="2" s="1"/>
  <c r="E8" i="2"/>
  <c r="C35" i="2"/>
  <c r="I9" i="2"/>
  <c r="I35" i="2" s="1"/>
  <c r="C30" i="2"/>
  <c r="C32" i="2" s="1"/>
  <c r="I7" i="2"/>
  <c r="E15" i="2"/>
  <c r="C16" i="43"/>
  <c r="C16" i="56"/>
  <c r="D14" i="2"/>
  <c r="C48" i="57"/>
  <c r="C15" i="57"/>
  <c r="C34" i="58"/>
  <c r="C40" i="58" s="1"/>
  <c r="C48" i="58" s="1"/>
  <c r="C23" i="59"/>
  <c r="C23" i="58"/>
  <c r="C43" i="2"/>
  <c r="C23" i="57"/>
  <c r="C48" i="2"/>
  <c r="C12" i="2"/>
  <c r="I12" i="2" s="1"/>
  <c r="C37" i="2"/>
  <c r="C52" i="2"/>
  <c r="G28" i="51"/>
  <c r="I20" i="36" l="1"/>
  <c r="J20" i="36" s="1"/>
  <c r="K20" i="36" s="1"/>
  <c r="L20" i="36" s="1"/>
  <c r="G21" i="2"/>
  <c r="G15" i="2"/>
  <c r="F15" i="2"/>
  <c r="F42" i="2" s="1"/>
  <c r="I18" i="36"/>
  <c r="J18" i="36" s="1"/>
  <c r="K18" i="36" s="1"/>
  <c r="L18" i="36" s="1"/>
  <c r="I48" i="2"/>
  <c r="C33" i="2"/>
  <c r="C34" i="59"/>
  <c r="C40" i="59" s="1"/>
  <c r="C48" i="59" s="1"/>
  <c r="I30" i="2"/>
  <c r="I52" i="2"/>
  <c r="I50" i="2"/>
  <c r="D13" i="2"/>
  <c r="D39" i="2" s="1"/>
  <c r="C16" i="57"/>
  <c r="C24" i="57"/>
  <c r="F8" i="2"/>
  <c r="F31" i="2" s="1"/>
  <c r="F32" i="2" s="1"/>
  <c r="F33" i="2" s="1"/>
  <c r="C15" i="58"/>
  <c r="E31" i="2"/>
  <c r="E32" i="2" s="1"/>
  <c r="E33" i="2" s="1"/>
  <c r="H15" i="2"/>
  <c r="H49" i="2" s="1"/>
  <c r="E42" i="2"/>
  <c r="E49" i="2"/>
  <c r="F21" i="2"/>
  <c r="H21" i="2"/>
  <c r="H28" i="51"/>
  <c r="F49" i="2" l="1"/>
  <c r="G42" i="2"/>
  <c r="G49" i="2"/>
  <c r="C25" i="57"/>
  <c r="C26" i="57" s="1"/>
  <c r="E26" i="57" s="1"/>
  <c r="E27" i="57" s="1"/>
  <c r="C34" i="60"/>
  <c r="C40" i="60" s="1"/>
  <c r="C48" i="60" s="1"/>
  <c r="E21" i="2"/>
  <c r="H8" i="2"/>
  <c r="H31" i="2" s="1"/>
  <c r="H32" i="2" s="1"/>
  <c r="H33" i="2" s="1"/>
  <c r="C13" i="2"/>
  <c r="C39" i="2" s="1"/>
  <c r="H42" i="2"/>
  <c r="C16" i="58"/>
  <c r="E13" i="2"/>
  <c r="E39" i="2" s="1"/>
  <c r="E14" i="2"/>
  <c r="C24" i="58"/>
  <c r="E23" i="2"/>
  <c r="E22" i="2"/>
  <c r="E54" i="2" s="1"/>
  <c r="C27" i="57" l="1"/>
  <c r="C25" i="58"/>
  <c r="C26" i="58" s="1"/>
  <c r="E26" i="58" s="1"/>
  <c r="E27" i="58" s="1"/>
  <c r="G8" i="2"/>
  <c r="G31" i="2" s="1"/>
  <c r="G32" i="2" s="1"/>
  <c r="G33" i="2" s="1"/>
  <c r="C15" i="60"/>
  <c r="C15" i="59"/>
  <c r="E40" i="2"/>
  <c r="C14" i="2"/>
  <c r="F14" i="2"/>
  <c r="F13" i="2"/>
  <c r="F39" i="2" s="1"/>
  <c r="F40" i="2" s="1"/>
  <c r="E24" i="2" l="1"/>
  <c r="E60" i="2" s="1"/>
  <c r="E59" i="2" s="1"/>
  <c r="I8" i="2"/>
  <c r="I31" i="2" s="1"/>
  <c r="I32" i="2" s="1"/>
  <c r="I33" i="2" s="1"/>
  <c r="C27" i="58"/>
  <c r="C24" i="59"/>
  <c r="G13" i="2"/>
  <c r="G39" i="2" s="1"/>
  <c r="G40" i="2" s="1"/>
  <c r="C16" i="60"/>
  <c r="C24" i="60"/>
  <c r="C16" i="59"/>
  <c r="H13" i="2"/>
  <c r="H39" i="2" s="1"/>
  <c r="H40" i="2" s="1"/>
  <c r="H14" i="2"/>
  <c r="F22" i="2"/>
  <c r="F54" i="2" s="1"/>
  <c r="F23" i="2"/>
  <c r="E53" i="2" l="1"/>
  <c r="E25" i="2"/>
  <c r="I13" i="2"/>
  <c r="I39" i="2" s="1"/>
  <c r="F24" i="2"/>
  <c r="F53" i="2" s="1"/>
  <c r="C25" i="59"/>
  <c r="C26" i="59" s="1"/>
  <c r="E26" i="59" s="1"/>
  <c r="E27" i="59" s="1"/>
  <c r="C25" i="60"/>
  <c r="C26" i="60" s="1"/>
  <c r="E26" i="60" s="1"/>
  <c r="E27" i="60" s="1"/>
  <c r="G14" i="2"/>
  <c r="H22" i="2"/>
  <c r="H54" i="2" s="1"/>
  <c r="H23" i="2"/>
  <c r="I14" i="2" l="1"/>
  <c r="F60" i="2"/>
  <c r="F59" i="2" s="1"/>
  <c r="F25" i="2"/>
  <c r="C27" i="60"/>
  <c r="C27" i="59"/>
  <c r="H24" i="2"/>
  <c r="G23" i="2"/>
  <c r="G22" i="2"/>
  <c r="G54" i="2" s="1"/>
  <c r="G24" i="2" l="1"/>
  <c r="G25" i="2" s="1"/>
  <c r="H53" i="2"/>
  <c r="H25" i="2"/>
  <c r="H60" i="2"/>
  <c r="H59" i="2" s="1"/>
  <c r="G60" i="2" l="1"/>
  <c r="G59" i="2" s="1"/>
  <c r="G53" i="2"/>
  <c r="D61" i="2" l="1"/>
  <c r="C18" i="56"/>
  <c r="C17" i="56" s="1"/>
  <c r="E17" i="56" s="1"/>
  <c r="E23" i="56" s="1"/>
  <c r="E24" i="56" s="1"/>
  <c r="E25" i="56" s="1"/>
  <c r="C23" i="56" l="1"/>
  <c r="C24" i="56" s="1"/>
  <c r="C25" i="56" s="1"/>
  <c r="D15" i="2" l="1"/>
  <c r="C26" i="56"/>
  <c r="E26" i="56" s="1"/>
  <c r="E27" i="56" s="1"/>
  <c r="C27" i="56" l="1"/>
  <c r="D21" i="2"/>
  <c r="D49" i="2"/>
  <c r="D42" i="2"/>
  <c r="D24" i="2" l="1"/>
  <c r="D25" i="2" s="1"/>
  <c r="D40" i="2"/>
  <c r="D22" i="2"/>
  <c r="D54" i="2" s="1"/>
  <c r="D23" i="2"/>
  <c r="D60" i="2" l="1"/>
  <c r="D59" i="2" s="1"/>
  <c r="D53" i="2"/>
  <c r="C61" i="2" l="1"/>
  <c r="D18" i="43"/>
  <c r="D17" i="43"/>
  <c r="C18" i="43"/>
  <c r="C17" i="43"/>
  <c r="E17" i="43" l="1"/>
  <c r="C15" i="2" s="1"/>
  <c r="C42" i="2" l="1"/>
  <c r="I15" i="2"/>
  <c r="C49" i="2"/>
  <c r="I42" i="2" l="1"/>
  <c r="I49" i="2"/>
  <c r="E23" i="43"/>
  <c r="E24" i="43" s="1"/>
  <c r="E25" i="43" s="1"/>
  <c r="C23" i="2" s="1"/>
  <c r="D21" i="43"/>
  <c r="D46" i="43" s="1"/>
  <c r="D48" i="43" s="1"/>
  <c r="C19" i="2"/>
  <c r="C21" i="2" s="1"/>
  <c r="C21" i="43"/>
  <c r="C46" i="43" s="1"/>
  <c r="C48" i="43" s="1"/>
  <c r="C40" i="2" l="1"/>
  <c r="I21" i="2"/>
  <c r="C22" i="2"/>
  <c r="C51" i="2"/>
  <c r="C23" i="43"/>
  <c r="C24" i="43" s="1"/>
  <c r="I19" i="2"/>
  <c r="I51" i="2" s="1"/>
  <c r="D23" i="43"/>
  <c r="D24" i="43" s="1"/>
  <c r="C54" i="2" l="1"/>
  <c r="C24" i="2"/>
  <c r="I40" i="2"/>
  <c r="I22" i="2"/>
  <c r="C25" i="43"/>
  <c r="C26" i="43" s="1"/>
  <c r="D25" i="43"/>
  <c r="D26" i="43" s="1"/>
  <c r="D27" i="43" s="1"/>
  <c r="E26" i="43" l="1"/>
  <c r="I23" i="2"/>
  <c r="I24" i="2" s="1"/>
  <c r="I54" i="2"/>
  <c r="C25" i="2"/>
  <c r="C60" i="2"/>
  <c r="C59" i="2" s="1"/>
  <c r="C53" i="2"/>
  <c r="E27" i="43"/>
  <c r="C27" i="43"/>
  <c r="I53" i="2" l="1"/>
  <c r="I60" i="2"/>
  <c r="I59" i="2" s="1"/>
  <c r="I25" i="2"/>
</calcChain>
</file>

<file path=xl/comments1.xml><?xml version="1.0" encoding="utf-8"?>
<comments xmlns="http://schemas.openxmlformats.org/spreadsheetml/2006/main">
  <authors>
    <author>作者</author>
    <author>User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32.8万元模夹检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<sst xmlns="http://schemas.openxmlformats.org/spreadsheetml/2006/main" count="1623" uniqueCount="302">
  <si>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</si>
  <si>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</si>
  <si>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</si>
  <si>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</si>
  <si>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</si>
  <si>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</si>
  <si>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</si>
  <si>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</si>
  <si>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</si>
  <si>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</si>
  <si>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</si>
  <si>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</si>
  <si>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</si>
  <si>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</si>
  <si>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</si>
  <si>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</si>
  <si>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</si>
  <si>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</si>
  <si>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</si>
  <si>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</si>
  <si>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</si>
  <si>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</si>
  <si>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</si>
  <si>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</si>
  <si>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</si>
  <si>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</si>
  <si>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</si>
  <si>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</si>
  <si>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</si>
  <si>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</si>
  <si>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</si>
  <si>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</si>
  <si>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</si>
  <si>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</si>
  <si>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</si>
  <si>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</si>
  <si>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</si>
  <si>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</si>
  <si>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</si>
  <si>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</si>
  <si>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</si>
  <si>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</si>
  <si>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</si>
  <si>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</si>
  <si>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</si>
  <si>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</si>
  <si>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</si>
  <si>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</si>
  <si>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</si>
  <si>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</si>
  <si>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</si>
  <si>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</si>
  <si>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</si>
  <si>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</si>
  <si>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</si>
  <si>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</si>
  <si>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</si>
  <si>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</si>
  <si>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</si>
  <si>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</si>
  <si>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</si>
  <si>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</si>
  <si>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</si>
  <si>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</si>
  <si>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</si>
  <si>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</si>
  <si>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</si>
  <si>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</si>
  <si>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</si>
  <si>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</si>
  <si>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</si>
  <si>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</si>
  <si>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</si>
  <si>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</si>
  <si>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</si>
  <si>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</si>
  <si>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</si>
  <si>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</si>
  <si>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</si>
  <si>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</si>
  <si>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</si>
  <si>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</si>
  <si>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</si>
  <si>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</si>
  <si>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</si>
  <si>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</si>
  <si>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</si>
  <si>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</si>
  <si>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</si>
  <si>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</si>
  <si>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</si>
  <si>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</si>
  <si>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</si>
  <si>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</si>
  <si>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</si>
  <si>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</si>
  <si>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</si>
  <si>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</si>
  <si>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</si>
  <si>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</si>
  <si>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</si>
  <si>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</si>
  <si>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</si>
  <si>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</si>
  <si>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</si>
  <si>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</si>
  <si>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</si>
  <si>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</si>
  <si>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</si>
  <si>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</si>
  <si>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</si>
  <si>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</si>
  <si>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</si>
  <si>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</si>
  <si>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</si>
  <si>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</si>
  <si>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</si>
  <si>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</si>
  <si>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</si>
  <si>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</si>
  <si>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</si>
  <si>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</si>
  <si>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</si>
  <si>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</si>
  <si>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</si>
  <si>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</si>
  <si>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</si>
  <si>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</si>
  <si>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</si>
  <si>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</si>
  <si>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</si>
  <si>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</si>
  <si>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</si>
  <si>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</si>
  <si>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</si>
  <si>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</si>
  <si>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</si>
  <si>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</si>
  <si>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</si>
  <si>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</si>
  <si>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</si>
  <si>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</si>
  <si>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</si>
  <si>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</si>
  <si>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</si>
  <si>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</si>
  <si>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</si>
  <si>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</si>
  <si>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</si>
  <si>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</si>
  <si>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</si>
  <si>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</si>
  <si>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</si>
  <si>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</si>
  <si>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</si>
  <si>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</si>
  <si>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</si>
  <si>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</si>
  <si>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</si>
  <si>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</si>
  <si>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</si>
  <si>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</si>
  <si>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</si>
  <si>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</si>
  <si>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</si>
  <si>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</si>
  <si>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</si>
  <si>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</si>
  <si>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</si>
  <si>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</si>
  <si>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</si>
  <si>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</si>
  <si>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</si>
  <si>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</si>
  <si>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</si>
  <si>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</si>
  <si>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</si>
  <si>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</si>
  <si>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</si>
  <si>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</si>
  <si>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</si>
  <si>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</si>
  <si>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</si>
  <si>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</si>
  <si>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</si>
  <si>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</si>
  <si>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</si>
  <si>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</si>
  <si>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</si>
  <si>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</si>
  <si>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</si>
  <si>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</si>
  <si>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</si>
  <si>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</si>
  <si>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</si>
  <si>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</si>
  <si>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</si>
  <si>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</si>
  <si>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</si>
  <si>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</si>
  <si>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</si>
  <si>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</si>
  <si>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</si>
  <si>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</si>
  <si>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</si>
  <si>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</si>
  <si>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</si>
  <si>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</si>
  <si>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</si>
  <si>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</si>
  <si>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</si>
  <si>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</si>
  <si>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</si>
  <si>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</si>
  <si>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</si>
  <si>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</si>
  <si>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</si>
  <si>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</si>
  <si>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</si>
  <si>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</si>
  <si>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</si>
  <si>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</si>
  <si>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</si>
  <si>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</si>
  <si>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</si>
  <si>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</si>
  <si>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2026年</t>
  </si>
  <si>
    <t>材料成本</t>
    <phoneticPr fontId="37" type="noConversion"/>
  </si>
  <si>
    <t xml:space="preserve">戴姆勒补盲镜项目研发费用预算表 </t>
    <phoneticPr fontId="37" type="noConversion"/>
  </si>
  <si>
    <t xml:space="preserve">2023年  </t>
    <phoneticPr fontId="37" type="noConversion"/>
  </si>
  <si>
    <t xml:space="preserve">2024年  </t>
    <phoneticPr fontId="37" type="noConversion"/>
  </si>
  <si>
    <t>戴姆勒</t>
    <phoneticPr fontId="37" type="noConversion"/>
  </si>
  <si>
    <t xml:space="preserve">2025年  </t>
    <phoneticPr fontId="37" type="noConversion"/>
  </si>
  <si>
    <t xml:space="preserve">2026年  </t>
    <phoneticPr fontId="37" type="noConversion"/>
  </si>
  <si>
    <t xml:space="preserve">2027年  </t>
    <phoneticPr fontId="37" type="noConversion"/>
  </si>
  <si>
    <t xml:space="preserve">2028年  </t>
    <phoneticPr fontId="37" type="noConversion"/>
  </si>
  <si>
    <t>2028年</t>
    <phoneticPr fontId="37" type="noConversion"/>
  </si>
  <si>
    <t>2027年</t>
  </si>
  <si>
    <t>所得税(税率15%）</t>
    <phoneticPr fontId="37" type="noConversion"/>
  </si>
  <si>
    <t>所得税(税率15%）</t>
    <phoneticPr fontId="37" type="noConversion"/>
  </si>
  <si>
    <t>所得税(税率15%）</t>
    <phoneticPr fontId="37" type="noConversion"/>
  </si>
  <si>
    <t>22年预算（综合）</t>
    <phoneticPr fontId="37" type="noConversion"/>
  </si>
  <si>
    <r>
      <t>2028</t>
    </r>
    <r>
      <rPr>
        <b/>
        <sz val="10"/>
        <rFont val="宋体"/>
        <family val="3"/>
        <charset val="134"/>
      </rPr>
      <t>年</t>
    </r>
    <phoneticPr fontId="37" type="noConversion"/>
  </si>
  <si>
    <r>
      <t>2023年</t>
    </r>
    <r>
      <rPr>
        <b/>
        <sz val="10"/>
        <rFont val="宋体"/>
        <family val="3"/>
        <charset val="134"/>
      </rPr>
      <t/>
    </r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</si>
  <si>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</si>
  <si>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</si>
  <si>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</si>
  <si>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</si>
  <si>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考虑折旧问题，后视镜减去部分固定制造。</t>
    <phoneticPr fontId="37" type="noConversion"/>
  </si>
  <si>
    <t>成都后视镜2022</t>
    <phoneticPr fontId="37" type="noConversion"/>
  </si>
  <si>
    <t>成都后视镜2021实际</t>
    <phoneticPr fontId="37" type="noConversion"/>
  </si>
  <si>
    <t xml:space="preserve">投资收益分析            </t>
    <phoneticPr fontId="37" type="noConversion"/>
  </si>
  <si>
    <t>单位：元</t>
    <phoneticPr fontId="37" type="noConversion"/>
  </si>
  <si>
    <t>戴姆勒卡车集团补盲镜出口项目</t>
    <phoneticPr fontId="37" type="noConversion"/>
  </si>
  <si>
    <t>HSJHW2307</t>
    <phoneticPr fontId="37" type="noConversion"/>
  </si>
  <si>
    <t>供应商年降：    5年0.5%</t>
    <phoneticPr fontId="37" type="noConversion"/>
  </si>
  <si>
    <t>5年</t>
    <phoneticPr fontId="37" type="noConversion"/>
  </si>
  <si>
    <t>补盲镜</t>
    <phoneticPr fontId="34" type="noConversion"/>
  </si>
  <si>
    <t>底座</t>
    <phoneticPr fontId="34" type="noConversion"/>
  </si>
  <si>
    <t>A9608100102</t>
  </si>
  <si>
    <t>A0008110496</t>
    <phoneticPr fontId="34" type="noConversion"/>
  </si>
  <si>
    <t>手动 无电功能</t>
    <phoneticPr fontId="34" type="noConversion"/>
  </si>
  <si>
    <t>1欧元兑人民币</t>
    <phoneticPr fontId="37" type="noConversion"/>
  </si>
  <si>
    <t>河北光华荣昌</t>
    <phoneticPr fontId="34" type="noConversion"/>
  </si>
  <si>
    <t>德国Worth工厂</t>
    <phoneticPr fontId="34" type="noConversion"/>
  </si>
  <si>
    <t>送货地点</t>
    <phoneticPr fontId="34" type="noConversion"/>
  </si>
  <si>
    <t>木箱</t>
    <phoneticPr fontId="34" type="noConversion"/>
  </si>
  <si>
    <t>包含所有的主、辅料</t>
    <phoneticPr fontId="34" type="noConversion"/>
  </si>
  <si>
    <t>开发费分摊情况</t>
  </si>
  <si>
    <t>产品应用场景</t>
  </si>
  <si>
    <t>Actros</t>
    <phoneticPr fontId="34" type="noConversion"/>
  </si>
  <si>
    <t>三包周期</t>
  </si>
  <si>
    <t>3年</t>
    <phoneticPr fontId="34" type="noConversion"/>
  </si>
  <si>
    <t>电汇</t>
    <phoneticPr fontId="34" type="noConversion"/>
  </si>
  <si>
    <t>现汇</t>
    <phoneticPr fontId="34" type="noConversion"/>
  </si>
  <si>
    <t>无</t>
    <phoneticPr fontId="34" type="noConversion"/>
  </si>
  <si>
    <t>有</t>
    <phoneticPr fontId="34" type="noConversion"/>
  </si>
  <si>
    <t>其他</t>
    <phoneticPr fontId="34" type="noConversion"/>
  </si>
  <si>
    <t>涂红色处为必填项</t>
    <phoneticPr fontId="34" type="noConversion"/>
  </si>
  <si>
    <t>开发费共计：33318欧元-一次性支付
模具共计：67864欧元-按照5万件分摊：1.36欧元；</t>
    <phoneticPr fontId="34" type="noConversion"/>
  </si>
  <si>
    <t>预算费用（欧元）</t>
    <phoneticPr fontId="37" type="noConversion"/>
  </si>
  <si>
    <t>一次性支付</t>
  </si>
  <si>
    <t>一次性支付</t>
    <phoneticPr fontId="37" type="noConversion"/>
  </si>
  <si>
    <t>5万件分摊</t>
  </si>
  <si>
    <t>5万件分摊</t>
    <phoneticPr fontId="37" type="noConversion"/>
  </si>
  <si>
    <t>销价不含开发费分摊</t>
    <phoneticPr fontId="34" type="noConversion"/>
  </si>
  <si>
    <t>原材料成本</t>
    <phoneticPr fontId="37" type="noConversion"/>
  </si>
  <si>
    <t>附加值</t>
    <phoneticPr fontId="37" type="noConversion"/>
  </si>
  <si>
    <t>附加值率</t>
    <phoneticPr fontId="37" type="noConversion"/>
  </si>
  <si>
    <t>21年后视镜</t>
    <phoneticPr fontId="37" type="noConversion"/>
  </si>
  <si>
    <t>23年后视镜预算</t>
    <phoneticPr fontId="37" type="noConversion"/>
  </si>
  <si>
    <t>成都2023（综合）</t>
    <phoneticPr fontId="37" type="noConversion"/>
  </si>
  <si>
    <t>成本预估按BOM测算。供应商年度降价同销价。</t>
    <phoneticPr fontId="37" type="noConversion"/>
  </si>
  <si>
    <t>财务费用按集团2023年平均水平。</t>
    <phoneticPr fontId="37" type="noConversion"/>
  </si>
  <si>
    <t>按海外测算</t>
    <phoneticPr fontId="37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</si>
  <si>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单位：欧元</t>
    </r>
    <phoneticPr fontId="37" type="noConversion"/>
  </si>
  <si>
    <r>
      <t>销售价格（未税）：由营销或项目经理提供，包括年降。</t>
    </r>
    <r>
      <rPr>
        <sz val="12"/>
        <color rgb="FFFF0000"/>
        <rFont val="微软雅黑"/>
        <family val="2"/>
        <charset val="134"/>
      </rPr>
      <t>因销价不含模摊，故测算时未计入模具费投入和模摊</t>
    </r>
    <r>
      <rPr>
        <sz val="12"/>
        <rFont val="微软雅黑"/>
        <family val="2"/>
        <charset val="134"/>
      </rPr>
      <t>。</t>
    </r>
    <phoneticPr fontId="37" type="noConversion"/>
  </si>
  <si>
    <r>
      <t>变动费用参考河北工厂2022年实际及2023预算，结合成都2021年实际预计。</t>
    </r>
    <r>
      <rPr>
        <sz val="12"/>
        <color rgb="FFFF0000"/>
        <rFont val="微软雅黑"/>
        <family val="2"/>
        <charset val="134"/>
      </rPr>
      <t>出口包装运费等由海外单独测算</t>
    </r>
    <r>
      <rPr>
        <sz val="12"/>
        <rFont val="微软雅黑"/>
        <family val="2"/>
        <charset val="134"/>
      </rPr>
      <t>。</t>
    </r>
    <phoneticPr fontId="37" type="noConversion"/>
  </si>
  <si>
    <t>客户一次性支付</t>
    <phoneticPr fontId="37" type="noConversion"/>
  </si>
  <si>
    <t>所得税(税率15%）</t>
    <phoneticPr fontId="37" type="noConversion"/>
  </si>
  <si>
    <t>所得税15%</t>
    <phoneticPr fontId="37" type="noConversion"/>
  </si>
  <si>
    <t>2023年平均汇率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</si>
</sst>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_ * #,##0.0000_ ;_ * \-#,##0.0000_ ;_ * &quot;-&quot;??_ ;_ @_ 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6"/>
      <color theme="1"/>
      <name val="微软雅黑"/>
      <family val="2"/>
      <charset val="134"/>
    </font>
    <font>
      <sz val="10"/>
      <color rgb="FFFF0000"/>
      <name val="Times New Roman"/>
      <family val="1"/>
    </font>
    <font>
      <sz val="8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43" fontId="15" fillId="7" borderId="0" xfId="0" applyNumberFormat="1" applyFont="1" applyFill="1">
      <alignment vertical="center"/>
    </xf>
    <xf numFmtId="0" fontId="18" fillId="7" borderId="0" xfId="0" applyFont="1" applyFill="1">
      <alignment vertical="center"/>
    </xf>
    <xf numFmtId="0" fontId="13" fillId="7" borderId="0" xfId="0" applyFont="1" applyFill="1">
      <alignment vertical="center"/>
    </xf>
    <xf numFmtId="43" fontId="40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  <xf numFmtId="0" fontId="26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0" fontId="40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3" fontId="26" fillId="0" borderId="0" xfId="1" applyFont="1" applyFill="1" applyAlignment="1">
      <alignment horizontal="center" vertical="center"/>
    </xf>
    <xf numFmtId="43" fontId="16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0" fillId="0" borderId="0" xfId="1" applyNumberFormat="1" applyFont="1" applyFill="1">
      <alignment vertical="center"/>
    </xf>
    <xf numFmtId="180" fontId="0" fillId="0" borderId="4" xfId="3" applyNumberFormat="1" applyFon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9" fontId="0" fillId="0" borderId="4" xfId="3" applyFont="1" applyFill="1" applyBorder="1" applyAlignment="1">
      <alignment horizontal="center" vertical="center"/>
    </xf>
    <xf numFmtId="10" fontId="0" fillId="0" borderId="1" xfId="1" applyNumberFormat="1" applyFont="1" applyFill="1" applyBorder="1">
      <alignment vertical="center"/>
    </xf>
    <xf numFmtId="178" fontId="15" fillId="9" borderId="1" xfId="1" applyNumberFormat="1" applyFont="1" applyFill="1" applyBorder="1" applyAlignment="1">
      <alignment horizontal="center" vertical="center"/>
    </xf>
    <xf numFmtId="43" fontId="16" fillId="9" borderId="1" xfId="1" applyFont="1" applyFill="1" applyBorder="1" applyAlignment="1">
      <alignment horizontal="center" vertical="center" wrapText="1"/>
    </xf>
    <xf numFmtId="43" fontId="15" fillId="9" borderId="1" xfId="1" applyFont="1" applyFill="1" applyBorder="1">
      <alignment vertical="center"/>
    </xf>
    <xf numFmtId="43" fontId="15" fillId="9" borderId="1" xfId="1" applyFont="1" applyFill="1" applyBorder="1" applyAlignment="1">
      <alignment horizontal="center" vertical="center"/>
    </xf>
    <xf numFmtId="10" fontId="15" fillId="9" borderId="1" xfId="3" applyNumberFormat="1" applyFont="1" applyFill="1" applyBorder="1" applyAlignment="1">
      <alignment horizontal="center" vertical="center"/>
    </xf>
    <xf numFmtId="0" fontId="15" fillId="9" borderId="1" xfId="0" applyFont="1" applyFill="1" applyBorder="1">
      <alignment vertical="center"/>
    </xf>
    <xf numFmtId="0" fontId="15" fillId="9" borderId="1" xfId="0" applyFont="1" applyFill="1" applyBorder="1" applyAlignment="1">
      <alignment horizontal="center" vertical="center"/>
    </xf>
    <xf numFmtId="43" fontId="21" fillId="9" borderId="1" xfId="1" applyFont="1" applyFill="1" applyBorder="1" applyAlignment="1">
      <alignment horizontal="center" vertical="center" wrapText="1"/>
    </xf>
    <xf numFmtId="0" fontId="17" fillId="9" borderId="1" xfId="0" applyFont="1" applyFill="1" applyBorder="1">
      <alignment vertical="center"/>
    </xf>
    <xf numFmtId="0" fontId="14" fillId="9" borderId="1" xfId="0" applyFont="1" applyFill="1" applyBorder="1">
      <alignment vertical="center"/>
    </xf>
    <xf numFmtId="0" fontId="22" fillId="9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6" fillId="0" borderId="8" xfId="0" applyFont="1" applyBorder="1" applyAlignment="1">
      <alignment vertical="center"/>
    </xf>
    <xf numFmtId="0" fontId="43" fillId="0" borderId="1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 readingOrder="1"/>
    </xf>
    <xf numFmtId="181" fontId="2" fillId="7" borderId="1" xfId="1" applyNumberFormat="1" applyFont="1" applyFill="1" applyBorder="1" applyAlignment="1">
      <alignment horizontal="center" vertical="center" wrapText="1"/>
    </xf>
    <xf numFmtId="43" fontId="43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5" fillId="10" borderId="0" xfId="0" applyFont="1" applyFill="1">
      <alignment vertical="center"/>
    </xf>
    <xf numFmtId="43" fontId="26" fillId="0" borderId="1" xfId="1" applyFont="1" applyBorder="1" applyAlignment="1">
      <alignment horizontal="center" vertical="center"/>
    </xf>
    <xf numFmtId="0" fontId="47" fillId="4" borderId="1" xfId="2" applyNumberFormat="1" applyFont="1" applyFill="1" applyBorder="1" applyAlignment="1" applyProtection="1">
      <alignment horizontal="center" vertical="center" wrapText="1"/>
    </xf>
    <xf numFmtId="0" fontId="47" fillId="4" borderId="1" xfId="2" applyNumberFormat="1" applyFont="1" applyFill="1" applyBorder="1" applyAlignment="1" applyProtection="1">
      <alignment horizontal="center" vertical="center"/>
    </xf>
    <xf numFmtId="43" fontId="43" fillId="0" borderId="1" xfId="1" applyFont="1" applyBorder="1">
      <alignment vertical="center"/>
    </xf>
    <xf numFmtId="0" fontId="43" fillId="0" borderId="0" xfId="0" applyFont="1" applyAlignment="1">
      <alignment vertical="center" wrapText="1"/>
    </xf>
    <xf numFmtId="43" fontId="7" fillId="3" borderId="1" xfId="0" applyNumberFormat="1" applyFont="1" applyFill="1" applyBorder="1" applyAlignment="1">
      <alignment vertical="center" readingOrder="1"/>
    </xf>
    <xf numFmtId="180" fontId="2" fillId="0" borderId="0" xfId="3" applyNumberFormat="1" applyFont="1">
      <alignment vertical="center"/>
    </xf>
    <xf numFmtId="0" fontId="1" fillId="0" borderId="0" xfId="0" applyFont="1" applyFill="1" applyAlignment="1">
      <alignment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3" fontId="26" fillId="0" borderId="0" xfId="1" applyFont="1" applyFill="1" applyAlignment="1">
      <alignment horizontal="center" vertical="center" wrapText="1"/>
    </xf>
    <xf numFmtId="43" fontId="26" fillId="7" borderId="0" xfId="1" applyFont="1" applyFill="1" applyBorder="1" applyAlignment="1">
      <alignment horizontal="center" vertical="center" wrapText="1"/>
    </xf>
    <xf numFmtId="0" fontId="26" fillId="7" borderId="0" xfId="0" applyFont="1" applyFill="1" applyAlignment="1">
      <alignment vertical="center" wrapText="1"/>
    </xf>
    <xf numFmtId="10" fontId="48" fillId="0" borderId="0" xfId="3" applyNumberFormat="1" applyFont="1" applyFill="1" applyAlignment="1">
      <alignment horizontal="center" vertical="center" wrapText="1"/>
    </xf>
    <xf numFmtId="180" fontId="15" fillId="0" borderId="1" xfId="3" applyNumberFormat="1" applyFont="1" applyFill="1" applyBorder="1">
      <alignment vertical="center"/>
    </xf>
    <xf numFmtId="180" fontId="15" fillId="0" borderId="1" xfId="3" applyNumberFormat="1" applyFont="1" applyFill="1" applyBorder="1" applyAlignment="1">
      <alignment vertical="center"/>
    </xf>
    <xf numFmtId="43" fontId="0" fillId="7" borderId="1" xfId="0" applyNumberFormat="1" applyFill="1" applyBorder="1" applyAlignment="1">
      <alignment horizontal="center" vertical="center" wrapText="1"/>
    </xf>
    <xf numFmtId="0" fontId="15" fillId="0" borderId="5" xfId="0" applyFont="1" applyFill="1" applyBorder="1">
      <alignment vertical="center"/>
    </xf>
    <xf numFmtId="0" fontId="15" fillId="0" borderId="0" xfId="0" applyFont="1" applyFill="1" applyBorder="1">
      <alignment vertical="center"/>
    </xf>
    <xf numFmtId="10" fontId="15" fillId="0" borderId="0" xfId="3" applyNumberFormat="1" applyFont="1" applyFill="1" applyBorder="1">
      <alignment vertical="center"/>
    </xf>
    <xf numFmtId="43" fontId="15" fillId="0" borderId="0" xfId="1" applyFont="1" applyFill="1" applyBorder="1">
      <alignment vertical="center"/>
    </xf>
    <xf numFmtId="10" fontId="15" fillId="0" borderId="1" xfId="3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readingOrder="1"/>
    </xf>
    <xf numFmtId="0" fontId="7" fillId="3" borderId="7" xfId="0" applyFont="1" applyFill="1" applyBorder="1" applyAlignment="1">
      <alignment horizontal="center" vertical="center" readingOrder="1"/>
    </xf>
    <xf numFmtId="0" fontId="7" fillId="3" borderId="6" xfId="0" applyFont="1" applyFill="1" applyBorder="1" applyAlignment="1">
      <alignment horizontal="center" vertical="center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1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E7" sqref="E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0" customFormat="1" ht="35.25" customHeight="1">
      <c r="A2" s="131" t="s">
        <v>0</v>
      </c>
      <c r="B2" s="131" t="s">
        <v>1</v>
      </c>
      <c r="C2" s="131" t="s">
        <v>2</v>
      </c>
      <c r="D2" s="132"/>
    </row>
    <row r="3" spans="1:4" s="130" customFormat="1" ht="33.75" customHeight="1">
      <c r="A3" s="133">
        <v>1</v>
      </c>
      <c r="B3" s="133" t="s">
        <v>3</v>
      </c>
      <c r="C3" s="134" t="s">
        <v>4</v>
      </c>
      <c r="D3" s="132"/>
    </row>
    <row r="4" spans="1:4" s="130" customFormat="1" ht="33.75" customHeight="1">
      <c r="A4" s="133">
        <v>2</v>
      </c>
      <c r="B4" s="133" t="s">
        <v>5</v>
      </c>
      <c r="C4" s="134" t="s">
        <v>296</v>
      </c>
    </row>
    <row r="5" spans="1:4" s="130" customFormat="1" ht="33.75" customHeight="1">
      <c r="A5" s="133">
        <v>3</v>
      </c>
      <c r="B5" s="239" t="s">
        <v>6</v>
      </c>
      <c r="C5" s="135" t="s">
        <v>292</v>
      </c>
    </row>
    <row r="6" spans="1:4" s="130" customFormat="1" ht="33.75" customHeight="1">
      <c r="A6" s="133">
        <v>4</v>
      </c>
      <c r="B6" s="240"/>
      <c r="C6" s="134" t="s">
        <v>7</v>
      </c>
    </row>
    <row r="7" spans="1:4" s="130" customFormat="1" ht="33.75" customHeight="1">
      <c r="A7" s="133">
        <v>5</v>
      </c>
      <c r="B7" s="136" t="s">
        <v>8</v>
      </c>
      <c r="C7" s="134" t="s">
        <v>297</v>
      </c>
    </row>
    <row r="8" spans="1:4" s="130" customFormat="1" ht="33.75" customHeight="1">
      <c r="A8" s="133">
        <v>6</v>
      </c>
      <c r="B8" s="239" t="s">
        <v>9</v>
      </c>
      <c r="C8" s="134" t="s">
        <v>10</v>
      </c>
    </row>
    <row r="9" spans="1:4" s="130" customFormat="1" ht="33.75" customHeight="1">
      <c r="A9" s="133">
        <v>7</v>
      </c>
      <c r="B9" s="240"/>
      <c r="C9" s="134" t="s">
        <v>11</v>
      </c>
    </row>
    <row r="10" spans="1:4" s="130" customFormat="1" ht="33.75" customHeight="1">
      <c r="A10" s="133">
        <v>8</v>
      </c>
      <c r="B10" s="240"/>
      <c r="C10" s="135" t="s">
        <v>293</v>
      </c>
    </row>
    <row r="11" spans="1:4" s="130" customFormat="1" ht="33.75" customHeight="1">
      <c r="A11" s="133">
        <v>9</v>
      </c>
      <c r="B11" s="240"/>
      <c r="C11" s="134" t="s">
        <v>12</v>
      </c>
    </row>
    <row r="12" spans="1:4" s="130" customFormat="1" ht="33.75" customHeight="1">
      <c r="A12" s="133">
        <v>10</v>
      </c>
      <c r="B12" s="136" t="s">
        <v>13</v>
      </c>
      <c r="C12" s="134" t="s">
        <v>14</v>
      </c>
    </row>
    <row r="13" spans="1:4" ht="33.75" customHeight="1"/>
    <row r="14" spans="1:4" ht="33.75" customHeight="1"/>
    <row r="15" spans="1:4" ht="33.75" customHeight="1">
      <c r="C15" s="137"/>
    </row>
  </sheetData>
  <mergeCells count="2">
    <mergeCell ref="B5:B6"/>
    <mergeCell ref="B8:B1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3" activePane="bottomRight" state="frozen"/>
      <selection pane="topRight"/>
      <selection pane="bottomLeft"/>
      <selection pane="bottomRight" activeCell="B9" sqref="B9"/>
    </sheetView>
  </sheetViews>
  <sheetFormatPr defaultColWidth="9" defaultRowHeight="13.5"/>
  <cols>
    <col min="1" max="1" width="20.625" customWidth="1"/>
    <col min="2" max="2" width="14.25" style="26" customWidth="1"/>
    <col min="3" max="3" width="13.125" customWidth="1"/>
    <col min="4" max="9" width="14.5" customWidth="1"/>
    <col min="10" max="10" width="11.5" customWidth="1"/>
    <col min="11" max="11" width="14.125" customWidth="1"/>
  </cols>
  <sheetData>
    <row r="1" spans="1:9" ht="20.25">
      <c r="A1" s="256" t="s">
        <v>295</v>
      </c>
      <c r="B1" s="256"/>
      <c r="C1" s="256"/>
      <c r="E1" s="257" t="s">
        <v>228</v>
      </c>
      <c r="F1" s="258"/>
      <c r="G1" s="258"/>
      <c r="H1" s="259"/>
      <c r="I1" s="168"/>
    </row>
    <row r="2" spans="1:9" ht="23.45" customHeight="1">
      <c r="A2" s="27" t="s">
        <v>1</v>
      </c>
      <c r="B2" s="28" t="s">
        <v>148</v>
      </c>
      <c r="C2" s="29" t="s">
        <v>149</v>
      </c>
      <c r="E2" s="1" t="s">
        <v>150</v>
      </c>
      <c r="F2" s="1" t="s">
        <v>1</v>
      </c>
      <c r="G2" s="215" t="s">
        <v>280</v>
      </c>
      <c r="H2" s="1" t="s">
        <v>149</v>
      </c>
      <c r="I2" s="169"/>
    </row>
    <row r="3" spans="1:9" ht="15.75" customHeight="1">
      <c r="A3" s="31" t="s">
        <v>151</v>
      </c>
      <c r="B3" s="32"/>
      <c r="C3" s="33"/>
      <c r="E3" s="264" t="s">
        <v>152</v>
      </c>
      <c r="F3" s="2" t="s">
        <v>153</v>
      </c>
      <c r="G3" s="34"/>
      <c r="H3" s="2"/>
      <c r="I3" s="170"/>
    </row>
    <row r="4" spans="1:9" ht="15.75" customHeight="1">
      <c r="A4" s="31" t="s">
        <v>154</v>
      </c>
      <c r="B4" s="32"/>
      <c r="C4" s="35"/>
      <c r="E4" s="265"/>
      <c r="F4" s="2" t="s">
        <v>155</v>
      </c>
      <c r="G4" s="34"/>
      <c r="H4" s="2"/>
      <c r="I4" s="170"/>
    </row>
    <row r="5" spans="1:9" ht="15.75" customHeight="1">
      <c r="A5" s="31" t="s">
        <v>156</v>
      </c>
      <c r="B5" s="36">
        <f>SUM(G3:G4)</f>
        <v>0</v>
      </c>
      <c r="C5" s="33"/>
      <c r="E5" s="266" t="s">
        <v>157</v>
      </c>
      <c r="F5" s="37" t="s">
        <v>158</v>
      </c>
      <c r="G5" s="158">
        <v>59700.97</v>
      </c>
      <c r="H5" s="37"/>
      <c r="I5" s="171"/>
    </row>
    <row r="6" spans="1:9" ht="15.75" customHeight="1">
      <c r="A6" s="31" t="s">
        <v>159</v>
      </c>
      <c r="B6" s="32"/>
      <c r="C6" s="33"/>
      <c r="E6" s="267"/>
      <c r="F6" s="37" t="s">
        <v>160</v>
      </c>
      <c r="G6" s="158"/>
      <c r="H6" s="2"/>
      <c r="I6" s="170"/>
    </row>
    <row r="7" spans="1:9" ht="15.75" customHeight="1">
      <c r="A7" s="38" t="s">
        <v>161</v>
      </c>
      <c r="B7" s="36">
        <f>SUM(B3:B6)</f>
        <v>0</v>
      </c>
      <c r="C7" s="33"/>
      <c r="E7" s="267"/>
      <c r="F7" s="37" t="s">
        <v>162</v>
      </c>
      <c r="G7" s="158"/>
      <c r="H7" s="2"/>
      <c r="I7" s="170"/>
    </row>
    <row r="8" spans="1:9" ht="15.75" customHeight="1">
      <c r="A8" s="39" t="s">
        <v>163</v>
      </c>
      <c r="B8" s="36">
        <f>SUM(G5:G12)</f>
        <v>67864</v>
      </c>
      <c r="C8" s="216" t="s">
        <v>283</v>
      </c>
      <c r="E8" s="267"/>
      <c r="F8" s="37" t="s">
        <v>164</v>
      </c>
      <c r="G8" s="158"/>
      <c r="H8" s="2"/>
      <c r="I8" s="170"/>
    </row>
    <row r="9" spans="1:9" ht="15.75" customHeight="1">
      <c r="A9" s="31" t="s">
        <v>165</v>
      </c>
      <c r="B9" s="36">
        <f>SUM(G13:G21)</f>
        <v>33318</v>
      </c>
      <c r="C9" s="217" t="s">
        <v>281</v>
      </c>
      <c r="E9" s="267"/>
      <c r="F9" s="2" t="s">
        <v>166</v>
      </c>
      <c r="G9" s="158"/>
      <c r="H9" s="148"/>
      <c r="I9" s="172"/>
    </row>
    <row r="10" spans="1:9" ht="15.75" customHeight="1">
      <c r="A10" s="35" t="s">
        <v>16</v>
      </c>
      <c r="B10" s="36">
        <f>B7+B8+B9</f>
        <v>101182</v>
      </c>
      <c r="C10" s="33"/>
      <c r="E10" s="267"/>
      <c r="F10" s="2" t="s">
        <v>167</v>
      </c>
      <c r="G10" s="159">
        <v>5442.18</v>
      </c>
      <c r="H10" s="2"/>
      <c r="I10" s="170"/>
    </row>
    <row r="11" spans="1:9" ht="15.75" customHeight="1">
      <c r="E11" s="267"/>
      <c r="F11" s="2" t="s">
        <v>168</v>
      </c>
      <c r="G11" s="159">
        <v>2720.85</v>
      </c>
      <c r="H11" s="2"/>
      <c r="I11" s="170"/>
    </row>
    <row r="12" spans="1:9" ht="15.75" customHeight="1">
      <c r="E12" s="268"/>
      <c r="F12" s="2" t="s">
        <v>169</v>
      </c>
      <c r="G12" s="158"/>
      <c r="H12" s="148"/>
      <c r="I12" s="172"/>
    </row>
    <row r="13" spans="1:9" ht="15.75" customHeight="1">
      <c r="E13" s="264" t="s">
        <v>48</v>
      </c>
      <c r="F13" s="2" t="s">
        <v>170</v>
      </c>
      <c r="G13" s="158">
        <v>10335</v>
      </c>
      <c r="H13" s="40"/>
      <c r="I13" s="173"/>
    </row>
    <row r="14" spans="1:9" ht="15.75" customHeight="1">
      <c r="E14" s="265"/>
      <c r="F14" s="2" t="s">
        <v>171</v>
      </c>
      <c r="G14" s="158"/>
      <c r="H14" s="2"/>
      <c r="I14" s="170"/>
    </row>
    <row r="15" spans="1:9" ht="15.75" customHeight="1">
      <c r="E15" s="265"/>
      <c r="F15" s="2" t="s">
        <v>172</v>
      </c>
      <c r="G15" s="158"/>
      <c r="H15" s="2"/>
      <c r="I15" s="170"/>
    </row>
    <row r="16" spans="1:9" ht="15.75" customHeight="1">
      <c r="E16" s="265"/>
      <c r="F16" s="2" t="s">
        <v>173</v>
      </c>
      <c r="G16" s="158"/>
      <c r="H16" s="2"/>
      <c r="I16" s="170"/>
    </row>
    <row r="17" spans="1:11" ht="15.75" customHeight="1">
      <c r="E17" s="265"/>
      <c r="F17" s="2" t="s">
        <v>174</v>
      </c>
      <c r="G17" s="158"/>
      <c r="H17" s="166"/>
      <c r="I17" s="174"/>
    </row>
    <row r="18" spans="1:11" ht="15.75" customHeight="1">
      <c r="E18" s="265"/>
      <c r="F18" s="2" t="s">
        <v>175</v>
      </c>
      <c r="G18" s="158">
        <v>127</v>
      </c>
      <c r="H18" s="167"/>
      <c r="I18" s="175"/>
    </row>
    <row r="19" spans="1:11" ht="15.75" customHeight="1">
      <c r="E19" s="265"/>
      <c r="F19" s="2" t="s">
        <v>176</v>
      </c>
      <c r="G19" s="158">
        <v>18416</v>
      </c>
      <c r="H19" s="167"/>
      <c r="I19" s="175"/>
    </row>
    <row r="20" spans="1:11" ht="15.75" customHeight="1">
      <c r="E20" s="265"/>
      <c r="F20" s="2" t="s">
        <v>177</v>
      </c>
      <c r="G20" s="158"/>
      <c r="H20" s="2"/>
      <c r="I20" s="170"/>
    </row>
    <row r="21" spans="1:11" ht="15.75" customHeight="1">
      <c r="E21" s="269"/>
      <c r="F21" s="2" t="s">
        <v>126</v>
      </c>
      <c r="G21" s="158">
        <v>4440</v>
      </c>
      <c r="H21" s="2"/>
      <c r="I21" s="170"/>
    </row>
    <row r="22" spans="1:11" ht="15.75" customHeight="1">
      <c r="E22" s="1" t="s">
        <v>16</v>
      </c>
      <c r="F22" s="2"/>
      <c r="G22" s="30">
        <f>SUM(G3:G21)</f>
        <v>101182</v>
      </c>
      <c r="H22" s="2"/>
      <c r="I22" s="170"/>
    </row>
    <row r="23" spans="1:11" ht="30.75" customHeight="1">
      <c r="E23" s="260" t="s">
        <v>178</v>
      </c>
      <c r="F23" s="260"/>
      <c r="G23" s="260"/>
      <c r="H23" s="260"/>
      <c r="I23" s="176"/>
    </row>
    <row r="25" spans="1:11" ht="17.25">
      <c r="A25" s="18" t="s">
        <v>1</v>
      </c>
      <c r="B25" s="18" t="s">
        <v>148</v>
      </c>
      <c r="C25" s="18" t="s">
        <v>179</v>
      </c>
      <c r="D25" s="164" t="s">
        <v>180</v>
      </c>
      <c r="E25" s="164" t="s">
        <v>181</v>
      </c>
      <c r="F25" s="164" t="s">
        <v>182</v>
      </c>
      <c r="G25" s="164" t="s">
        <v>226</v>
      </c>
      <c r="H25" s="164" t="s">
        <v>237</v>
      </c>
      <c r="I25" s="164" t="s">
        <v>236</v>
      </c>
      <c r="J25" s="21" t="s">
        <v>16</v>
      </c>
      <c r="K25" s="44" t="s">
        <v>183</v>
      </c>
    </row>
    <row r="26" spans="1:11" ht="16.5">
      <c r="A26" s="41" t="s">
        <v>144</v>
      </c>
      <c r="B26" s="42"/>
      <c r="C26" s="43">
        <v>0.05</v>
      </c>
      <c r="D26" s="12"/>
      <c r="E26" s="12"/>
      <c r="F26" s="12"/>
      <c r="G26" s="12"/>
      <c r="H26" s="12"/>
      <c r="I26" s="12"/>
      <c r="J26" s="218" t="s">
        <v>284</v>
      </c>
      <c r="K26" s="12">
        <f>B26*0.05</f>
        <v>0</v>
      </c>
    </row>
    <row r="27" spans="1:11" ht="16.5">
      <c r="A27" s="41" t="s">
        <v>184</v>
      </c>
      <c r="B27" s="42"/>
      <c r="C27" s="12"/>
      <c r="D27" s="12"/>
      <c r="E27" s="12"/>
      <c r="F27" s="12"/>
      <c r="G27" s="12"/>
      <c r="H27" s="12"/>
      <c r="I27" s="12"/>
      <c r="J27" s="218" t="s">
        <v>282</v>
      </c>
      <c r="K27" s="12"/>
    </row>
    <row r="28" spans="1:11" ht="16.5">
      <c r="A28" s="261" t="s">
        <v>106</v>
      </c>
      <c r="B28" s="262"/>
      <c r="C28" s="263"/>
      <c r="D28" s="12">
        <f>SUM(D26:D27)</f>
        <v>0</v>
      </c>
      <c r="E28" s="12">
        <f t="shared" ref="E28:I28" si="0">SUM(E26:E27)</f>
        <v>0</v>
      </c>
      <c r="F28" s="12">
        <f t="shared" si="0"/>
        <v>0</v>
      </c>
      <c r="G28" s="12">
        <f t="shared" si="0"/>
        <v>0</v>
      </c>
      <c r="H28" s="12">
        <f t="shared" si="0"/>
        <v>0</v>
      </c>
      <c r="I28" s="12">
        <f t="shared" si="0"/>
        <v>0</v>
      </c>
      <c r="J28" s="45"/>
      <c r="K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workbookViewId="0">
      <selection activeCell="E12" sqref="E12"/>
    </sheetView>
  </sheetViews>
  <sheetFormatPr defaultColWidth="9" defaultRowHeight="16.5"/>
  <cols>
    <col min="1" max="1" width="14" style="5" customWidth="1"/>
    <col min="2" max="2" width="14.125" style="5" customWidth="1"/>
    <col min="3" max="8" width="18.25" style="5" customWidth="1"/>
    <col min="9" max="9" width="11.625" style="5" customWidth="1"/>
    <col min="10" max="10" width="11.75" style="5" customWidth="1"/>
    <col min="11" max="11" width="9.125" style="5" customWidth="1"/>
    <col min="12" max="16384" width="9" style="5"/>
  </cols>
  <sheetData>
    <row r="1" spans="1:12" ht="29.25" customHeight="1">
      <c r="A1" s="15" t="s">
        <v>185</v>
      </c>
      <c r="E1" s="16"/>
      <c r="F1" s="16"/>
      <c r="G1" s="16"/>
      <c r="H1" s="16"/>
      <c r="I1" s="16"/>
    </row>
    <row r="2" spans="1:12" ht="24" customHeight="1">
      <c r="A2" s="17" t="s">
        <v>186</v>
      </c>
      <c r="E2" s="16"/>
      <c r="F2" s="16"/>
      <c r="G2" s="16"/>
      <c r="H2" s="16"/>
      <c r="I2" s="16"/>
    </row>
    <row r="3" spans="1:12">
      <c r="C3" s="5" t="s">
        <v>187</v>
      </c>
      <c r="D3" s="8" t="s">
        <v>256</v>
      </c>
      <c r="E3" s="150">
        <v>5.0000000000000001E-3</v>
      </c>
    </row>
    <row r="5" spans="1:12" ht="45" customHeight="1">
      <c r="A5" s="271" t="s">
        <v>188</v>
      </c>
      <c r="B5" s="7" t="s">
        <v>140</v>
      </c>
      <c r="C5" s="203" t="s">
        <v>257</v>
      </c>
      <c r="D5" s="203" t="s">
        <v>258</v>
      </c>
      <c r="E5" s="183" t="s">
        <v>301</v>
      </c>
      <c r="F5" s="14"/>
      <c r="G5" s="14"/>
      <c r="H5" s="14"/>
      <c r="I5" s="272" t="s">
        <v>16</v>
      </c>
    </row>
    <row r="6" spans="1:12" ht="31.5" customHeight="1">
      <c r="A6" s="271"/>
      <c r="B6" s="7" t="s">
        <v>141</v>
      </c>
      <c r="C6" s="204" t="s">
        <v>259</v>
      </c>
      <c r="D6" s="204" t="s">
        <v>260</v>
      </c>
      <c r="E6" s="183" t="s">
        <v>262</v>
      </c>
      <c r="F6" s="14"/>
      <c r="G6" s="14"/>
      <c r="H6" s="14"/>
      <c r="I6" s="273"/>
      <c r="K6" s="5">
        <v>100</v>
      </c>
    </row>
    <row r="7" spans="1:12" ht="37.5" customHeight="1">
      <c r="A7" s="271"/>
      <c r="B7" s="20" t="s">
        <v>189</v>
      </c>
      <c r="C7" s="204" t="s">
        <v>261</v>
      </c>
      <c r="D7" s="204"/>
      <c r="E7" s="206">
        <v>7.6069222222222219</v>
      </c>
      <c r="F7" s="19"/>
      <c r="G7" s="19"/>
      <c r="H7" s="19"/>
      <c r="I7" s="274"/>
      <c r="K7" s="5">
        <f>K6*(1-$E$3)</f>
        <v>99.5</v>
      </c>
      <c r="L7" s="5">
        <f>K7/$K$6</f>
        <v>0.995</v>
      </c>
    </row>
    <row r="8" spans="1:12" ht="33">
      <c r="A8" s="271"/>
      <c r="B8" s="20" t="s">
        <v>190</v>
      </c>
      <c r="C8" s="207">
        <f>8.01*E7</f>
        <v>60.931446999999999</v>
      </c>
      <c r="D8" s="207">
        <f>0.23*E7</f>
        <v>1.749592111111111</v>
      </c>
      <c r="E8" s="19"/>
      <c r="F8" s="19"/>
      <c r="G8" s="19"/>
      <c r="H8" s="19"/>
      <c r="I8" s="220">
        <f>SUM(C8:H8)</f>
        <v>62.681039111111112</v>
      </c>
      <c r="J8" s="219" t="s">
        <v>285</v>
      </c>
      <c r="K8" s="5">
        <f>K7*(1-$E$3)</f>
        <v>99.002499999999998</v>
      </c>
      <c r="L8" s="5">
        <f t="shared" ref="L8:L11" si="0">K8/$K$6</f>
        <v>0.99002499999999993</v>
      </c>
    </row>
    <row r="9" spans="1:12" ht="17.25">
      <c r="A9" s="271" t="s">
        <v>191</v>
      </c>
      <c r="B9" s="165" t="s">
        <v>180</v>
      </c>
      <c r="C9" s="205">
        <v>4901</v>
      </c>
      <c r="D9" s="205">
        <v>8375</v>
      </c>
      <c r="E9" s="22"/>
      <c r="F9" s="22"/>
      <c r="G9" s="22"/>
      <c r="H9" s="22"/>
      <c r="I9" s="25">
        <f>SUM(C9:H9)</f>
        <v>13276</v>
      </c>
      <c r="K9" s="5">
        <f t="shared" ref="K9:K11" si="1">K8*(1-$E$3)</f>
        <v>98.507487499999996</v>
      </c>
      <c r="L9" s="5">
        <f t="shared" si="0"/>
        <v>0.98507487500000002</v>
      </c>
    </row>
    <row r="10" spans="1:12" ht="17.25">
      <c r="A10" s="271"/>
      <c r="B10" s="165" t="s">
        <v>181</v>
      </c>
      <c r="C10" s="205">
        <v>4901</v>
      </c>
      <c r="D10" s="205">
        <v>8375</v>
      </c>
      <c r="E10" s="22"/>
      <c r="F10" s="22"/>
      <c r="G10" s="22"/>
      <c r="H10" s="22"/>
      <c r="I10" s="25">
        <f t="shared" ref="I10:I14" si="2">SUM(C10:H10)</f>
        <v>13276</v>
      </c>
      <c r="K10" s="5">
        <f t="shared" si="1"/>
        <v>98.014950062499992</v>
      </c>
      <c r="L10" s="5">
        <f t="shared" si="0"/>
        <v>0.98014950062499995</v>
      </c>
    </row>
    <row r="11" spans="1:12" ht="17.25">
      <c r="A11" s="271"/>
      <c r="B11" s="165" t="s">
        <v>182</v>
      </c>
      <c r="C11" s="205">
        <v>4901</v>
      </c>
      <c r="D11" s="205">
        <v>8375</v>
      </c>
      <c r="E11" s="22"/>
      <c r="F11" s="22"/>
      <c r="G11" s="22"/>
      <c r="H11" s="22"/>
      <c r="I11" s="25">
        <f t="shared" si="2"/>
        <v>13276</v>
      </c>
      <c r="K11" s="5">
        <f t="shared" si="1"/>
        <v>97.52487531218749</v>
      </c>
      <c r="L11" s="5">
        <f t="shared" si="0"/>
        <v>0.97524875312187487</v>
      </c>
    </row>
    <row r="12" spans="1:12" ht="17.25">
      <c r="A12" s="271"/>
      <c r="B12" s="165" t="s">
        <v>226</v>
      </c>
      <c r="C12" s="205">
        <v>4901</v>
      </c>
      <c r="D12" s="205">
        <v>8375</v>
      </c>
      <c r="E12" s="22"/>
      <c r="F12" s="22"/>
      <c r="G12" s="22"/>
      <c r="H12" s="22"/>
      <c r="I12" s="25">
        <f t="shared" si="2"/>
        <v>13276</v>
      </c>
    </row>
    <row r="13" spans="1:12" ht="17.25">
      <c r="A13" s="271"/>
      <c r="B13" s="165" t="s">
        <v>237</v>
      </c>
      <c r="C13" s="205">
        <v>4901</v>
      </c>
      <c r="D13" s="205">
        <v>8375</v>
      </c>
      <c r="E13" s="22"/>
      <c r="F13" s="22"/>
      <c r="G13" s="22"/>
      <c r="H13" s="22"/>
      <c r="I13" s="25">
        <f t="shared" si="2"/>
        <v>13276</v>
      </c>
    </row>
    <row r="14" spans="1:12" ht="17.25">
      <c r="A14" s="271"/>
      <c r="B14" s="165" t="s">
        <v>236</v>
      </c>
      <c r="C14" s="205">
        <v>4901</v>
      </c>
      <c r="D14" s="205">
        <v>8375</v>
      </c>
      <c r="E14" s="22"/>
      <c r="F14" s="22"/>
      <c r="G14" s="22"/>
      <c r="H14" s="22"/>
      <c r="I14" s="25">
        <f t="shared" si="2"/>
        <v>13276</v>
      </c>
    </row>
    <row r="15" spans="1:12" ht="17.25">
      <c r="A15" s="271"/>
      <c r="B15" s="160"/>
      <c r="C15" s="304"/>
      <c r="D15" s="304"/>
      <c r="E15" s="22"/>
      <c r="F15" s="22"/>
      <c r="G15" s="22"/>
      <c r="H15" s="22"/>
      <c r="I15" s="25">
        <f t="shared" ref="I15" si="3">SUM(C15:H15)</f>
        <v>0</v>
      </c>
    </row>
    <row r="16" spans="1:12" ht="17.25">
      <c r="A16" s="270" t="s">
        <v>16</v>
      </c>
      <c r="B16" s="270"/>
      <c r="C16" s="23">
        <f t="shared" ref="C16:I16" si="4">SUM(C9:C15)</f>
        <v>29406</v>
      </c>
      <c r="D16" s="23">
        <f t="shared" si="4"/>
        <v>50250</v>
      </c>
      <c r="E16" s="23">
        <f t="shared" si="4"/>
        <v>0</v>
      </c>
      <c r="F16" s="23">
        <f t="shared" si="4"/>
        <v>0</v>
      </c>
      <c r="G16" s="23">
        <f t="shared" si="4"/>
        <v>0</v>
      </c>
      <c r="H16" s="23">
        <f t="shared" si="4"/>
        <v>0</v>
      </c>
      <c r="I16" s="23">
        <f t="shared" si="4"/>
        <v>79656</v>
      </c>
    </row>
    <row r="17" spans="1:9">
      <c r="A17" s="24"/>
      <c r="B17" s="24"/>
      <c r="C17" s="24"/>
    </row>
    <row r="18" spans="1:9">
      <c r="B18" s="5" t="s">
        <v>286</v>
      </c>
      <c r="C18" s="151">
        <f>材料成本!D12</f>
        <v>21.797260650000002</v>
      </c>
      <c r="D18" s="151">
        <f>材料成本!E12</f>
        <v>0.24</v>
      </c>
      <c r="E18" s="151">
        <f>材料成本!F12</f>
        <v>0</v>
      </c>
      <c r="F18" s="151">
        <f>材料成本!G12</f>
        <v>0</v>
      </c>
      <c r="G18" s="151">
        <f>材料成本!H12</f>
        <v>0</v>
      </c>
      <c r="H18" s="151">
        <f>材料成本!I12</f>
        <v>0</v>
      </c>
      <c r="I18" s="24">
        <f t="shared" ref="I18:I19" si="5">SUM(C18:H18)</f>
        <v>22.03726065</v>
      </c>
    </row>
    <row r="19" spans="1:9">
      <c r="B19" s="5" t="s">
        <v>287</v>
      </c>
      <c r="C19" s="151">
        <f>C8-C18</f>
        <v>39.134186349999993</v>
      </c>
      <c r="D19" s="151">
        <f t="shared" ref="D19:H19" si="6">D8-D18</f>
        <v>1.509592111111111</v>
      </c>
      <c r="E19" s="151">
        <f t="shared" si="6"/>
        <v>0</v>
      </c>
      <c r="F19" s="151">
        <f t="shared" si="6"/>
        <v>0</v>
      </c>
      <c r="G19" s="151">
        <f t="shared" si="6"/>
        <v>0</v>
      </c>
      <c r="H19" s="151">
        <f t="shared" si="6"/>
        <v>0</v>
      </c>
      <c r="I19" s="24">
        <f t="shared" si="5"/>
        <v>40.643778461111104</v>
      </c>
    </row>
    <row r="20" spans="1:9">
      <c r="B20" s="5" t="s">
        <v>288</v>
      </c>
      <c r="C20" s="221">
        <f>C19/C8</f>
        <v>0.64226582949851818</v>
      </c>
      <c r="D20" s="221">
        <f t="shared" ref="D20:I20" si="7">D19/D8</f>
        <v>0.86282517023491634</v>
      </c>
      <c r="E20" s="221" t="e">
        <f t="shared" si="7"/>
        <v>#DIV/0!</v>
      </c>
      <c r="F20" s="221" t="e">
        <f t="shared" si="7"/>
        <v>#DIV/0!</v>
      </c>
      <c r="G20" s="221" t="e">
        <f t="shared" si="7"/>
        <v>#DIV/0!</v>
      </c>
      <c r="H20" s="221" t="e">
        <f t="shared" si="7"/>
        <v>#DIV/0!</v>
      </c>
      <c r="I20" s="221">
        <f t="shared" si="7"/>
        <v>0.64842221886373308</v>
      </c>
    </row>
  </sheetData>
  <mergeCells count="4">
    <mergeCell ref="A16:B16"/>
    <mergeCell ref="A5:A8"/>
    <mergeCell ref="A9:A15"/>
    <mergeCell ref="I5:I7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workbookViewId="0">
      <pane xSplit="3" ySplit="5" topLeftCell="D6" activePane="bottomRight" state="frozen"/>
      <selection pane="topRight"/>
      <selection pane="bottomLeft"/>
      <selection pane="bottomRight" activeCell="G20" sqref="G20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3.875" style="5" bestFit="1" customWidth="1"/>
    <col min="6" max="6" width="12.125" style="5" customWidth="1"/>
    <col min="7" max="9" width="14.375" style="5" customWidth="1"/>
    <col min="10" max="10" width="17.375" style="5" customWidth="1"/>
    <col min="11" max="11" width="16" style="5" customWidth="1"/>
    <col min="12" max="16384" width="9" style="5"/>
  </cols>
  <sheetData>
    <row r="1" spans="1:12" s="4" customFormat="1" ht="28.5" customHeight="1">
      <c r="A1" s="275" t="s">
        <v>6</v>
      </c>
      <c r="B1" s="275"/>
      <c r="C1" s="6"/>
      <c r="K1" s="13"/>
    </row>
    <row r="2" spans="1:12">
      <c r="A2" s="276" t="s">
        <v>192</v>
      </c>
      <c r="B2" s="276"/>
      <c r="C2" s="277"/>
      <c r="D2" s="277"/>
      <c r="E2" s="278" t="s">
        <v>255</v>
      </c>
      <c r="F2" s="279"/>
      <c r="G2" s="279"/>
      <c r="H2" s="279"/>
      <c r="I2" s="279"/>
      <c r="J2" s="280"/>
    </row>
    <row r="3" spans="1:12">
      <c r="A3" s="290" t="s">
        <v>15</v>
      </c>
      <c r="B3" s="290" t="s">
        <v>193</v>
      </c>
      <c r="C3" s="7" t="s">
        <v>194</v>
      </c>
      <c r="D3" s="281" t="str">
        <f>损益表!A1</f>
        <v>戴姆勒卡车集团补盲镜出口项目</v>
      </c>
      <c r="E3" s="281"/>
      <c r="F3" s="7" t="s">
        <v>195</v>
      </c>
      <c r="G3" s="293" t="s">
        <v>254</v>
      </c>
      <c r="H3" s="294"/>
      <c r="I3" s="295"/>
      <c r="J3" s="282" t="s">
        <v>149</v>
      </c>
    </row>
    <row r="4" spans="1:12">
      <c r="A4" s="290"/>
      <c r="B4" s="290"/>
      <c r="C4" s="7" t="s">
        <v>140</v>
      </c>
      <c r="D4" s="147" t="str">
        <f>销量!C5</f>
        <v>补盲镜</v>
      </c>
      <c r="E4" s="147" t="str">
        <f>销量!D5</f>
        <v>底座</v>
      </c>
      <c r="F4" s="147" t="str">
        <f>销量!E5</f>
        <v>2023年平均汇率</v>
      </c>
      <c r="G4" s="147">
        <f>销量!F5</f>
        <v>0</v>
      </c>
      <c r="H4" s="147">
        <f>销量!G5</f>
        <v>0</v>
      </c>
      <c r="I4" s="147">
        <f>销量!H5</f>
        <v>0</v>
      </c>
      <c r="J4" s="283"/>
    </row>
    <row r="5" spans="1:12">
      <c r="A5" s="290"/>
      <c r="B5" s="290"/>
      <c r="C5" s="7" t="s">
        <v>141</v>
      </c>
      <c r="D5" s="147" t="str">
        <f>销量!C6</f>
        <v>A9608100102</v>
      </c>
      <c r="E5" s="147" t="str">
        <f>销量!D6</f>
        <v>A0008110496</v>
      </c>
      <c r="F5" s="147" t="str">
        <f>销量!E6</f>
        <v>1欧元兑人民币</v>
      </c>
      <c r="G5" s="147">
        <f>销量!F6</f>
        <v>0</v>
      </c>
      <c r="H5" s="147">
        <f>销量!G6</f>
        <v>0</v>
      </c>
      <c r="I5" s="147">
        <f>销量!H6</f>
        <v>0</v>
      </c>
      <c r="J5" s="284"/>
    </row>
    <row r="6" spans="1:12" ht="16.5" customHeight="1">
      <c r="A6" s="10">
        <v>1</v>
      </c>
      <c r="B6" s="291" t="s">
        <v>227</v>
      </c>
      <c r="C6" s="292"/>
      <c r="D6" s="11">
        <v>21.797260650000002</v>
      </c>
      <c r="E6" s="11">
        <v>0.24</v>
      </c>
      <c r="F6" s="11"/>
      <c r="G6" s="11"/>
      <c r="H6" s="11"/>
      <c r="I6" s="11"/>
      <c r="J6" s="162"/>
    </row>
    <row r="7" spans="1:12" ht="16.5" customHeight="1">
      <c r="A7" s="10">
        <v>2</v>
      </c>
      <c r="B7" s="291"/>
      <c r="C7" s="292"/>
      <c r="D7" s="9"/>
      <c r="E7" s="9"/>
      <c r="F7" s="9"/>
      <c r="G7" s="9"/>
      <c r="H7" s="9"/>
      <c r="I7" s="9"/>
      <c r="J7" s="14"/>
    </row>
    <row r="8" spans="1:12" ht="16.5" customHeight="1">
      <c r="A8" s="10">
        <v>3</v>
      </c>
      <c r="B8" s="291"/>
      <c r="C8" s="292"/>
      <c r="D8" s="11"/>
      <c r="E8" s="9"/>
      <c r="F8" s="11"/>
      <c r="G8" s="9"/>
      <c r="H8" s="11"/>
      <c r="I8" s="11"/>
      <c r="J8" s="14"/>
    </row>
    <row r="9" spans="1:12">
      <c r="A9" s="10">
        <v>4</v>
      </c>
      <c r="B9" s="291"/>
      <c r="C9" s="292"/>
      <c r="D9" s="11"/>
      <c r="E9" s="9"/>
      <c r="F9" s="11"/>
      <c r="G9" s="9"/>
      <c r="H9" s="9"/>
      <c r="I9" s="9"/>
      <c r="J9" s="14"/>
    </row>
    <row r="10" spans="1:12" ht="16.5" customHeight="1">
      <c r="A10" s="10">
        <v>5</v>
      </c>
      <c r="B10" s="291"/>
      <c r="C10" s="292"/>
      <c r="D10" s="11"/>
      <c r="E10" s="9"/>
      <c r="F10" s="11"/>
      <c r="G10" s="9"/>
      <c r="H10" s="9"/>
      <c r="I10" s="9"/>
      <c r="J10" s="14"/>
      <c r="K10" s="285"/>
      <c r="L10" s="286"/>
    </row>
    <row r="11" spans="1:12" ht="16.5" customHeight="1">
      <c r="A11" s="10">
        <v>6</v>
      </c>
      <c r="B11" s="291"/>
      <c r="C11" s="292"/>
      <c r="D11" s="11"/>
      <c r="E11" s="9"/>
      <c r="F11" s="11"/>
      <c r="G11" s="9"/>
      <c r="H11" s="9"/>
      <c r="I11" s="9"/>
      <c r="J11" s="14"/>
      <c r="K11" s="285"/>
      <c r="L11" s="286"/>
    </row>
    <row r="12" spans="1:12" ht="23.25" customHeight="1">
      <c r="A12" s="287" t="s">
        <v>196</v>
      </c>
      <c r="B12" s="288"/>
      <c r="C12" s="289"/>
      <c r="D12" s="12">
        <f t="shared" ref="D12:I12" si="0">SUM(D6:D11)</f>
        <v>21.797260650000002</v>
      </c>
      <c r="E12" s="12">
        <f t="shared" si="0"/>
        <v>0.24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4"/>
    </row>
    <row r="13" spans="1:12" ht="15" customHeight="1">
      <c r="C13" s="5">
        <v>2024</v>
      </c>
      <c r="D13" s="151">
        <f>D12*0.995</f>
        <v>21.688274346750003</v>
      </c>
      <c r="E13" s="151">
        <f t="shared" ref="E13:I13" si="1">E12*0.995</f>
        <v>0.23879999999999998</v>
      </c>
      <c r="F13" s="151">
        <f t="shared" si="1"/>
        <v>0</v>
      </c>
      <c r="G13" s="151">
        <f t="shared" si="1"/>
        <v>0</v>
      </c>
      <c r="H13" s="151">
        <f t="shared" si="1"/>
        <v>0</v>
      </c>
      <c r="I13" s="151">
        <f t="shared" si="1"/>
        <v>0</v>
      </c>
    </row>
    <row r="14" spans="1:12" ht="15" customHeight="1">
      <c r="C14" s="5">
        <v>2025</v>
      </c>
      <c r="D14" s="151">
        <f t="shared" ref="D14:D17" si="2">D13*0.995</f>
        <v>21.579832975016252</v>
      </c>
      <c r="E14" s="151">
        <f t="shared" ref="E14:E17" si="3">E13*0.995</f>
        <v>0.23760599999999998</v>
      </c>
      <c r="F14" s="151">
        <f t="shared" ref="F14:F17" si="4">F13*0.995</f>
        <v>0</v>
      </c>
      <c r="G14" s="151">
        <f t="shared" ref="G14:G17" si="5">G13*0.995</f>
        <v>0</v>
      </c>
      <c r="H14" s="151">
        <f t="shared" ref="H14:H17" si="6">H13*0.995</f>
        <v>0</v>
      </c>
      <c r="I14" s="151">
        <f t="shared" ref="I14:I17" si="7">I13*0.995</f>
        <v>0</v>
      </c>
    </row>
    <row r="15" spans="1:12" ht="15" customHeight="1">
      <c r="C15" s="5">
        <v>2026</v>
      </c>
      <c r="D15" s="151">
        <f t="shared" si="2"/>
        <v>21.47193381014117</v>
      </c>
      <c r="E15" s="151">
        <f t="shared" si="3"/>
        <v>0.23641796999999998</v>
      </c>
      <c r="F15" s="151">
        <f t="shared" si="4"/>
        <v>0</v>
      </c>
      <c r="G15" s="151">
        <f t="shared" si="5"/>
        <v>0</v>
      </c>
      <c r="H15" s="151">
        <f t="shared" si="6"/>
        <v>0</v>
      </c>
      <c r="I15" s="151">
        <f t="shared" si="7"/>
        <v>0</v>
      </c>
    </row>
    <row r="16" spans="1:12" ht="15" customHeight="1">
      <c r="C16" s="5">
        <v>2027</v>
      </c>
      <c r="D16" s="151">
        <f t="shared" si="2"/>
        <v>21.364574141090465</v>
      </c>
      <c r="E16" s="151">
        <f t="shared" si="3"/>
        <v>0.23523588014999997</v>
      </c>
      <c r="F16" s="151">
        <f t="shared" si="4"/>
        <v>0</v>
      </c>
      <c r="G16" s="151">
        <f t="shared" si="5"/>
        <v>0</v>
      </c>
      <c r="H16" s="151">
        <f t="shared" si="6"/>
        <v>0</v>
      </c>
      <c r="I16" s="151">
        <f t="shared" si="7"/>
        <v>0</v>
      </c>
    </row>
    <row r="17" spans="3:9" ht="15" customHeight="1">
      <c r="C17" s="5">
        <v>2028</v>
      </c>
      <c r="D17" s="151">
        <f t="shared" si="2"/>
        <v>21.257751270385011</v>
      </c>
      <c r="E17" s="151">
        <f t="shared" si="3"/>
        <v>0.23405970074924998</v>
      </c>
      <c r="F17" s="151">
        <f t="shared" si="4"/>
        <v>0</v>
      </c>
      <c r="G17" s="151">
        <f t="shared" si="5"/>
        <v>0</v>
      </c>
      <c r="H17" s="151">
        <f t="shared" si="6"/>
        <v>0</v>
      </c>
      <c r="I17" s="151">
        <f t="shared" si="7"/>
        <v>0</v>
      </c>
    </row>
  </sheetData>
  <mergeCells count="17">
    <mergeCell ref="K10:L10"/>
    <mergeCell ref="K11:L11"/>
    <mergeCell ref="A12:C12"/>
    <mergeCell ref="A3:A5"/>
    <mergeCell ref="B3:B5"/>
    <mergeCell ref="B11:C11"/>
    <mergeCell ref="G3:I3"/>
    <mergeCell ref="B6:C6"/>
    <mergeCell ref="B7:C7"/>
    <mergeCell ref="B8:C8"/>
    <mergeCell ref="B9:C9"/>
    <mergeCell ref="B10:C10"/>
    <mergeCell ref="A1:B1"/>
    <mergeCell ref="A2:D2"/>
    <mergeCell ref="E2:J2"/>
    <mergeCell ref="D3:E3"/>
    <mergeCell ref="J3:J5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3" sqref="D13"/>
    </sheetView>
  </sheetViews>
  <sheetFormatPr defaultColWidth="9" defaultRowHeight="13.5"/>
  <cols>
    <col min="1" max="1" width="9" style="3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4" ht="27" customHeight="1">
      <c r="A1" s="208" t="s">
        <v>15</v>
      </c>
      <c r="B1" s="208" t="s">
        <v>197</v>
      </c>
      <c r="C1" s="208" t="s">
        <v>198</v>
      </c>
      <c r="D1" s="208" t="s">
        <v>199</v>
      </c>
    </row>
    <row r="2" spans="1:4">
      <c r="A2" s="208">
        <v>1</v>
      </c>
      <c r="B2" s="209" t="s">
        <v>200</v>
      </c>
      <c r="C2" s="210" t="s">
        <v>263</v>
      </c>
      <c r="D2" s="208"/>
    </row>
    <row r="3" spans="1:4">
      <c r="A3" s="208">
        <v>2</v>
      </c>
      <c r="B3" s="209" t="s">
        <v>201</v>
      </c>
      <c r="C3" s="211" t="s">
        <v>264</v>
      </c>
      <c r="D3" s="208" t="s">
        <v>265</v>
      </c>
    </row>
    <row r="4" spans="1:4">
      <c r="A4" s="208">
        <v>3</v>
      </c>
      <c r="B4" s="209" t="s">
        <v>202</v>
      </c>
      <c r="C4" s="210" t="s">
        <v>273</v>
      </c>
      <c r="D4" s="208" t="s">
        <v>274</v>
      </c>
    </row>
    <row r="5" spans="1:4">
      <c r="A5" s="208">
        <v>4</v>
      </c>
      <c r="B5" s="209" t="s">
        <v>203</v>
      </c>
      <c r="C5" s="210" t="s">
        <v>275</v>
      </c>
      <c r="D5" s="208"/>
    </row>
    <row r="6" spans="1:4">
      <c r="A6" s="208">
        <v>5</v>
      </c>
      <c r="B6" s="209" t="s">
        <v>204</v>
      </c>
      <c r="C6" s="210" t="s">
        <v>275</v>
      </c>
      <c r="D6" s="208"/>
    </row>
    <row r="7" spans="1:4">
      <c r="A7" s="208">
        <v>6</v>
      </c>
      <c r="B7" s="208" t="s">
        <v>205</v>
      </c>
      <c r="C7" s="211" t="s">
        <v>266</v>
      </c>
      <c r="D7" s="208"/>
    </row>
    <row r="8" spans="1:4">
      <c r="A8" s="208">
        <v>7</v>
      </c>
      <c r="B8" s="209" t="s">
        <v>206</v>
      </c>
      <c r="C8" s="212" t="s">
        <v>276</v>
      </c>
      <c r="D8" s="208"/>
    </row>
    <row r="9" spans="1:4">
      <c r="A9" s="208">
        <v>8</v>
      </c>
      <c r="B9" s="208" t="s">
        <v>207</v>
      </c>
      <c r="C9" s="212"/>
      <c r="D9" s="208"/>
    </row>
    <row r="10" spans="1:4">
      <c r="A10" s="208">
        <v>9</v>
      </c>
      <c r="B10" s="208" t="s">
        <v>208</v>
      </c>
      <c r="C10" s="212"/>
      <c r="D10" s="208"/>
    </row>
    <row r="11" spans="1:4">
      <c r="A11" s="208">
        <v>10</v>
      </c>
      <c r="B11" s="208" t="s">
        <v>209</v>
      </c>
      <c r="C11" s="212"/>
      <c r="D11" s="208" t="s">
        <v>267</v>
      </c>
    </row>
    <row r="12" spans="1:4">
      <c r="A12" s="208">
        <v>11</v>
      </c>
      <c r="B12" s="208" t="s">
        <v>210</v>
      </c>
      <c r="C12" s="212"/>
      <c r="D12" s="208"/>
    </row>
    <row r="13" spans="1:4" ht="54">
      <c r="A13" s="208">
        <v>12</v>
      </c>
      <c r="B13" s="209" t="s">
        <v>268</v>
      </c>
      <c r="C13" s="213" t="s">
        <v>279</v>
      </c>
      <c r="D13" s="208"/>
    </row>
    <row r="14" spans="1:4">
      <c r="A14" s="208">
        <v>13</v>
      </c>
      <c r="B14" s="209" t="s">
        <v>269</v>
      </c>
      <c r="C14" s="212" t="s">
        <v>270</v>
      </c>
      <c r="D14" s="208"/>
    </row>
    <row r="15" spans="1:4">
      <c r="A15" s="208">
        <v>14</v>
      </c>
      <c r="B15" s="209" t="s">
        <v>271</v>
      </c>
      <c r="C15" s="212" t="s">
        <v>272</v>
      </c>
      <c r="D15" s="208"/>
    </row>
    <row r="16" spans="1:4">
      <c r="A16" s="208">
        <v>15</v>
      </c>
      <c r="B16" s="208" t="s">
        <v>277</v>
      </c>
      <c r="C16" s="208"/>
      <c r="D16" s="208"/>
    </row>
    <row r="17" spans="2:2" ht="16.5">
      <c r="B17" s="214" t="s">
        <v>278</v>
      </c>
    </row>
  </sheetData>
  <phoneticPr fontId="3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78"/>
  <sheetViews>
    <sheetView workbookViewId="0">
      <selection activeCell="L14" sqref="L14"/>
    </sheetView>
  </sheetViews>
  <sheetFormatPr defaultColWidth="9" defaultRowHeight="13.5"/>
  <cols>
    <col min="1" max="2" width="9" style="65"/>
    <col min="3" max="3" width="8.5" style="224" customWidth="1"/>
    <col min="4" max="4" width="10.875" style="224" customWidth="1"/>
    <col min="5" max="5" width="11.125" style="65" hidden="1" customWidth="1"/>
    <col min="6" max="7" width="11.125" style="65" customWidth="1"/>
    <col min="8" max="8" width="11.5" style="141" customWidth="1"/>
    <col min="9" max="9" width="3.25" style="141" customWidth="1"/>
    <col min="10" max="10" width="9.25" style="141" customWidth="1"/>
    <col min="11" max="11" width="10.25" style="141" customWidth="1"/>
    <col min="12" max="12" width="10.125" style="65" customWidth="1"/>
    <col min="13" max="13" width="9.875" style="65" customWidth="1"/>
    <col min="14" max="14" width="10.5" style="65" customWidth="1"/>
    <col min="15" max="16384" width="9" style="65"/>
  </cols>
  <sheetData>
    <row r="1" spans="1:15" s="138" customFormat="1" ht="18.75" customHeight="1">
      <c r="C1" s="222"/>
      <c r="D1" s="222"/>
      <c r="F1" s="301" t="s">
        <v>211</v>
      </c>
      <c r="G1" s="301"/>
      <c r="H1" s="139"/>
      <c r="I1" s="139"/>
      <c r="J1" s="139"/>
      <c r="K1" s="139"/>
    </row>
    <row r="2" spans="1:15" ht="13.5" customHeight="1">
      <c r="A2" s="302" t="s">
        <v>212</v>
      </c>
      <c r="B2" s="302"/>
      <c r="C2" s="296" t="s">
        <v>213</v>
      </c>
      <c r="D2" s="303"/>
      <c r="E2" s="303"/>
      <c r="F2" s="303"/>
      <c r="G2" s="297"/>
      <c r="H2" s="140" t="s">
        <v>220</v>
      </c>
      <c r="I2" s="140"/>
      <c r="J2" s="140"/>
      <c r="K2" s="140"/>
      <c r="M2" s="154"/>
      <c r="N2" s="154"/>
    </row>
    <row r="3" spans="1:15" ht="34.5" customHeight="1">
      <c r="A3" s="302"/>
      <c r="B3" s="302"/>
      <c r="C3" s="145" t="s">
        <v>221</v>
      </c>
      <c r="D3" s="145" t="s">
        <v>222</v>
      </c>
      <c r="E3" s="145" t="s">
        <v>225</v>
      </c>
      <c r="F3" s="145" t="s">
        <v>224</v>
      </c>
      <c r="G3" s="145" t="s">
        <v>223</v>
      </c>
      <c r="H3" s="149">
        <f>销量!C8</f>
        <v>60.931446999999999</v>
      </c>
      <c r="I3" s="181"/>
      <c r="J3" s="227" t="s">
        <v>289</v>
      </c>
      <c r="K3" s="227" t="s">
        <v>290</v>
      </c>
      <c r="L3" s="180" t="s">
        <v>241</v>
      </c>
      <c r="M3" s="228" t="s">
        <v>249</v>
      </c>
      <c r="N3" s="228" t="s">
        <v>250</v>
      </c>
      <c r="O3" s="229" t="s">
        <v>291</v>
      </c>
    </row>
    <row r="4" spans="1:15" ht="11.25" customHeight="1">
      <c r="A4" s="298" t="s">
        <v>214</v>
      </c>
      <c r="B4" s="298"/>
      <c r="C4" s="225"/>
      <c r="D4" s="223">
        <f>$H$3*F4</f>
        <v>3.1618396374672373</v>
      </c>
      <c r="E4" s="185">
        <v>5.6219986372455351E-2</v>
      </c>
      <c r="F4" s="188">
        <v>5.1891753653367817E-2</v>
      </c>
      <c r="G4" s="142"/>
      <c r="J4" s="141">
        <v>0.11070000000000001</v>
      </c>
      <c r="K4" s="141">
        <v>0.219</v>
      </c>
      <c r="L4" s="153">
        <v>4.5100000000000001E-2</v>
      </c>
      <c r="M4" s="184">
        <v>2.5100000000000001E-2</v>
      </c>
      <c r="N4" s="184">
        <v>5.1891753653367817E-2</v>
      </c>
      <c r="O4" s="153">
        <v>4.7300000000000002E-2</v>
      </c>
    </row>
    <row r="5" spans="1:15" ht="33" customHeight="1">
      <c r="A5" s="298" t="s">
        <v>215</v>
      </c>
      <c r="B5" s="143" t="s">
        <v>216</v>
      </c>
      <c r="C5" s="225"/>
      <c r="D5" s="223">
        <f t="shared" ref="D5:D6" si="0">$H$3*F5</f>
        <v>4.6673488401999998</v>
      </c>
      <c r="E5" s="186">
        <v>4.4999999999999998E-2</v>
      </c>
      <c r="F5" s="188">
        <v>7.6600000000000001E-2</v>
      </c>
      <c r="G5" s="142"/>
      <c r="H5" s="230" t="s">
        <v>248</v>
      </c>
      <c r="J5" s="141">
        <v>1.6400000000000001E-2</v>
      </c>
      <c r="K5" s="141">
        <v>0.75849999999999995</v>
      </c>
      <c r="L5" s="153">
        <v>5.0999999999999997E-2</v>
      </c>
      <c r="M5" s="184">
        <v>3.0300000000000001E-2</v>
      </c>
      <c r="N5" s="184">
        <v>7.6600000000000001E-2</v>
      </c>
      <c r="O5" s="153">
        <v>4.8099999999999997E-2</v>
      </c>
    </row>
    <row r="6" spans="1:15" ht="11.25" customHeight="1">
      <c r="A6" s="298"/>
      <c r="B6" s="143" t="s">
        <v>217</v>
      </c>
      <c r="C6" s="225"/>
      <c r="D6" s="223">
        <f t="shared" si="0"/>
        <v>3.6497936753000002</v>
      </c>
      <c r="E6" s="185">
        <v>1.5075989601076605E-2</v>
      </c>
      <c r="F6" s="188">
        <v>5.9900000000000002E-2</v>
      </c>
      <c r="G6" s="142"/>
      <c r="J6" s="141">
        <v>3.4000000000000002E-2</v>
      </c>
      <c r="K6" s="141">
        <v>5.9900000000000002E-2</v>
      </c>
      <c r="L6" s="153">
        <v>4.6300000000000001E-2</v>
      </c>
      <c r="M6" s="184">
        <v>6.1000000000000004E-3</v>
      </c>
      <c r="N6" s="184">
        <v>9.0513005545788342E-3</v>
      </c>
      <c r="O6" s="153">
        <v>1.47E-2</v>
      </c>
    </row>
    <row r="7" spans="1:15" ht="11.25" customHeight="1">
      <c r="A7" s="296" t="s">
        <v>218</v>
      </c>
      <c r="B7" s="297"/>
      <c r="C7" s="226"/>
      <c r="D7" s="223">
        <f>$H$3*F7</f>
        <v>11.478982152967237</v>
      </c>
      <c r="E7" s="187">
        <f>SUM(E4:E6)</f>
        <v>0.11629597597353196</v>
      </c>
      <c r="F7" s="188">
        <f>F4+F5+F6</f>
        <v>0.18839175365336783</v>
      </c>
      <c r="G7" s="144"/>
      <c r="L7" s="152"/>
      <c r="M7" s="66"/>
      <c r="N7" s="184"/>
    </row>
    <row r="8" spans="1:15" ht="11.25" customHeight="1">
      <c r="A8" s="298" t="s">
        <v>46</v>
      </c>
      <c r="B8" s="298"/>
      <c r="C8" s="225"/>
      <c r="D8" s="223">
        <f>$H$3*F8</f>
        <v>3.8935194632999997</v>
      </c>
      <c r="E8" s="153">
        <v>1.89E-2</v>
      </c>
      <c r="F8" s="188">
        <v>6.3899999999999998E-2</v>
      </c>
      <c r="G8" s="142"/>
      <c r="J8" s="141">
        <v>1.67E-2</v>
      </c>
      <c r="K8" s="141">
        <v>6.3899999999999998E-2</v>
      </c>
      <c r="L8" s="153">
        <v>1.89E-2</v>
      </c>
      <c r="M8" s="184">
        <v>4.2900000000000001E-2</v>
      </c>
      <c r="N8" s="184">
        <v>3.4700000000000002E-2</v>
      </c>
      <c r="O8" s="153">
        <v>7.6399999999999996E-2</v>
      </c>
    </row>
    <row r="9" spans="1:15" ht="11.25" customHeight="1">
      <c r="A9" s="299" t="s">
        <v>219</v>
      </c>
      <c r="B9" s="143" t="s">
        <v>216</v>
      </c>
      <c r="C9" s="225"/>
      <c r="D9" s="223">
        <f t="shared" ref="D9:D11" si="1">$H$3*F9</f>
        <v>0.88959912620000003</v>
      </c>
      <c r="E9" s="186">
        <v>7.0000000000000001E-3</v>
      </c>
      <c r="F9" s="188">
        <v>1.46E-2</v>
      </c>
      <c r="G9" s="142"/>
      <c r="J9" s="141">
        <v>3.7400000000000003E-2</v>
      </c>
      <c r="K9" s="141">
        <v>1.46E-2</v>
      </c>
      <c r="L9" s="141">
        <v>9.4999999999999998E-3</v>
      </c>
      <c r="M9" s="184">
        <v>5.1000000000000004E-3</v>
      </c>
      <c r="N9" s="184">
        <v>3.3999999999999998E-3</v>
      </c>
      <c r="O9" s="153">
        <v>8.0999999999999996E-3</v>
      </c>
    </row>
    <row r="10" spans="1:15" ht="11.25" customHeight="1">
      <c r="A10" s="300"/>
      <c r="B10" s="143" t="s">
        <v>217</v>
      </c>
      <c r="C10" s="225"/>
      <c r="D10" s="233">
        <v>15.29</v>
      </c>
      <c r="E10" s="141">
        <f>2.8%+1.2%</f>
        <v>3.9999999999999994E-2</v>
      </c>
      <c r="F10" s="188"/>
      <c r="G10" s="142"/>
      <c r="H10" s="140" t="s">
        <v>294</v>
      </c>
      <c r="J10" s="141">
        <v>5.8999999999999997E-2</v>
      </c>
      <c r="K10" s="141">
        <v>4.7E-2</v>
      </c>
      <c r="L10" s="141">
        <v>4.1300000000000003E-2</v>
      </c>
      <c r="M10" s="184">
        <v>1.49E-2</v>
      </c>
      <c r="N10" s="184">
        <v>1.0999999999999999E-2</v>
      </c>
      <c r="O10" s="141">
        <v>7.9000000000000008E-3</v>
      </c>
    </row>
    <row r="11" spans="1:15" ht="11.25" customHeight="1">
      <c r="A11" s="298" t="s">
        <v>49</v>
      </c>
      <c r="B11" s="298"/>
      <c r="C11" s="225"/>
      <c r="D11" s="223">
        <f t="shared" si="1"/>
        <v>3.0465723499999999</v>
      </c>
      <c r="E11" s="186">
        <v>0.04</v>
      </c>
      <c r="F11" s="188">
        <v>0.05</v>
      </c>
      <c r="G11" s="142"/>
      <c r="J11" s="141">
        <v>3.44E-2</v>
      </c>
      <c r="L11" s="141">
        <v>4.7199999999999999E-2</v>
      </c>
      <c r="M11" s="66">
        <v>0</v>
      </c>
      <c r="N11" s="184">
        <v>0</v>
      </c>
      <c r="O11" s="141">
        <v>2.8999999999999998E-3</v>
      </c>
    </row>
    <row r="15" spans="1:15">
      <c r="A15" s="138"/>
      <c r="B15" s="138"/>
      <c r="C15" s="222"/>
      <c r="D15" s="222"/>
      <c r="E15" s="138"/>
      <c r="F15" s="301" t="s">
        <v>211</v>
      </c>
      <c r="G15" s="301"/>
      <c r="H15" s="139"/>
      <c r="I15" s="139"/>
      <c r="J15" s="139"/>
      <c r="K15" s="139"/>
    </row>
    <row r="16" spans="1:15">
      <c r="A16" s="302" t="s">
        <v>212</v>
      </c>
      <c r="B16" s="302"/>
      <c r="C16" s="296" t="s">
        <v>213</v>
      </c>
      <c r="D16" s="303"/>
      <c r="E16" s="303"/>
      <c r="F16" s="303"/>
      <c r="G16" s="297"/>
      <c r="H16" s="140" t="s">
        <v>220</v>
      </c>
      <c r="I16" s="140"/>
      <c r="J16" s="140"/>
      <c r="K16" s="140"/>
    </row>
    <row r="17" spans="1:11" ht="27">
      <c r="A17" s="302"/>
      <c r="B17" s="302"/>
      <c r="C17" s="145" t="s">
        <v>221</v>
      </c>
      <c r="D17" s="145" t="s">
        <v>222</v>
      </c>
      <c r="E17" s="145" t="s">
        <v>225</v>
      </c>
      <c r="F17" s="145" t="s">
        <v>224</v>
      </c>
      <c r="G17" s="145" t="s">
        <v>223</v>
      </c>
      <c r="H17" s="149">
        <f>销量!D8</f>
        <v>1.749592111111111</v>
      </c>
      <c r="I17" s="149"/>
      <c r="J17" s="149"/>
      <c r="K17" s="149"/>
    </row>
    <row r="18" spans="1:11">
      <c r="A18" s="298" t="s">
        <v>214</v>
      </c>
      <c r="B18" s="298"/>
      <c r="C18" s="225"/>
      <c r="D18" s="223">
        <f>$H$17*F18</f>
        <v>9.0789402823653512E-2</v>
      </c>
      <c r="E18" s="177">
        <v>5.6219986372455351E-2</v>
      </c>
      <c r="F18" s="142">
        <f t="shared" ref="F18:F25" si="2">F4</f>
        <v>5.1891753653367817E-2</v>
      </c>
      <c r="G18" s="142"/>
    </row>
    <row r="19" spans="1:11">
      <c r="A19" s="298" t="s">
        <v>215</v>
      </c>
      <c r="B19" s="161" t="s">
        <v>216</v>
      </c>
      <c r="C19" s="225"/>
      <c r="D19" s="223">
        <f t="shared" ref="D19:D25" si="3">$H$17*F19</f>
        <v>0.1340187557111111</v>
      </c>
      <c r="E19" s="142">
        <v>4.4999999999999998E-2</v>
      </c>
      <c r="F19" s="142">
        <f t="shared" si="2"/>
        <v>7.6600000000000001E-2</v>
      </c>
      <c r="G19" s="142"/>
    </row>
    <row r="20" spans="1:11">
      <c r="A20" s="298"/>
      <c r="B20" s="161" t="s">
        <v>217</v>
      </c>
      <c r="C20" s="225"/>
      <c r="D20" s="223">
        <f t="shared" si="3"/>
        <v>0.10480056745555555</v>
      </c>
      <c r="E20" s="177">
        <v>1.5075989601076605E-2</v>
      </c>
      <c r="F20" s="142">
        <f t="shared" si="2"/>
        <v>5.9900000000000002E-2</v>
      </c>
      <c r="G20" s="142"/>
    </row>
    <row r="21" spans="1:11">
      <c r="A21" s="296" t="s">
        <v>218</v>
      </c>
      <c r="B21" s="297"/>
      <c r="C21" s="226"/>
      <c r="D21" s="223">
        <f t="shared" si="3"/>
        <v>0.32960872599032015</v>
      </c>
      <c r="E21" s="178">
        <f>SUM(E18:E20)</f>
        <v>0.11629597597353196</v>
      </c>
      <c r="F21" s="142">
        <f t="shared" si="2"/>
        <v>0.18839175365336783</v>
      </c>
      <c r="G21" s="144"/>
    </row>
    <row r="22" spans="1:11">
      <c r="A22" s="298" t="s">
        <v>46</v>
      </c>
      <c r="B22" s="298"/>
      <c r="C22" s="225"/>
      <c r="D22" s="223">
        <f t="shared" si="3"/>
        <v>0.11179893589999999</v>
      </c>
      <c r="E22" s="179">
        <v>0.03</v>
      </c>
      <c r="F22" s="142">
        <f t="shared" si="2"/>
        <v>6.3899999999999998E-2</v>
      </c>
      <c r="G22" s="142"/>
    </row>
    <row r="23" spans="1:11">
      <c r="A23" s="299" t="s">
        <v>219</v>
      </c>
      <c r="B23" s="161" t="s">
        <v>216</v>
      </c>
      <c r="C23" s="225"/>
      <c r="D23" s="223">
        <f t="shared" si="3"/>
        <v>2.5544044822222223E-2</v>
      </c>
      <c r="E23" s="142">
        <v>7.0000000000000001E-3</v>
      </c>
      <c r="F23" s="142">
        <f t="shared" si="2"/>
        <v>1.46E-2</v>
      </c>
      <c r="G23" s="142"/>
    </row>
    <row r="24" spans="1:11">
      <c r="A24" s="300"/>
      <c r="B24" s="161" t="s">
        <v>217</v>
      </c>
      <c r="C24" s="225"/>
      <c r="D24" s="233">
        <v>0.84</v>
      </c>
      <c r="E24" s="141">
        <f>2.8%+1.2%</f>
        <v>3.9999999999999994E-2</v>
      </c>
      <c r="F24" s="142">
        <f t="shared" si="2"/>
        <v>0</v>
      </c>
      <c r="G24" s="142"/>
    </row>
    <row r="25" spans="1:11">
      <c r="A25" s="298" t="s">
        <v>49</v>
      </c>
      <c r="B25" s="298"/>
      <c r="C25" s="225"/>
      <c r="D25" s="223">
        <f t="shared" si="3"/>
        <v>8.7479605555555562E-2</v>
      </c>
      <c r="E25" s="142">
        <v>0.04</v>
      </c>
      <c r="F25" s="142">
        <f t="shared" si="2"/>
        <v>0.05</v>
      </c>
      <c r="G25" s="142"/>
    </row>
    <row r="29" spans="1:11">
      <c r="A29" s="138"/>
      <c r="B29" s="138"/>
      <c r="C29" s="222"/>
      <c r="D29" s="222"/>
      <c r="E29" s="138"/>
      <c r="F29" s="301" t="s">
        <v>211</v>
      </c>
      <c r="G29" s="301"/>
      <c r="H29" s="139"/>
      <c r="I29" s="139"/>
      <c r="J29" s="139"/>
      <c r="K29" s="139"/>
    </row>
    <row r="30" spans="1:11">
      <c r="A30" s="302" t="s">
        <v>212</v>
      </c>
      <c r="B30" s="302"/>
      <c r="C30" s="296" t="s">
        <v>213</v>
      </c>
      <c r="D30" s="303"/>
      <c r="E30" s="303"/>
      <c r="F30" s="303"/>
      <c r="G30" s="297"/>
      <c r="H30" s="140" t="s">
        <v>220</v>
      </c>
      <c r="I30" s="140"/>
      <c r="J30" s="140"/>
      <c r="K30" s="140"/>
    </row>
    <row r="31" spans="1:11" ht="27">
      <c r="A31" s="302"/>
      <c r="B31" s="302"/>
      <c r="C31" s="145" t="s">
        <v>221</v>
      </c>
      <c r="D31" s="145" t="s">
        <v>222</v>
      </c>
      <c r="E31" s="145" t="s">
        <v>225</v>
      </c>
      <c r="F31" s="145" t="s">
        <v>224</v>
      </c>
      <c r="G31" s="145" t="s">
        <v>223</v>
      </c>
      <c r="H31" s="149">
        <f>销量!E8</f>
        <v>0</v>
      </c>
      <c r="I31" s="149"/>
      <c r="J31" s="149"/>
      <c r="K31" s="149"/>
    </row>
    <row r="32" spans="1:11">
      <c r="A32" s="298" t="s">
        <v>214</v>
      </c>
      <c r="B32" s="298"/>
      <c r="C32" s="225"/>
      <c r="D32" s="223">
        <f>$H$31*F32</f>
        <v>0</v>
      </c>
      <c r="E32" s="177">
        <v>5.6219986372455351E-2</v>
      </c>
      <c r="F32" s="142">
        <f t="shared" ref="F32:F39" si="4">F4</f>
        <v>5.1891753653367817E-2</v>
      </c>
      <c r="G32" s="142"/>
    </row>
    <row r="33" spans="1:11">
      <c r="A33" s="298" t="s">
        <v>215</v>
      </c>
      <c r="B33" s="161" t="s">
        <v>216</v>
      </c>
      <c r="C33" s="225"/>
      <c r="D33" s="223">
        <f t="shared" ref="D33:D39" si="5">$H$31*F33</f>
        <v>0</v>
      </c>
      <c r="E33" s="142">
        <v>4.4999999999999998E-2</v>
      </c>
      <c r="F33" s="142">
        <f t="shared" si="4"/>
        <v>7.6600000000000001E-2</v>
      </c>
      <c r="G33" s="142"/>
    </row>
    <row r="34" spans="1:11">
      <c r="A34" s="298"/>
      <c r="B34" s="161" t="s">
        <v>217</v>
      </c>
      <c r="C34" s="225"/>
      <c r="D34" s="223">
        <f t="shared" si="5"/>
        <v>0</v>
      </c>
      <c r="E34" s="177">
        <v>1.5075989601076605E-2</v>
      </c>
      <c r="F34" s="142">
        <f t="shared" si="4"/>
        <v>5.9900000000000002E-2</v>
      </c>
      <c r="G34" s="142"/>
    </row>
    <row r="35" spans="1:11">
      <c r="A35" s="296" t="s">
        <v>218</v>
      </c>
      <c r="B35" s="297"/>
      <c r="C35" s="226"/>
      <c r="D35" s="223">
        <f t="shared" si="5"/>
        <v>0</v>
      </c>
      <c r="E35" s="178">
        <f>SUM(E32:E34)</f>
        <v>0.11629597597353196</v>
      </c>
      <c r="F35" s="142">
        <f t="shared" si="4"/>
        <v>0.18839175365336783</v>
      </c>
      <c r="G35" s="144"/>
    </row>
    <row r="36" spans="1:11">
      <c r="A36" s="298" t="s">
        <v>46</v>
      </c>
      <c r="B36" s="298"/>
      <c r="C36" s="225"/>
      <c r="D36" s="223">
        <f t="shared" si="5"/>
        <v>0</v>
      </c>
      <c r="E36" s="179">
        <v>0.03</v>
      </c>
      <c r="F36" s="142">
        <f t="shared" si="4"/>
        <v>6.3899999999999998E-2</v>
      </c>
      <c r="G36" s="142"/>
    </row>
    <row r="37" spans="1:11">
      <c r="A37" s="299" t="s">
        <v>219</v>
      </c>
      <c r="B37" s="161" t="s">
        <v>216</v>
      </c>
      <c r="C37" s="225"/>
      <c r="D37" s="223">
        <f t="shared" si="5"/>
        <v>0</v>
      </c>
      <c r="E37" s="142">
        <v>7.0000000000000001E-3</v>
      </c>
      <c r="F37" s="142">
        <f t="shared" si="4"/>
        <v>1.46E-2</v>
      </c>
      <c r="G37" s="142"/>
    </row>
    <row r="38" spans="1:11">
      <c r="A38" s="300"/>
      <c r="B38" s="161" t="s">
        <v>217</v>
      </c>
      <c r="C38" s="225"/>
      <c r="D38" s="223">
        <f t="shared" si="5"/>
        <v>0</v>
      </c>
      <c r="E38" s="141">
        <f>2.8%+1.2%</f>
        <v>3.9999999999999994E-2</v>
      </c>
      <c r="F38" s="142">
        <f t="shared" si="4"/>
        <v>0</v>
      </c>
      <c r="G38" s="142"/>
    </row>
    <row r="39" spans="1:11">
      <c r="A39" s="298" t="s">
        <v>49</v>
      </c>
      <c r="B39" s="298"/>
      <c r="C39" s="225"/>
      <c r="D39" s="223">
        <f t="shared" si="5"/>
        <v>0</v>
      </c>
      <c r="E39" s="142">
        <v>0.04</v>
      </c>
      <c r="F39" s="142">
        <f t="shared" si="4"/>
        <v>0.05</v>
      </c>
      <c r="G39" s="142"/>
    </row>
    <row r="42" spans="1:11">
      <c r="A42" s="138"/>
      <c r="B42" s="138"/>
      <c r="C42" s="222"/>
      <c r="D42" s="222"/>
      <c r="E42" s="138"/>
      <c r="F42" s="301" t="s">
        <v>211</v>
      </c>
      <c r="G42" s="301"/>
      <c r="H42" s="139"/>
      <c r="I42" s="139"/>
      <c r="J42" s="139"/>
      <c r="K42" s="139"/>
    </row>
    <row r="43" spans="1:11">
      <c r="A43" s="302" t="s">
        <v>212</v>
      </c>
      <c r="B43" s="302"/>
      <c r="C43" s="296" t="s">
        <v>213</v>
      </c>
      <c r="D43" s="303"/>
      <c r="E43" s="303"/>
      <c r="F43" s="303"/>
      <c r="G43" s="297"/>
      <c r="H43" s="140" t="s">
        <v>220</v>
      </c>
      <c r="I43" s="140"/>
      <c r="J43" s="140"/>
      <c r="K43" s="140"/>
    </row>
    <row r="44" spans="1:11" ht="27">
      <c r="A44" s="302"/>
      <c r="B44" s="302"/>
      <c r="C44" s="145" t="s">
        <v>221</v>
      </c>
      <c r="D44" s="145" t="s">
        <v>222</v>
      </c>
      <c r="E44" s="145" t="s">
        <v>225</v>
      </c>
      <c r="F44" s="145" t="s">
        <v>224</v>
      </c>
      <c r="G44" s="145" t="s">
        <v>223</v>
      </c>
      <c r="H44" s="149">
        <f>销量!F8</f>
        <v>0</v>
      </c>
      <c r="I44" s="149"/>
      <c r="J44" s="149"/>
      <c r="K44" s="149"/>
    </row>
    <row r="45" spans="1:11">
      <c r="A45" s="298" t="s">
        <v>214</v>
      </c>
      <c r="B45" s="298"/>
      <c r="C45" s="225"/>
      <c r="D45" s="223">
        <f>$H$44*F45</f>
        <v>0</v>
      </c>
      <c r="E45" s="177">
        <v>5.6219986372455351E-2</v>
      </c>
      <c r="F45" s="142">
        <f t="shared" ref="F45:F52" si="6">F4</f>
        <v>5.1891753653367817E-2</v>
      </c>
      <c r="G45" s="142"/>
    </row>
    <row r="46" spans="1:11">
      <c r="A46" s="298" t="s">
        <v>215</v>
      </c>
      <c r="B46" s="161" t="s">
        <v>216</v>
      </c>
      <c r="C46" s="225"/>
      <c r="D46" s="223">
        <f t="shared" ref="D46:D52" si="7">$H$44*F46</f>
        <v>0</v>
      </c>
      <c r="E46" s="142">
        <v>4.4999999999999998E-2</v>
      </c>
      <c r="F46" s="142">
        <f t="shared" si="6"/>
        <v>7.6600000000000001E-2</v>
      </c>
      <c r="G46" s="142"/>
    </row>
    <row r="47" spans="1:11">
      <c r="A47" s="298"/>
      <c r="B47" s="161" t="s">
        <v>217</v>
      </c>
      <c r="C47" s="225"/>
      <c r="D47" s="223">
        <f t="shared" si="7"/>
        <v>0</v>
      </c>
      <c r="E47" s="177">
        <v>1.5075989601076605E-2</v>
      </c>
      <c r="F47" s="142">
        <f t="shared" si="6"/>
        <v>5.9900000000000002E-2</v>
      </c>
      <c r="G47" s="142"/>
    </row>
    <row r="48" spans="1:11">
      <c r="A48" s="296" t="s">
        <v>218</v>
      </c>
      <c r="B48" s="297"/>
      <c r="C48" s="226"/>
      <c r="D48" s="223">
        <f t="shared" si="7"/>
        <v>0</v>
      </c>
      <c r="E48" s="178">
        <f>SUM(E45:E47)</f>
        <v>0.11629597597353196</v>
      </c>
      <c r="F48" s="142">
        <f t="shared" si="6"/>
        <v>0.18839175365336783</v>
      </c>
      <c r="G48" s="144"/>
    </row>
    <row r="49" spans="1:11">
      <c r="A49" s="298" t="s">
        <v>46</v>
      </c>
      <c r="B49" s="298"/>
      <c r="C49" s="225"/>
      <c r="D49" s="223">
        <f t="shared" si="7"/>
        <v>0</v>
      </c>
      <c r="E49" s="179">
        <v>0.03</v>
      </c>
      <c r="F49" s="142">
        <f t="shared" si="6"/>
        <v>6.3899999999999998E-2</v>
      </c>
      <c r="G49" s="142"/>
    </row>
    <row r="50" spans="1:11">
      <c r="A50" s="299" t="s">
        <v>219</v>
      </c>
      <c r="B50" s="161" t="s">
        <v>216</v>
      </c>
      <c r="C50" s="225"/>
      <c r="D50" s="223">
        <f t="shared" si="7"/>
        <v>0</v>
      </c>
      <c r="E50" s="142">
        <v>7.0000000000000001E-3</v>
      </c>
      <c r="F50" s="142">
        <f t="shared" si="6"/>
        <v>1.46E-2</v>
      </c>
      <c r="G50" s="142"/>
    </row>
    <row r="51" spans="1:11">
      <c r="A51" s="300"/>
      <c r="B51" s="161" t="s">
        <v>217</v>
      </c>
      <c r="C51" s="225"/>
      <c r="D51" s="223">
        <f t="shared" si="7"/>
        <v>0</v>
      </c>
      <c r="E51" s="141">
        <f>2.8%+1.2%</f>
        <v>3.9999999999999994E-2</v>
      </c>
      <c r="F51" s="142">
        <f t="shared" si="6"/>
        <v>0</v>
      </c>
      <c r="G51" s="142"/>
    </row>
    <row r="52" spans="1:11">
      <c r="A52" s="298" t="s">
        <v>49</v>
      </c>
      <c r="B52" s="298"/>
      <c r="C52" s="225"/>
      <c r="D52" s="223">
        <f t="shared" si="7"/>
        <v>0</v>
      </c>
      <c r="E52" s="142">
        <v>0.04</v>
      </c>
      <c r="F52" s="142">
        <f t="shared" si="6"/>
        <v>0.05</v>
      </c>
      <c r="G52" s="142"/>
    </row>
    <row r="55" spans="1:11">
      <c r="A55" s="138"/>
      <c r="B55" s="138"/>
      <c r="C55" s="222"/>
      <c r="D55" s="222"/>
      <c r="E55" s="138"/>
      <c r="F55" s="301" t="s">
        <v>211</v>
      </c>
      <c r="G55" s="301"/>
      <c r="H55" s="139"/>
      <c r="I55" s="139"/>
      <c r="J55" s="139"/>
      <c r="K55" s="139"/>
    </row>
    <row r="56" spans="1:11">
      <c r="A56" s="302" t="s">
        <v>212</v>
      </c>
      <c r="B56" s="302"/>
      <c r="C56" s="296" t="s">
        <v>213</v>
      </c>
      <c r="D56" s="303"/>
      <c r="E56" s="303"/>
      <c r="F56" s="303"/>
      <c r="G56" s="297"/>
      <c r="H56" s="140" t="s">
        <v>220</v>
      </c>
      <c r="I56" s="140"/>
      <c r="J56" s="140"/>
      <c r="K56" s="140"/>
    </row>
    <row r="57" spans="1:11" ht="27">
      <c r="A57" s="302"/>
      <c r="B57" s="302"/>
      <c r="C57" s="145" t="s">
        <v>221</v>
      </c>
      <c r="D57" s="145" t="s">
        <v>222</v>
      </c>
      <c r="E57" s="145" t="s">
        <v>225</v>
      </c>
      <c r="F57" s="145" t="s">
        <v>224</v>
      </c>
      <c r="G57" s="145" t="s">
        <v>223</v>
      </c>
      <c r="H57" s="149">
        <f>销量!G8</f>
        <v>0</v>
      </c>
      <c r="I57" s="149"/>
      <c r="J57" s="149"/>
      <c r="K57" s="149"/>
    </row>
    <row r="58" spans="1:11">
      <c r="A58" s="298" t="s">
        <v>214</v>
      </c>
      <c r="B58" s="298"/>
      <c r="C58" s="225"/>
      <c r="D58" s="223">
        <f>$H$57*F58</f>
        <v>0</v>
      </c>
      <c r="E58" s="177">
        <v>5.6219986372455351E-2</v>
      </c>
      <c r="F58" s="142">
        <f>F4</f>
        <v>5.1891753653367817E-2</v>
      </c>
      <c r="G58" s="142"/>
    </row>
    <row r="59" spans="1:11">
      <c r="A59" s="298" t="s">
        <v>215</v>
      </c>
      <c r="B59" s="161" t="s">
        <v>216</v>
      </c>
      <c r="C59" s="225"/>
      <c r="D59" s="223">
        <f t="shared" ref="D59:D65" si="8">$H$57*F59</f>
        <v>0</v>
      </c>
      <c r="E59" s="142">
        <v>4.4999999999999998E-2</v>
      </c>
      <c r="F59" s="142">
        <f t="shared" ref="F59:F65" si="9">F5</f>
        <v>7.6600000000000001E-2</v>
      </c>
      <c r="G59" s="142"/>
    </row>
    <row r="60" spans="1:11">
      <c r="A60" s="298"/>
      <c r="B60" s="161" t="s">
        <v>217</v>
      </c>
      <c r="C60" s="225"/>
      <c r="D60" s="223">
        <f t="shared" si="8"/>
        <v>0</v>
      </c>
      <c r="E60" s="177">
        <v>1.5075989601076605E-2</v>
      </c>
      <c r="F60" s="142">
        <f t="shared" si="9"/>
        <v>5.9900000000000002E-2</v>
      </c>
      <c r="G60" s="142"/>
    </row>
    <row r="61" spans="1:11">
      <c r="A61" s="296" t="s">
        <v>218</v>
      </c>
      <c r="B61" s="297"/>
      <c r="C61" s="226"/>
      <c r="D61" s="223">
        <f t="shared" si="8"/>
        <v>0</v>
      </c>
      <c r="E61" s="178">
        <f>SUM(E58:E60)</f>
        <v>0.11629597597353196</v>
      </c>
      <c r="F61" s="142">
        <f t="shared" si="9"/>
        <v>0.18839175365336783</v>
      </c>
      <c r="G61" s="144"/>
    </row>
    <row r="62" spans="1:11">
      <c r="A62" s="298" t="s">
        <v>46</v>
      </c>
      <c r="B62" s="298"/>
      <c r="C62" s="225"/>
      <c r="D62" s="223">
        <f t="shared" si="8"/>
        <v>0</v>
      </c>
      <c r="E62" s="179">
        <v>0.03</v>
      </c>
      <c r="F62" s="142">
        <f t="shared" si="9"/>
        <v>6.3899999999999998E-2</v>
      </c>
      <c r="G62" s="142"/>
    </row>
    <row r="63" spans="1:11">
      <c r="A63" s="299" t="s">
        <v>219</v>
      </c>
      <c r="B63" s="161" t="s">
        <v>216</v>
      </c>
      <c r="C63" s="225"/>
      <c r="D63" s="223">
        <f t="shared" si="8"/>
        <v>0</v>
      </c>
      <c r="E63" s="142">
        <v>7.0000000000000001E-3</v>
      </c>
      <c r="F63" s="142">
        <f t="shared" si="9"/>
        <v>1.46E-2</v>
      </c>
      <c r="G63" s="142"/>
    </row>
    <row r="64" spans="1:11">
      <c r="A64" s="300"/>
      <c r="B64" s="161" t="s">
        <v>217</v>
      </c>
      <c r="C64" s="225"/>
      <c r="D64" s="223">
        <f t="shared" si="8"/>
        <v>0</v>
      </c>
      <c r="E64" s="141">
        <f>2.8%+1.2%</f>
        <v>3.9999999999999994E-2</v>
      </c>
      <c r="F64" s="142">
        <f t="shared" si="9"/>
        <v>0</v>
      </c>
      <c r="G64" s="142"/>
    </row>
    <row r="65" spans="1:11">
      <c r="A65" s="298" t="s">
        <v>49</v>
      </c>
      <c r="B65" s="298"/>
      <c r="C65" s="225"/>
      <c r="D65" s="223">
        <f t="shared" si="8"/>
        <v>0</v>
      </c>
      <c r="E65" s="142">
        <v>0.04</v>
      </c>
      <c r="F65" s="142">
        <f t="shared" si="9"/>
        <v>0.05</v>
      </c>
      <c r="G65" s="142"/>
    </row>
    <row r="68" spans="1:11">
      <c r="A68" s="138"/>
      <c r="B68" s="138"/>
      <c r="C68" s="222"/>
      <c r="D68" s="222"/>
      <c r="E68" s="138"/>
      <c r="F68" s="301" t="s">
        <v>211</v>
      </c>
      <c r="G68" s="301"/>
      <c r="H68" s="139"/>
      <c r="I68" s="139"/>
      <c r="J68" s="139"/>
      <c r="K68" s="139"/>
    </row>
    <row r="69" spans="1:11">
      <c r="A69" s="302" t="s">
        <v>212</v>
      </c>
      <c r="B69" s="302"/>
      <c r="C69" s="296" t="s">
        <v>213</v>
      </c>
      <c r="D69" s="303"/>
      <c r="E69" s="303"/>
      <c r="F69" s="303"/>
      <c r="G69" s="297"/>
      <c r="H69" s="140" t="s">
        <v>220</v>
      </c>
      <c r="I69" s="140"/>
      <c r="J69" s="140"/>
      <c r="K69" s="140"/>
    </row>
    <row r="70" spans="1:11" ht="27">
      <c r="A70" s="302"/>
      <c r="B70" s="302"/>
      <c r="C70" s="145" t="s">
        <v>221</v>
      </c>
      <c r="D70" s="145" t="s">
        <v>222</v>
      </c>
      <c r="E70" s="145" t="s">
        <v>225</v>
      </c>
      <c r="F70" s="145" t="s">
        <v>224</v>
      </c>
      <c r="G70" s="145" t="s">
        <v>223</v>
      </c>
      <c r="H70" s="149">
        <f>销量!H8</f>
        <v>0</v>
      </c>
      <c r="I70" s="149"/>
      <c r="J70" s="149"/>
      <c r="K70" s="149"/>
    </row>
    <row r="71" spans="1:11">
      <c r="A71" s="298" t="s">
        <v>214</v>
      </c>
      <c r="B71" s="298"/>
      <c r="C71" s="225"/>
      <c r="D71" s="223">
        <f>$H$70*F71</f>
        <v>0</v>
      </c>
      <c r="E71" s="177"/>
      <c r="F71" s="142">
        <f t="shared" ref="F71:F78" si="10">F4</f>
        <v>5.1891753653367817E-2</v>
      </c>
      <c r="G71" s="142"/>
    </row>
    <row r="72" spans="1:11">
      <c r="A72" s="298" t="s">
        <v>215</v>
      </c>
      <c r="B72" s="161" t="s">
        <v>216</v>
      </c>
      <c r="C72" s="225"/>
      <c r="D72" s="223">
        <f t="shared" ref="D72:D78" si="11">$H$70*F72</f>
        <v>0</v>
      </c>
      <c r="E72" s="142"/>
      <c r="F72" s="142">
        <f t="shared" si="10"/>
        <v>7.6600000000000001E-2</v>
      </c>
      <c r="G72" s="142"/>
    </row>
    <row r="73" spans="1:11">
      <c r="A73" s="298"/>
      <c r="B73" s="161" t="s">
        <v>217</v>
      </c>
      <c r="C73" s="225"/>
      <c r="D73" s="223">
        <f t="shared" si="11"/>
        <v>0</v>
      </c>
      <c r="E73" s="177"/>
      <c r="F73" s="142">
        <f t="shared" si="10"/>
        <v>5.9900000000000002E-2</v>
      </c>
      <c r="G73" s="142"/>
    </row>
    <row r="74" spans="1:11">
      <c r="A74" s="296" t="s">
        <v>218</v>
      </c>
      <c r="B74" s="297"/>
      <c r="C74" s="226"/>
      <c r="D74" s="223">
        <f t="shared" si="11"/>
        <v>0</v>
      </c>
      <c r="E74" s="178"/>
      <c r="F74" s="142">
        <f t="shared" si="10"/>
        <v>0.18839175365336783</v>
      </c>
      <c r="G74" s="144"/>
    </row>
    <row r="75" spans="1:11">
      <c r="A75" s="298" t="s">
        <v>46</v>
      </c>
      <c r="B75" s="298"/>
      <c r="C75" s="225"/>
      <c r="D75" s="223">
        <f t="shared" si="11"/>
        <v>0</v>
      </c>
      <c r="E75" s="179"/>
      <c r="F75" s="142">
        <f t="shared" si="10"/>
        <v>6.3899999999999998E-2</v>
      </c>
      <c r="G75" s="142"/>
    </row>
    <row r="76" spans="1:11">
      <c r="A76" s="299" t="s">
        <v>219</v>
      </c>
      <c r="B76" s="161" t="s">
        <v>216</v>
      </c>
      <c r="C76" s="225"/>
      <c r="D76" s="223">
        <f t="shared" si="11"/>
        <v>0</v>
      </c>
      <c r="E76" s="142"/>
      <c r="F76" s="142">
        <f t="shared" si="10"/>
        <v>1.46E-2</v>
      </c>
      <c r="G76" s="142"/>
    </row>
    <row r="77" spans="1:11">
      <c r="A77" s="300"/>
      <c r="B77" s="161" t="s">
        <v>217</v>
      </c>
      <c r="C77" s="225"/>
      <c r="D77" s="223">
        <f t="shared" si="11"/>
        <v>0</v>
      </c>
      <c r="E77" s="141"/>
      <c r="F77" s="142">
        <f t="shared" si="10"/>
        <v>0</v>
      </c>
      <c r="G77" s="142"/>
    </row>
    <row r="78" spans="1:11">
      <c r="A78" s="298" t="s">
        <v>49</v>
      </c>
      <c r="B78" s="298"/>
      <c r="C78" s="225"/>
      <c r="D78" s="223">
        <f t="shared" si="11"/>
        <v>0</v>
      </c>
      <c r="E78" s="142"/>
      <c r="F78" s="142">
        <f t="shared" si="10"/>
        <v>0.05</v>
      </c>
      <c r="G78" s="142"/>
    </row>
  </sheetData>
  <mergeCells count="54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tabSelected="1" workbookViewId="0">
      <pane xSplit="3" ySplit="7" topLeftCell="D53" activePane="bottomRight" state="frozen"/>
      <selection pane="topRight"/>
      <selection pane="bottomLeft"/>
      <selection pane="bottomRight" activeCell="J6" sqref="J6"/>
    </sheetView>
  </sheetViews>
  <sheetFormatPr defaultColWidth="9" defaultRowHeight="16.5"/>
  <cols>
    <col min="1" max="1" width="5.125" style="107" customWidth="1"/>
    <col min="2" max="2" width="30.75" style="107" customWidth="1"/>
    <col min="3" max="3" width="14.5" style="108" customWidth="1"/>
    <col min="4" max="8" width="13" style="108" customWidth="1"/>
    <col min="9" max="9" width="16.5" style="108" customWidth="1"/>
    <col min="10" max="10" width="15.5" style="107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28.5" customHeight="1">
      <c r="A1" s="243" t="s">
        <v>253</v>
      </c>
      <c r="B1" s="243"/>
      <c r="C1" s="243"/>
      <c r="D1" s="243"/>
      <c r="E1" s="243"/>
      <c r="F1" s="243"/>
      <c r="G1" s="243"/>
      <c r="H1" s="243"/>
      <c r="I1" s="243"/>
    </row>
    <row r="2" spans="1:39" s="5" customFormat="1" ht="27" customHeight="1">
      <c r="B2" s="201"/>
      <c r="C2" s="201"/>
      <c r="D2" s="202" t="s">
        <v>251</v>
      </c>
      <c r="E2" s="201"/>
      <c r="F2" s="201"/>
      <c r="G2" s="201"/>
      <c r="H2" s="201" t="s">
        <v>252</v>
      </c>
      <c r="I2" s="201"/>
    </row>
    <row r="3" spans="1:39" ht="15.75" customHeight="1">
      <c r="A3" s="241" t="s">
        <v>15</v>
      </c>
      <c r="B3" s="109" t="s">
        <v>1</v>
      </c>
      <c r="C3" s="109" t="s">
        <v>243</v>
      </c>
      <c r="D3" s="109" t="s">
        <v>244</v>
      </c>
      <c r="E3" s="109" t="s">
        <v>245</v>
      </c>
      <c r="F3" s="109" t="s">
        <v>246</v>
      </c>
      <c r="G3" s="109" t="s">
        <v>247</v>
      </c>
      <c r="H3" s="109" t="s">
        <v>242</v>
      </c>
      <c r="I3" s="51" t="s">
        <v>16</v>
      </c>
      <c r="AM3" s="107" t="s">
        <v>17</v>
      </c>
    </row>
    <row r="4" spans="1:39" s="48" customFormat="1" ht="15.75" customHeight="1">
      <c r="A4" s="242"/>
      <c r="B4" s="53" t="s">
        <v>3</v>
      </c>
      <c r="C4" s="110">
        <f>'2023年'!E6</f>
        <v>13276</v>
      </c>
      <c r="D4" s="110">
        <f>'2024年'!E6</f>
        <v>13276</v>
      </c>
      <c r="E4" s="110">
        <f>'2025年'!E6</f>
        <v>13276</v>
      </c>
      <c r="F4" s="110">
        <f>'2026年'!E6</f>
        <v>13276</v>
      </c>
      <c r="G4" s="110">
        <f>'2027年 '!E6</f>
        <v>13276</v>
      </c>
      <c r="H4" s="110">
        <f>'2028年'!E6</f>
        <v>13276</v>
      </c>
      <c r="I4" s="110">
        <f t="shared" ref="I4:I12" si="0">SUM(C4:H4)</f>
        <v>79656</v>
      </c>
      <c r="J4" s="67"/>
      <c r="AK4" s="52" t="s">
        <v>15</v>
      </c>
      <c r="AL4" s="53" t="s">
        <v>3</v>
      </c>
      <c r="AM4" s="48" t="s">
        <v>18</v>
      </c>
    </row>
    <row r="5" spans="1:39" s="48" customFormat="1" ht="15.75" customHeight="1">
      <c r="A5" s="60">
        <v>1</v>
      </c>
      <c r="B5" s="53" t="s">
        <v>19</v>
      </c>
      <c r="C5" s="110">
        <f>'2023年'!E7</f>
        <v>313277.85567755555</v>
      </c>
      <c r="D5" s="110">
        <f>'2024年'!E7</f>
        <v>313277.85567755555</v>
      </c>
      <c r="E5" s="110">
        <f>'2025年'!E7</f>
        <v>313277.85567755555</v>
      </c>
      <c r="F5" s="110">
        <f>'2026年'!E7</f>
        <v>313277.85567755555</v>
      </c>
      <c r="G5" s="110">
        <f>'2027年 '!E7</f>
        <v>313277.85567755555</v>
      </c>
      <c r="H5" s="110">
        <f>'2028年'!E7</f>
        <v>313277.85567755555</v>
      </c>
      <c r="I5" s="110">
        <f t="shared" si="0"/>
        <v>1879667.1340653333</v>
      </c>
      <c r="J5" s="67"/>
      <c r="AK5" s="52" t="s">
        <v>20</v>
      </c>
      <c r="AL5" s="53" t="s">
        <v>19</v>
      </c>
      <c r="AM5" s="48" t="s">
        <v>18</v>
      </c>
    </row>
    <row r="6" spans="1:39" s="48" customFormat="1" ht="15.75" customHeight="1">
      <c r="A6" s="60">
        <v>2</v>
      </c>
      <c r="B6" s="50" t="s">
        <v>21</v>
      </c>
      <c r="C6" s="110">
        <f>'2023年'!E8</f>
        <v>0</v>
      </c>
      <c r="D6" s="110">
        <f>'2024年'!E8</f>
        <v>1566.3892783877791</v>
      </c>
      <c r="E6" s="110">
        <f>'2025年'!E8</f>
        <v>3124.9466103836376</v>
      </c>
      <c r="F6" s="110">
        <f>'2026年'!E8</f>
        <v>4675.7111557194712</v>
      </c>
      <c r="G6" s="110">
        <f>'2027年 '!E8</f>
        <v>6218.7218783286735</v>
      </c>
      <c r="H6" s="110">
        <f>'2028年'!E8</f>
        <v>7754.0175473248319</v>
      </c>
      <c r="I6" s="110">
        <f t="shared" si="0"/>
        <v>23339.786470144394</v>
      </c>
      <c r="J6" s="67"/>
      <c r="AK6" s="52" t="s">
        <v>22</v>
      </c>
      <c r="AL6" s="50" t="s">
        <v>23</v>
      </c>
      <c r="AM6" s="48" t="s">
        <v>18</v>
      </c>
    </row>
    <row r="7" spans="1:39" s="48" customFormat="1" ht="15.75" customHeight="1">
      <c r="A7" s="60">
        <v>3</v>
      </c>
      <c r="B7" s="53" t="s">
        <v>24</v>
      </c>
      <c r="C7" s="111">
        <f>+C5-C6</f>
        <v>313277.85567755555</v>
      </c>
      <c r="D7" s="111">
        <f>'2024年'!E9</f>
        <v>311711.46639916778</v>
      </c>
      <c r="E7" s="111">
        <f>'2025年'!E9</f>
        <v>310152.90906717192</v>
      </c>
      <c r="F7" s="111">
        <f>'2026年'!E9</f>
        <v>308602.14452183608</v>
      </c>
      <c r="G7" s="110">
        <f>'2027年 '!E9</f>
        <v>307059.13379922684</v>
      </c>
      <c r="H7" s="111">
        <f>'2028年'!E9</f>
        <v>305523.83813023072</v>
      </c>
      <c r="I7" s="110">
        <f t="shared" si="0"/>
        <v>1856327.347595189</v>
      </c>
      <c r="J7" s="67"/>
      <c r="AK7" s="52" t="s">
        <v>25</v>
      </c>
      <c r="AL7" s="53" t="s">
        <v>24</v>
      </c>
      <c r="AM7" s="48" t="s">
        <v>26</v>
      </c>
    </row>
    <row r="8" spans="1:39" s="48" customFormat="1" ht="15.75" customHeight="1">
      <c r="A8" s="60">
        <v>4</v>
      </c>
      <c r="B8" s="52" t="s">
        <v>27</v>
      </c>
      <c r="C8" s="110">
        <f>'2023年'!E10</f>
        <v>108838.37444565001</v>
      </c>
      <c r="D8" s="110">
        <f>'2024年'!E10</f>
        <v>108294.18257342176</v>
      </c>
      <c r="E8" s="110">
        <f>'2025年'!E10</f>
        <v>107752.71166055465</v>
      </c>
      <c r="F8" s="110">
        <f>'2026年'!E10</f>
        <v>107213.94810225187</v>
      </c>
      <c r="G8" s="110">
        <f>'2027年 '!E10</f>
        <v>106677.87836174062</v>
      </c>
      <c r="H8" s="110">
        <f>'2028年'!E10</f>
        <v>106144.4889699319</v>
      </c>
      <c r="I8" s="110">
        <f t="shared" si="0"/>
        <v>644921.58411355084</v>
      </c>
      <c r="J8" s="67"/>
      <c r="AK8" s="52" t="s">
        <v>28</v>
      </c>
      <c r="AL8" s="52" t="s">
        <v>27</v>
      </c>
      <c r="AM8" s="48" t="s">
        <v>29</v>
      </c>
    </row>
    <row r="9" spans="1:39" s="48" customFormat="1" ht="15.75" customHeight="1">
      <c r="A9" s="60">
        <v>5</v>
      </c>
      <c r="B9" s="52" t="s">
        <v>30</v>
      </c>
      <c r="C9" s="110">
        <f>'2023年'!E11</f>
        <v>16256.537311875029</v>
      </c>
      <c r="D9" s="110">
        <f>'2024年'!E11</f>
        <v>16256.537311875029</v>
      </c>
      <c r="E9" s="110">
        <f>'2025年'!E11</f>
        <v>16256.537311875029</v>
      </c>
      <c r="F9" s="110">
        <f>'2026年'!E11</f>
        <v>16256.537311875029</v>
      </c>
      <c r="G9" s="110">
        <f>'2027年 '!E11</f>
        <v>16256.537311875029</v>
      </c>
      <c r="H9" s="110">
        <f>'2028年'!E11</f>
        <v>16256.537311875029</v>
      </c>
      <c r="I9" s="110">
        <f t="shared" si="0"/>
        <v>97539.223871250171</v>
      </c>
      <c r="J9" s="67"/>
      <c r="AK9" s="52" t="s">
        <v>31</v>
      </c>
      <c r="AL9" s="52" t="s">
        <v>30</v>
      </c>
    </row>
    <row r="10" spans="1:39" s="48" customFormat="1" ht="15.75" customHeight="1">
      <c r="A10" s="60">
        <v>6</v>
      </c>
      <c r="B10" s="52" t="s">
        <v>32</v>
      </c>
      <c r="C10" s="110">
        <f>'2023年'!E12</f>
        <v>18765.343555085579</v>
      </c>
      <c r="D10" s="110">
        <f>'2024年'!E12</f>
        <v>18765.343555085579</v>
      </c>
      <c r="E10" s="110">
        <f>'2025年'!E12</f>
        <v>18765.343555085579</v>
      </c>
      <c r="F10" s="110">
        <f>'2026年'!E12</f>
        <v>18765.343555085579</v>
      </c>
      <c r="G10" s="110">
        <f>'2027年 '!E12</f>
        <v>18765.343555085579</v>
      </c>
      <c r="H10" s="110">
        <f>'2028年'!E12</f>
        <v>18765.343555085579</v>
      </c>
      <c r="I10" s="110">
        <f t="shared" si="0"/>
        <v>112592.06133051348</v>
      </c>
      <c r="J10" s="67"/>
      <c r="AK10" s="52" t="s">
        <v>33</v>
      </c>
      <c r="AL10" s="52" t="s">
        <v>32</v>
      </c>
    </row>
    <row r="11" spans="1:39" s="48" customFormat="1" ht="15.75" customHeight="1">
      <c r="A11" s="60">
        <v>7</v>
      </c>
      <c r="B11" s="112" t="s">
        <v>34</v>
      </c>
      <c r="C11" s="110">
        <f>'2023年'!E13</f>
        <v>81971.289999999994</v>
      </c>
      <c r="D11" s="110">
        <f>'2024年'!E13</f>
        <v>81971.289999999994</v>
      </c>
      <c r="E11" s="110">
        <f>'2025年'!E13</f>
        <v>81971.289999999994</v>
      </c>
      <c r="F11" s="110">
        <f>'2026年'!E13</f>
        <v>81971.289999999994</v>
      </c>
      <c r="G11" s="110">
        <f>'2027年 '!E13</f>
        <v>81971.289999999994</v>
      </c>
      <c r="H11" s="110">
        <f>'2028年'!E13</f>
        <v>81971.289999999994</v>
      </c>
      <c r="I11" s="110">
        <f t="shared" si="0"/>
        <v>491827.73999999993</v>
      </c>
      <c r="J11" s="67"/>
      <c r="AK11" s="52" t="s">
        <v>35</v>
      </c>
      <c r="AL11" s="52" t="s">
        <v>34</v>
      </c>
      <c r="AM11" s="48" t="s">
        <v>18</v>
      </c>
    </row>
    <row r="12" spans="1:39" s="48" customFormat="1" ht="15.75" customHeight="1">
      <c r="A12" s="60">
        <v>8</v>
      </c>
      <c r="B12" s="113" t="s">
        <v>36</v>
      </c>
      <c r="C12" s="114">
        <f>'2023年'!E14</f>
        <v>116993.1708669606</v>
      </c>
      <c r="D12" s="114">
        <f>'2024年'!E14</f>
        <v>116993.1708669606</v>
      </c>
      <c r="E12" s="114">
        <f>'2025年'!E14</f>
        <v>116993.1708669606</v>
      </c>
      <c r="F12" s="114">
        <f>'2026年'!E14</f>
        <v>116993.1708669606</v>
      </c>
      <c r="G12" s="114">
        <f>'2027年 '!E14</f>
        <v>116993.1708669606</v>
      </c>
      <c r="H12" s="114">
        <f>'2028年'!E14</f>
        <v>116993.1708669606</v>
      </c>
      <c r="I12" s="114">
        <f t="shared" si="0"/>
        <v>701959.02520176372</v>
      </c>
      <c r="J12" s="67"/>
      <c r="AK12" s="52" t="s">
        <v>37</v>
      </c>
      <c r="AL12" s="55" t="s">
        <v>36</v>
      </c>
    </row>
    <row r="13" spans="1:39" s="48" customFormat="1" ht="15.75" customHeight="1">
      <c r="A13" s="60">
        <v>9</v>
      </c>
      <c r="B13" s="115" t="s">
        <v>38</v>
      </c>
      <c r="C13" s="110">
        <f>'2023年'!E15</f>
        <v>87446.310364944919</v>
      </c>
      <c r="D13" s="110">
        <f>'2024年'!E15</f>
        <v>86424.112958785438</v>
      </c>
      <c r="E13" s="110">
        <f>'2025年'!E15</f>
        <v>85407.026539656683</v>
      </c>
      <c r="F13" s="110">
        <f>'2026年'!E15</f>
        <v>84395.025552623614</v>
      </c>
      <c r="G13" s="110">
        <f>'2027年 '!E15</f>
        <v>83388.084570525622</v>
      </c>
      <c r="H13" s="110">
        <f>'2028年'!E15</f>
        <v>82386.17829333822</v>
      </c>
      <c r="I13" s="110">
        <f>I7-I8-I12</f>
        <v>509446.73827987444</v>
      </c>
      <c r="J13" s="67"/>
      <c r="L13" s="107"/>
      <c r="M13" s="107"/>
      <c r="N13" s="107"/>
      <c r="O13" s="107"/>
      <c r="P13" s="107"/>
      <c r="Q13" s="107"/>
      <c r="AK13" s="52" t="s">
        <v>39</v>
      </c>
      <c r="AL13" s="55" t="s">
        <v>38</v>
      </c>
    </row>
    <row r="14" spans="1:39" ht="15.75" customHeight="1">
      <c r="A14" s="60">
        <v>10</v>
      </c>
      <c r="B14" s="116" t="s">
        <v>40</v>
      </c>
      <c r="C14" s="117">
        <f>+C13/C7</f>
        <v>0.27913339158880712</v>
      </c>
      <c r="D14" s="117">
        <f>'2024年'!E16</f>
        <v>0.27725676555033579</v>
      </c>
      <c r="E14" s="117">
        <f>'2025年'!E16</f>
        <v>0.27537070923026391</v>
      </c>
      <c r="F14" s="117">
        <f>'2026年'!E16</f>
        <v>0.27347517524024201</v>
      </c>
      <c r="G14" s="238">
        <f>'2027年 '!E16</f>
        <v>0.27157011595378761</v>
      </c>
      <c r="H14" s="117">
        <f>'2028年'!E16</f>
        <v>0.26965548350509</v>
      </c>
      <c r="I14" s="117">
        <f>+I13/I7</f>
        <v>0.27443798581098638</v>
      </c>
      <c r="J14" s="67"/>
      <c r="AK14" s="116" t="s">
        <v>41</v>
      </c>
      <c r="AL14" s="116" t="s">
        <v>40</v>
      </c>
    </row>
    <row r="15" spans="1:39" ht="15.75" customHeight="1">
      <c r="A15" s="60">
        <v>11</v>
      </c>
      <c r="B15" s="116" t="s">
        <v>42</v>
      </c>
      <c r="C15" s="110">
        <f>'2023年'!E17</f>
        <v>23997.083744900756</v>
      </c>
      <c r="D15" s="110">
        <f>'2024年'!E17</f>
        <v>23997.083744900756</v>
      </c>
      <c r="E15" s="110">
        <f>'2025年'!E17</f>
        <v>23997.083744900756</v>
      </c>
      <c r="F15" s="110">
        <f>'2026年'!E17</f>
        <v>23997.083744900756</v>
      </c>
      <c r="G15" s="110">
        <f>'2027年 '!E17</f>
        <v>23997.083744900756</v>
      </c>
      <c r="H15" s="110">
        <f>'2028年'!E17</f>
        <v>23997.083744900756</v>
      </c>
      <c r="I15" s="110">
        <f>SUM(C15:H15)</f>
        <v>143982.50246940454</v>
      </c>
      <c r="J15" s="67"/>
      <c r="AK15" s="116" t="s">
        <v>43</v>
      </c>
      <c r="AL15" s="116" t="s">
        <v>42</v>
      </c>
    </row>
    <row r="16" spans="1:39" ht="15.75" hidden="1" customHeight="1">
      <c r="A16" s="146"/>
      <c r="B16" s="116"/>
      <c r="C16" s="110"/>
      <c r="D16" s="110"/>
      <c r="E16" s="110"/>
      <c r="F16" s="110"/>
      <c r="G16" s="110">
        <f>'2027年 '!E18</f>
        <v>0</v>
      </c>
      <c r="H16" s="110"/>
      <c r="I16" s="110"/>
      <c r="J16" s="67"/>
      <c r="AK16" s="116"/>
      <c r="AL16" s="116"/>
    </row>
    <row r="17" spans="1:39" ht="15.75" customHeight="1">
      <c r="A17" s="60">
        <v>12</v>
      </c>
      <c r="B17" s="116" t="s">
        <v>44</v>
      </c>
      <c r="C17" s="118">
        <f>'2023年'!E19</f>
        <v>4573.8566928923119</v>
      </c>
      <c r="D17" s="118">
        <f>'2024年'!E19</f>
        <v>4573.8566928923119</v>
      </c>
      <c r="E17" s="118">
        <f>'2025年'!E19</f>
        <v>4573.8566928923119</v>
      </c>
      <c r="F17" s="118">
        <f>'2026年'!E19</f>
        <v>4573.8566928923119</v>
      </c>
      <c r="G17" s="110">
        <f>'2027年 '!E19</f>
        <v>4573.8566928923119</v>
      </c>
      <c r="H17" s="118">
        <f>'2028年'!E19</f>
        <v>4573.8566928923119</v>
      </c>
      <c r="I17" s="110">
        <f>SUM(C17:H17)</f>
        <v>27443.140157353868</v>
      </c>
      <c r="J17" s="67"/>
      <c r="R17" s="67"/>
      <c r="AK17" s="116" t="s">
        <v>45</v>
      </c>
      <c r="AL17" s="116" t="s">
        <v>44</v>
      </c>
      <c r="AM17" s="107" t="s">
        <v>18</v>
      </c>
    </row>
    <row r="18" spans="1:39" ht="15.75" customHeight="1">
      <c r="A18" s="60">
        <v>13</v>
      </c>
      <c r="B18" s="116" t="s">
        <v>46</v>
      </c>
      <c r="C18" s="118">
        <f>'2023年'!E20</f>
        <v>20018.454977795798</v>
      </c>
      <c r="D18" s="118">
        <f>'2024年'!E20</f>
        <v>20018.454977795798</v>
      </c>
      <c r="E18" s="118">
        <f>'2025年'!E20</f>
        <v>20018.454977795798</v>
      </c>
      <c r="F18" s="118">
        <f>'2026年'!E20</f>
        <v>20018.454977795798</v>
      </c>
      <c r="G18" s="110">
        <f>'2027年 '!E20</f>
        <v>20018.454977795798</v>
      </c>
      <c r="H18" s="118">
        <f>'2028年'!E20</f>
        <v>20018.454977795798</v>
      </c>
      <c r="I18" s="110">
        <f>SUM(C18:H18)</f>
        <v>120110.7298667748</v>
      </c>
      <c r="J18" s="67"/>
      <c r="AK18" s="116" t="s">
        <v>47</v>
      </c>
      <c r="AL18" s="116" t="s">
        <v>46</v>
      </c>
    </row>
    <row r="19" spans="1:39" s="47" customFormat="1" ht="15.75" customHeight="1">
      <c r="A19" s="60">
        <v>14</v>
      </c>
      <c r="B19" s="59" t="s">
        <v>48</v>
      </c>
      <c r="C19" s="119">
        <f>'2023年'!E21</f>
        <v>0</v>
      </c>
      <c r="D19" s="119">
        <f>'2024年'!E21</f>
        <v>0</v>
      </c>
      <c r="E19" s="119">
        <f>'2025年'!E21</f>
        <v>0</v>
      </c>
      <c r="F19" s="119">
        <f>'2026年'!E21</f>
        <v>0</v>
      </c>
      <c r="G19" s="110">
        <f>'2027年 '!E21</f>
        <v>0</v>
      </c>
      <c r="H19" s="119">
        <f>'2028年'!E21</f>
        <v>0</v>
      </c>
      <c r="I19" s="110">
        <f>SUM(C19:H19)</f>
        <v>0</v>
      </c>
      <c r="J19" s="67" t="s">
        <v>298</v>
      </c>
      <c r="AK19" s="59"/>
      <c r="AL19" s="59"/>
    </row>
    <row r="20" spans="1:39" s="48" customFormat="1" ht="15.75" customHeight="1">
      <c r="A20" s="60">
        <v>15</v>
      </c>
      <c r="B20" s="52" t="s">
        <v>49</v>
      </c>
      <c r="C20" s="118">
        <f>'2023年'!E22</f>
        <v>15663.892783877778</v>
      </c>
      <c r="D20" s="118">
        <f>'2024年'!E22</f>
        <v>15663.892783877778</v>
      </c>
      <c r="E20" s="118">
        <f>'2025年'!E22</f>
        <v>15663.892783877778</v>
      </c>
      <c r="F20" s="118">
        <f>'2026年'!E22</f>
        <v>15663.892783877778</v>
      </c>
      <c r="G20" s="110">
        <f>'2027年 '!E22</f>
        <v>15663.892783877778</v>
      </c>
      <c r="H20" s="118">
        <f>'2028年'!E22</f>
        <v>15663.892783877778</v>
      </c>
      <c r="I20" s="110">
        <f>SUM(C20:H20)</f>
        <v>93983.356703266661</v>
      </c>
      <c r="J20" s="67"/>
      <c r="AK20" s="52" t="s">
        <v>50</v>
      </c>
      <c r="AL20" s="52" t="s">
        <v>49</v>
      </c>
    </row>
    <row r="21" spans="1:39" s="106" customFormat="1" ht="15.75" customHeight="1">
      <c r="A21" s="60">
        <v>16</v>
      </c>
      <c r="B21" s="120" t="s">
        <v>51</v>
      </c>
      <c r="C21" s="114">
        <f t="shared" ref="C21" si="1">+C20+C19+C18+C17+C15</f>
        <v>64253.288199466639</v>
      </c>
      <c r="D21" s="114">
        <f>'2024年'!E23</f>
        <v>64253.288199466639</v>
      </c>
      <c r="E21" s="114">
        <f>'2025年'!E23</f>
        <v>64253.288199466639</v>
      </c>
      <c r="F21" s="114">
        <f>'2026年'!E23</f>
        <v>64253.288199466639</v>
      </c>
      <c r="G21" s="114">
        <f>'2027年 '!E23</f>
        <v>64253.288199466639</v>
      </c>
      <c r="H21" s="114">
        <f>'2028年'!E23</f>
        <v>64253.288199466639</v>
      </c>
      <c r="I21" s="114">
        <f>SUM(C21:H21)</f>
        <v>385519.72919679986</v>
      </c>
      <c r="J21" s="67"/>
      <c r="AK21" s="128" t="s">
        <v>52</v>
      </c>
      <c r="AL21" s="129" t="s">
        <v>51</v>
      </c>
    </row>
    <row r="22" spans="1:39" ht="15.75" customHeight="1">
      <c r="A22" s="60">
        <v>17</v>
      </c>
      <c r="B22" s="116" t="s">
        <v>53</v>
      </c>
      <c r="C22" s="121">
        <f>+C13-C21</f>
        <v>23193.02216547828</v>
      </c>
      <c r="D22" s="121">
        <f>'2024年'!E24</f>
        <v>22170.824759318799</v>
      </c>
      <c r="E22" s="121">
        <f>'2025年'!E24</f>
        <v>21153.738340190044</v>
      </c>
      <c r="F22" s="121">
        <f>'2026年'!E24</f>
        <v>20141.737353156976</v>
      </c>
      <c r="G22" s="110">
        <f>'2027年 '!E24</f>
        <v>19134.796371058983</v>
      </c>
      <c r="H22" s="121">
        <f>'2028年'!E24</f>
        <v>18132.890093871581</v>
      </c>
      <c r="I22" s="121">
        <f>+I13-I21</f>
        <v>123927.00908307458</v>
      </c>
      <c r="J22" s="67"/>
      <c r="AK22" s="116" t="s">
        <v>54</v>
      </c>
      <c r="AL22" s="116" t="s">
        <v>53</v>
      </c>
    </row>
    <row r="23" spans="1:39" ht="15.75" customHeight="1">
      <c r="A23" s="60">
        <v>18</v>
      </c>
      <c r="B23" s="116" t="s">
        <v>300</v>
      </c>
      <c r="C23" s="121">
        <f>'2023年'!$E$25</f>
        <v>3478.9533248217417</v>
      </c>
      <c r="D23" s="121">
        <f>'2024年'!E25</f>
        <v>3325.6237138978199</v>
      </c>
      <c r="E23" s="121">
        <f>'2025年'!E25</f>
        <v>3173.0607510285067</v>
      </c>
      <c r="F23" s="121">
        <f>'2026年'!E25</f>
        <v>3021.2606029735462</v>
      </c>
      <c r="G23" s="110">
        <f>'2027年 '!E25</f>
        <v>2870.2194556588474</v>
      </c>
      <c r="H23" s="121">
        <f>'2028年'!E25</f>
        <v>2719.933514080737</v>
      </c>
      <c r="I23" s="121">
        <f>IF(I22&lt;0,0,I22*0.15)</f>
        <v>18589.051362461185</v>
      </c>
      <c r="J23" s="67"/>
      <c r="AK23" s="116" t="s">
        <v>56</v>
      </c>
      <c r="AL23" s="116" t="s">
        <v>55</v>
      </c>
    </row>
    <row r="24" spans="1:39" s="48" customFormat="1" ht="15.75" customHeight="1">
      <c r="A24" s="200">
        <v>19</v>
      </c>
      <c r="B24" s="52" t="s">
        <v>57</v>
      </c>
      <c r="C24" s="110">
        <f>C22-C23</f>
        <v>19714.068840656539</v>
      </c>
      <c r="D24" s="110">
        <f>'2024年'!E26</f>
        <v>18845.201045420956</v>
      </c>
      <c r="E24" s="110">
        <f>'2025年'!E26</f>
        <v>17980.677589161547</v>
      </c>
      <c r="F24" s="110">
        <f>'2026年'!E26</f>
        <v>17120.476750183418</v>
      </c>
      <c r="G24" s="110">
        <f>'2027年 '!E26</f>
        <v>16264.576915400159</v>
      </c>
      <c r="H24" s="110">
        <f>'2028年'!E26</f>
        <v>15412.956579790833</v>
      </c>
      <c r="I24" s="110">
        <f>I22-I23</f>
        <v>105337.9577206134</v>
      </c>
      <c r="J24" s="67"/>
      <c r="AK24" s="52" t="s">
        <v>58</v>
      </c>
      <c r="AL24" s="52" t="s">
        <v>57</v>
      </c>
    </row>
    <row r="25" spans="1:39" s="48" customFormat="1" ht="15.75" customHeight="1">
      <c r="A25" s="200">
        <v>20</v>
      </c>
      <c r="B25" s="52" t="s">
        <v>59</v>
      </c>
      <c r="C25" s="122">
        <f>(C24/C5)*100%</f>
        <v>6.2928382850486075E-2</v>
      </c>
      <c r="D25" s="122">
        <f t="shared" ref="D25:H25" si="2">(D24/D5)*100%</f>
        <v>6.0154909464196452E-2</v>
      </c>
      <c r="E25" s="122">
        <f t="shared" si="2"/>
        <v>5.7395303444838258E-2</v>
      </c>
      <c r="F25" s="122">
        <f t="shared" si="2"/>
        <v>5.4649495455576805E-2</v>
      </c>
      <c r="G25" s="122">
        <f t="shared" si="2"/>
        <v>5.1917416506261589E-2</v>
      </c>
      <c r="H25" s="122">
        <f t="shared" si="2"/>
        <v>4.9198997951693003E-2</v>
      </c>
      <c r="I25" s="122">
        <f>(I24/I5)*100%</f>
        <v>5.6040750945508672E-2</v>
      </c>
      <c r="J25" s="67"/>
      <c r="AK25" s="234" t="s">
        <v>60</v>
      </c>
      <c r="AL25" s="234" t="s">
        <v>61</v>
      </c>
    </row>
    <row r="26" spans="1:39" s="235" customFormat="1" ht="15.75" customHeight="1">
      <c r="C26" s="236"/>
      <c r="D26" s="236"/>
      <c r="E26" s="236"/>
      <c r="F26" s="236"/>
      <c r="G26" s="236"/>
      <c r="H26" s="236"/>
      <c r="I26" s="236"/>
      <c r="J26" s="127"/>
    </row>
    <row r="27" spans="1:39" s="235" customFormat="1" ht="15.75" customHeight="1">
      <c r="A27" s="235" t="s">
        <v>62</v>
      </c>
      <c r="C27" s="237"/>
      <c r="D27" s="237"/>
      <c r="E27" s="237"/>
      <c r="F27" s="237"/>
      <c r="G27" s="237"/>
      <c r="H27" s="237"/>
      <c r="I27" s="237"/>
      <c r="J27" s="127"/>
      <c r="AK27" s="235" t="s">
        <v>62</v>
      </c>
    </row>
    <row r="28" spans="1:39" ht="15.75" customHeight="1">
      <c r="A28" s="116" t="s">
        <v>15</v>
      </c>
      <c r="B28" s="195" t="s">
        <v>1</v>
      </c>
      <c r="C28" s="196" t="s">
        <v>243</v>
      </c>
      <c r="D28" s="196" t="s">
        <v>244</v>
      </c>
      <c r="E28" s="196" t="s">
        <v>245</v>
      </c>
      <c r="F28" s="196" t="s">
        <v>246</v>
      </c>
      <c r="G28" s="196" t="s">
        <v>247</v>
      </c>
      <c r="H28" s="196" t="s">
        <v>242</v>
      </c>
      <c r="I28" s="190" t="s">
        <v>16</v>
      </c>
      <c r="AM28" s="107" t="s">
        <v>17</v>
      </c>
    </row>
    <row r="29" spans="1:39" s="48" customFormat="1" ht="15.75" customHeight="1">
      <c r="A29" s="52" t="s">
        <v>63</v>
      </c>
      <c r="B29" s="197" t="s">
        <v>64</v>
      </c>
      <c r="C29" s="191"/>
      <c r="D29" s="191"/>
      <c r="E29" s="191"/>
      <c r="F29" s="191"/>
      <c r="G29" s="191"/>
      <c r="H29" s="191"/>
      <c r="I29" s="191"/>
      <c r="J29" s="67"/>
      <c r="AK29" s="52" t="s">
        <v>65</v>
      </c>
      <c r="AL29" s="55" t="s">
        <v>64</v>
      </c>
    </row>
    <row r="30" spans="1:39" s="48" customFormat="1" ht="15.75" customHeight="1">
      <c r="A30" s="52" t="s">
        <v>20</v>
      </c>
      <c r="B30" s="194" t="s">
        <v>66</v>
      </c>
      <c r="C30" s="192">
        <f>+C7/C4</f>
        <v>23.597307598490175</v>
      </c>
      <c r="D30" s="192">
        <f t="shared" ref="D30:H30" si="3">+D7/D4</f>
        <v>23.479321060497725</v>
      </c>
      <c r="E30" s="192">
        <f t="shared" si="3"/>
        <v>23.361924455195233</v>
      </c>
      <c r="F30" s="192">
        <f t="shared" si="3"/>
        <v>23.24511483291926</v>
      </c>
      <c r="G30" s="192">
        <f t="shared" si="3"/>
        <v>23.128889258754658</v>
      </c>
      <c r="H30" s="192">
        <f t="shared" si="3"/>
        <v>23.013244812460886</v>
      </c>
      <c r="I30" s="192">
        <f>+I7/I4</f>
        <v>23.304300336386323</v>
      </c>
      <c r="J30" s="67"/>
      <c r="AK30" s="52" t="s">
        <v>20</v>
      </c>
      <c r="AL30" s="52" t="s">
        <v>66</v>
      </c>
    </row>
    <row r="31" spans="1:39" s="48" customFormat="1" ht="15.75" customHeight="1">
      <c r="A31" s="52" t="s">
        <v>22</v>
      </c>
      <c r="B31" s="194" t="s">
        <v>67</v>
      </c>
      <c r="C31" s="192">
        <f>+C8/C4</f>
        <v>8.1981300426069605</v>
      </c>
      <c r="D31" s="192">
        <f t="shared" ref="D31:I31" si="4">+D8/D4</f>
        <v>8.1571393923939262</v>
      </c>
      <c r="E31" s="192">
        <f t="shared" si="4"/>
        <v>8.1163536954319557</v>
      </c>
      <c r="F31" s="192">
        <f t="shared" si="4"/>
        <v>8.075771926954797</v>
      </c>
      <c r="G31" s="192">
        <f t="shared" si="4"/>
        <v>8.0353930673200225</v>
      </c>
      <c r="H31" s="192">
        <f t="shared" si="4"/>
        <v>7.9952161019834218</v>
      </c>
      <c r="I31" s="192">
        <f t="shared" si="4"/>
        <v>8.0963340377818476</v>
      </c>
      <c r="J31" s="67"/>
      <c r="AK31" s="52" t="s">
        <v>22</v>
      </c>
      <c r="AL31" s="52" t="s">
        <v>67</v>
      </c>
    </row>
    <row r="32" spans="1:39" s="48" customFormat="1" ht="15.75" customHeight="1">
      <c r="A32" s="52" t="s">
        <v>68</v>
      </c>
      <c r="B32" s="194" t="s">
        <v>69</v>
      </c>
      <c r="C32" s="191">
        <f t="shared" ref="C32:I32" si="5">C30-C31</f>
        <v>15.399177555883215</v>
      </c>
      <c r="D32" s="191">
        <f t="shared" si="5"/>
        <v>15.322181668103799</v>
      </c>
      <c r="E32" s="191">
        <f t="shared" si="5"/>
        <v>15.245570759763277</v>
      </c>
      <c r="F32" s="191">
        <f t="shared" si="5"/>
        <v>15.169342905964463</v>
      </c>
      <c r="G32" s="191">
        <f t="shared" si="5"/>
        <v>15.093496191434635</v>
      </c>
      <c r="H32" s="191">
        <f t="shared" si="5"/>
        <v>15.018028710477465</v>
      </c>
      <c r="I32" s="191">
        <f t="shared" si="5"/>
        <v>15.207966298604475</v>
      </c>
      <c r="J32" s="67"/>
      <c r="AK32" s="52" t="s">
        <v>68</v>
      </c>
      <c r="AL32" s="52" t="s">
        <v>69</v>
      </c>
    </row>
    <row r="33" spans="1:38" s="48" customFormat="1" ht="15.75" customHeight="1">
      <c r="A33" s="52">
        <v>3.1</v>
      </c>
      <c r="B33" s="194" t="s">
        <v>70</v>
      </c>
      <c r="C33" s="193">
        <f t="shared" ref="C33:H33" si="6">C32/C30</f>
        <v>0.65258197324462974</v>
      </c>
      <c r="D33" s="193">
        <f t="shared" si="6"/>
        <v>0.65258197324462974</v>
      </c>
      <c r="E33" s="193">
        <f t="shared" si="6"/>
        <v>0.65258197324462974</v>
      </c>
      <c r="F33" s="193">
        <f t="shared" si="6"/>
        <v>0.65258197324462974</v>
      </c>
      <c r="G33" s="193">
        <f t="shared" si="6"/>
        <v>0.65258197324462974</v>
      </c>
      <c r="H33" s="193">
        <f t="shared" si="6"/>
        <v>0.65258197324462974</v>
      </c>
      <c r="I33" s="193">
        <f t="shared" ref="I33" si="7">I32/I30</f>
        <v>0.65258197324462974</v>
      </c>
      <c r="J33" s="67"/>
      <c r="AK33" s="52"/>
      <c r="AL33" s="52"/>
    </row>
    <row r="34" spans="1:38" s="48" customFormat="1" ht="15.75" customHeight="1">
      <c r="A34" s="52" t="s">
        <v>65</v>
      </c>
      <c r="B34" s="197" t="s">
        <v>8</v>
      </c>
      <c r="C34" s="191"/>
      <c r="D34" s="191"/>
      <c r="E34" s="191"/>
      <c r="F34" s="191"/>
      <c r="G34" s="191"/>
      <c r="H34" s="191"/>
      <c r="I34" s="191"/>
      <c r="J34" s="67"/>
      <c r="AK34" s="52" t="s">
        <v>71</v>
      </c>
      <c r="AL34" s="55" t="s">
        <v>8</v>
      </c>
    </row>
    <row r="35" spans="1:38" s="48" customFormat="1" ht="15.75" customHeight="1">
      <c r="A35" s="52" t="s">
        <v>20</v>
      </c>
      <c r="B35" s="198" t="s">
        <v>72</v>
      </c>
      <c r="C35" s="192">
        <f>+C9/C4</f>
        <v>1.2245056727835966</v>
      </c>
      <c r="D35" s="192">
        <f t="shared" ref="D35:F35" si="8">+D9/D4</f>
        <v>1.2245056727835966</v>
      </c>
      <c r="E35" s="192">
        <f t="shared" si="8"/>
        <v>1.2245056727835966</v>
      </c>
      <c r="F35" s="192">
        <f t="shared" si="8"/>
        <v>1.2245056727835966</v>
      </c>
      <c r="G35" s="192">
        <f t="shared" ref="G35:H35" si="9">+G9/G4</f>
        <v>1.2245056727835966</v>
      </c>
      <c r="H35" s="192">
        <f t="shared" si="9"/>
        <v>1.2245056727835966</v>
      </c>
      <c r="I35" s="192">
        <f>+I9/I4</f>
        <v>1.2245056727835966</v>
      </c>
      <c r="J35" s="67"/>
      <c r="AK35" s="52" t="s">
        <v>68</v>
      </c>
      <c r="AL35" s="52" t="s">
        <v>72</v>
      </c>
    </row>
    <row r="36" spans="1:38" s="48" customFormat="1" ht="15.75" customHeight="1">
      <c r="A36" s="52" t="s">
        <v>22</v>
      </c>
      <c r="B36" s="198" t="s">
        <v>73</v>
      </c>
      <c r="C36" s="192">
        <f>+C10/C4</f>
        <v>1.4134787251495615</v>
      </c>
      <c r="D36" s="192">
        <f t="shared" ref="D36:F36" si="10">+D10/D4</f>
        <v>1.4134787251495615</v>
      </c>
      <c r="E36" s="192">
        <f t="shared" si="10"/>
        <v>1.4134787251495615</v>
      </c>
      <c r="F36" s="192">
        <f t="shared" si="10"/>
        <v>1.4134787251495615</v>
      </c>
      <c r="G36" s="192">
        <f t="shared" ref="G36:H36" si="11">+G10/G4</f>
        <v>1.4134787251495615</v>
      </c>
      <c r="H36" s="192">
        <f t="shared" si="11"/>
        <v>1.4134787251495615</v>
      </c>
      <c r="I36" s="192">
        <f>+I10/I4</f>
        <v>1.4134787251495615</v>
      </c>
      <c r="J36" s="67"/>
      <c r="AK36" s="52" t="s">
        <v>25</v>
      </c>
      <c r="AL36" s="52" t="s">
        <v>73</v>
      </c>
    </row>
    <row r="37" spans="1:38" s="48" customFormat="1" ht="15.75" customHeight="1">
      <c r="A37" s="52" t="s">
        <v>68</v>
      </c>
      <c r="B37" s="198" t="s">
        <v>74</v>
      </c>
      <c r="C37" s="192">
        <f>+C11/C4</f>
        <v>6.1743966556191623</v>
      </c>
      <c r="D37" s="192">
        <f t="shared" ref="D37:F37" si="12">+D11/D4</f>
        <v>6.1743966556191623</v>
      </c>
      <c r="E37" s="192">
        <f t="shared" si="12"/>
        <v>6.1743966556191623</v>
      </c>
      <c r="F37" s="192">
        <f t="shared" si="12"/>
        <v>6.1743966556191623</v>
      </c>
      <c r="G37" s="192">
        <f t="shared" ref="G37:H37" si="13">+G11/G4</f>
        <v>6.1743966556191623</v>
      </c>
      <c r="H37" s="192">
        <f t="shared" si="13"/>
        <v>6.1743966556191623</v>
      </c>
      <c r="I37" s="192">
        <f>+I11/I4</f>
        <v>6.1743966556191614</v>
      </c>
      <c r="J37" s="67"/>
      <c r="AK37" s="52" t="s">
        <v>31</v>
      </c>
      <c r="AL37" s="52" t="s">
        <v>74</v>
      </c>
    </row>
    <row r="38" spans="1:38" s="48" customFormat="1" ht="15.75" customHeight="1">
      <c r="A38" s="52" t="s">
        <v>75</v>
      </c>
      <c r="B38" s="199" t="s">
        <v>76</v>
      </c>
      <c r="C38" s="192"/>
      <c r="D38" s="192"/>
      <c r="E38" s="192"/>
      <c r="F38" s="192"/>
      <c r="G38" s="192"/>
      <c r="H38" s="192"/>
      <c r="I38" s="192"/>
      <c r="J38" s="67"/>
      <c r="AK38" s="52" t="s">
        <v>75</v>
      </c>
      <c r="AL38" s="55" t="s">
        <v>76</v>
      </c>
    </row>
    <row r="39" spans="1:38" s="48" customFormat="1" ht="15.75" customHeight="1">
      <c r="A39" s="52" t="s">
        <v>20</v>
      </c>
      <c r="B39" s="198" t="s">
        <v>77</v>
      </c>
      <c r="C39" s="192">
        <f>+C13/C4</f>
        <v>6.5867965023308921</v>
      </c>
      <c r="D39" s="192">
        <f t="shared" ref="D39:H39" si="14">+D13/D4</f>
        <v>6.5098006145514793</v>
      </c>
      <c r="E39" s="192">
        <f t="shared" si="14"/>
        <v>6.4331897062109586</v>
      </c>
      <c r="F39" s="192">
        <f t="shared" si="14"/>
        <v>6.3569618524121436</v>
      </c>
      <c r="G39" s="192">
        <f t="shared" ref="G39" si="15">+G13/G4</f>
        <v>6.281115137882316</v>
      </c>
      <c r="H39" s="192">
        <f t="shared" si="14"/>
        <v>6.2056476569251444</v>
      </c>
      <c r="I39" s="192">
        <f>+I13/I4</f>
        <v>6.3955852450521551</v>
      </c>
      <c r="J39" s="67"/>
      <c r="AK39" s="52" t="s">
        <v>20</v>
      </c>
      <c r="AL39" s="52" t="s">
        <v>78</v>
      </c>
    </row>
    <row r="40" spans="1:38" s="48" customFormat="1" ht="15.75" customHeight="1">
      <c r="A40" s="52" t="s">
        <v>22</v>
      </c>
      <c r="B40" s="198" t="s">
        <v>79</v>
      </c>
      <c r="C40" s="189">
        <f t="shared" ref="C40:H40" si="16">+C21/C39</f>
        <v>9754.8615896557767</v>
      </c>
      <c r="D40" s="189">
        <f t="shared" si="16"/>
        <v>9870.2390447781236</v>
      </c>
      <c r="E40" s="189">
        <f t="shared" si="16"/>
        <v>9987.7807330060459</v>
      </c>
      <c r="F40" s="189">
        <f t="shared" si="16"/>
        <v>10107.546606573671</v>
      </c>
      <c r="G40" s="189">
        <f t="shared" ref="G40" si="17">+G21/G39</f>
        <v>10229.598851316345</v>
      </c>
      <c r="H40" s="189">
        <f t="shared" si="16"/>
        <v>10354.001991679897</v>
      </c>
      <c r="I40" s="189">
        <f t="shared" ref="I40" si="18">+I21/I39</f>
        <v>60279.038496914916</v>
      </c>
      <c r="J40" s="67"/>
      <c r="AK40" s="52" t="s">
        <v>22</v>
      </c>
      <c r="AL40" s="52" t="s">
        <v>79</v>
      </c>
    </row>
    <row r="41" spans="1:38" s="48" customFormat="1" ht="15.75" customHeight="1">
      <c r="A41" s="52" t="s">
        <v>80</v>
      </c>
      <c r="B41" s="55" t="s">
        <v>81</v>
      </c>
      <c r="C41" s="58"/>
      <c r="D41" s="58"/>
      <c r="E41" s="58"/>
      <c r="F41" s="58"/>
      <c r="G41" s="58"/>
      <c r="H41" s="58"/>
      <c r="I41" s="58"/>
      <c r="J41" s="67"/>
      <c r="AK41" s="52" t="s">
        <v>80</v>
      </c>
      <c r="AL41" s="55" t="s">
        <v>81</v>
      </c>
    </row>
    <row r="42" spans="1:38" s="48" customFormat="1" ht="15.75" customHeight="1">
      <c r="A42" s="52" t="s">
        <v>20</v>
      </c>
      <c r="B42" s="52" t="s">
        <v>82</v>
      </c>
      <c r="C42" s="58">
        <f>+C15/C4</f>
        <v>1.8075537620443474</v>
      </c>
      <c r="D42" s="58">
        <f t="shared" ref="D42:H42" si="19">+D15/D4</f>
        <v>1.8075537620443474</v>
      </c>
      <c r="E42" s="58">
        <f t="shared" si="19"/>
        <v>1.8075537620443474</v>
      </c>
      <c r="F42" s="58">
        <f t="shared" si="19"/>
        <v>1.8075537620443474</v>
      </c>
      <c r="G42" s="58">
        <f t="shared" ref="G42" si="20">+G15/G4</f>
        <v>1.8075537620443474</v>
      </c>
      <c r="H42" s="58">
        <f t="shared" si="19"/>
        <v>1.8075537620443474</v>
      </c>
      <c r="I42" s="58">
        <f>+I15/I4</f>
        <v>1.8075537620443474</v>
      </c>
      <c r="J42" s="67"/>
      <c r="AK42" s="52" t="s">
        <v>20</v>
      </c>
      <c r="AL42" s="52" t="s">
        <v>82</v>
      </c>
    </row>
    <row r="43" spans="1:38" s="48" customFormat="1" ht="15.75" customHeight="1">
      <c r="A43" s="52" t="s">
        <v>22</v>
      </c>
      <c r="B43" s="52" t="s">
        <v>83</v>
      </c>
      <c r="C43" s="58">
        <f>+C17/C4</f>
        <v>0.34452069093795662</v>
      </c>
      <c r="D43" s="58">
        <f t="shared" ref="D43:H43" si="21">+D17/D4</f>
        <v>0.34452069093795662</v>
      </c>
      <c r="E43" s="58">
        <f t="shared" si="21"/>
        <v>0.34452069093795662</v>
      </c>
      <c r="F43" s="58">
        <f t="shared" si="21"/>
        <v>0.34452069093795662</v>
      </c>
      <c r="G43" s="58">
        <f t="shared" ref="G43" si="22">+G17/G4</f>
        <v>0.34452069093795662</v>
      </c>
      <c r="H43" s="58">
        <f t="shared" si="21"/>
        <v>0.34452069093795662</v>
      </c>
      <c r="I43" s="58">
        <f>+I17/I4</f>
        <v>0.34452069093795656</v>
      </c>
      <c r="J43" s="67"/>
      <c r="AK43" s="52" t="s">
        <v>22</v>
      </c>
      <c r="AL43" s="52" t="s">
        <v>83</v>
      </c>
    </row>
    <row r="44" spans="1:38" s="48" customFormat="1" ht="15.75" customHeight="1">
      <c r="A44" s="52" t="s">
        <v>68</v>
      </c>
      <c r="B44" s="52" t="s">
        <v>84</v>
      </c>
      <c r="C44" s="58">
        <f>+C18/C4</f>
        <v>1.5078679555435219</v>
      </c>
      <c r="D44" s="58">
        <f t="shared" ref="D44:H44" si="23">+D18/D4</f>
        <v>1.5078679555435219</v>
      </c>
      <c r="E44" s="58">
        <f t="shared" si="23"/>
        <v>1.5078679555435219</v>
      </c>
      <c r="F44" s="58">
        <f t="shared" si="23"/>
        <v>1.5078679555435219</v>
      </c>
      <c r="G44" s="58">
        <f t="shared" ref="G44" si="24">+G18/G4</f>
        <v>1.5078679555435219</v>
      </c>
      <c r="H44" s="58">
        <f t="shared" si="23"/>
        <v>1.5078679555435219</v>
      </c>
      <c r="I44" s="58">
        <f>+I18/I4</f>
        <v>1.5078679555435222</v>
      </c>
      <c r="J44" s="67"/>
      <c r="AK44" s="52" t="s">
        <v>68</v>
      </c>
      <c r="AL44" s="52" t="s">
        <v>84</v>
      </c>
    </row>
    <row r="45" spans="1:38" s="48" customFormat="1" ht="15.75" customHeight="1">
      <c r="A45" s="52" t="s">
        <v>25</v>
      </c>
      <c r="B45" s="52" t="s">
        <v>85</v>
      </c>
      <c r="C45" s="58"/>
      <c r="D45" s="58"/>
      <c r="E45" s="58"/>
      <c r="F45" s="58"/>
      <c r="G45" s="58"/>
      <c r="H45" s="58"/>
      <c r="I45" s="58"/>
      <c r="J45" s="67"/>
      <c r="AK45" s="52" t="s">
        <v>25</v>
      </c>
      <c r="AL45" s="52" t="s">
        <v>86</v>
      </c>
    </row>
    <row r="46" spans="1:38" s="48" customFormat="1" ht="15.75" customHeight="1">
      <c r="A46" s="52" t="s">
        <v>28</v>
      </c>
      <c r="B46" s="52" t="s">
        <v>87</v>
      </c>
      <c r="C46" s="58"/>
      <c r="D46" s="58"/>
      <c r="E46" s="58"/>
      <c r="F46" s="58"/>
      <c r="G46" s="58"/>
      <c r="H46" s="58"/>
      <c r="I46" s="58"/>
      <c r="J46" s="67"/>
      <c r="AK46" s="52" t="s">
        <v>28</v>
      </c>
      <c r="AL46" s="52" t="s">
        <v>87</v>
      </c>
    </row>
    <row r="47" spans="1:38" s="48" customFormat="1" ht="15.75" customHeight="1">
      <c r="A47" s="52" t="s">
        <v>88</v>
      </c>
      <c r="B47" s="55" t="s">
        <v>89</v>
      </c>
      <c r="C47" s="58"/>
      <c r="D47" s="58"/>
      <c r="E47" s="58"/>
      <c r="F47" s="58"/>
      <c r="G47" s="58"/>
      <c r="H47" s="58"/>
      <c r="I47" s="58"/>
      <c r="J47" s="67"/>
      <c r="AK47" s="52" t="s">
        <v>88</v>
      </c>
      <c r="AL47" s="55" t="s">
        <v>89</v>
      </c>
    </row>
    <row r="48" spans="1:38" s="48" customFormat="1" ht="15.75" customHeight="1">
      <c r="A48" s="52" t="s">
        <v>20</v>
      </c>
      <c r="B48" s="52" t="s">
        <v>90</v>
      </c>
      <c r="C48" s="122">
        <f>+(C11+C17)/C7</f>
        <v>0.27625682800245477</v>
      </c>
      <c r="D48" s="122">
        <f t="shared" ref="D48:H48" si="25">+(D11+D17)/D7</f>
        <v>0.27764505326879874</v>
      </c>
      <c r="E48" s="122">
        <f t="shared" si="25"/>
        <v>0.27904025454150627</v>
      </c>
      <c r="F48" s="122">
        <f t="shared" si="25"/>
        <v>0.2804424668758857</v>
      </c>
      <c r="G48" s="122">
        <f t="shared" ref="G48" si="26">+(G11+G17)/G7</f>
        <v>0.28185172550340276</v>
      </c>
      <c r="H48" s="122">
        <f t="shared" si="25"/>
        <v>0.28326806583256559</v>
      </c>
      <c r="I48" s="122">
        <f>+(I11+I17)/I7</f>
        <v>0.27973023229445615</v>
      </c>
      <c r="J48" s="67"/>
      <c r="AK48" s="52" t="s">
        <v>20</v>
      </c>
      <c r="AL48" s="52" t="s">
        <v>90</v>
      </c>
    </row>
    <row r="49" spans="1:38" s="48" customFormat="1" ht="15.75" customHeight="1">
      <c r="A49" s="52" t="s">
        <v>22</v>
      </c>
      <c r="B49" s="52" t="s">
        <v>91</v>
      </c>
      <c r="C49" s="122">
        <f>+(C9+C10+C15)/C7</f>
        <v>0.18839175365336783</v>
      </c>
      <c r="D49" s="122">
        <f t="shared" ref="D49:H49" si="27">+(D9+D10+D15)/D7</f>
        <v>0.1893384458827817</v>
      </c>
      <c r="E49" s="122">
        <f t="shared" si="27"/>
        <v>0.19028989535957963</v>
      </c>
      <c r="F49" s="122">
        <f t="shared" si="27"/>
        <v>0.19124612598952725</v>
      </c>
      <c r="G49" s="122">
        <f t="shared" ref="G49" si="28">+(G9+G10+G15)/G7</f>
        <v>0.19220716179851988</v>
      </c>
      <c r="H49" s="122">
        <f t="shared" si="27"/>
        <v>0.1931730269331858</v>
      </c>
      <c r="I49" s="122">
        <f>+(I9+I10+I15)/I7</f>
        <v>0.19076042171652052</v>
      </c>
      <c r="J49" s="67"/>
      <c r="AK49" s="52" t="s">
        <v>22</v>
      </c>
      <c r="AL49" s="52" t="s">
        <v>91</v>
      </c>
    </row>
    <row r="50" spans="1:38" s="48" customFormat="1" ht="15.75" customHeight="1">
      <c r="A50" s="52" t="s">
        <v>68</v>
      </c>
      <c r="B50" s="52" t="s">
        <v>92</v>
      </c>
      <c r="C50" s="122">
        <f>+C18/C7</f>
        <v>6.3899999999999998E-2</v>
      </c>
      <c r="D50" s="122">
        <f t="shared" ref="D50:H50" si="29">+D18/D7</f>
        <v>6.4221105527638184E-2</v>
      </c>
      <c r="E50" s="122">
        <f t="shared" si="29"/>
        <v>6.4543824650892659E-2</v>
      </c>
      <c r="F50" s="122">
        <f t="shared" si="29"/>
        <v>6.4868165478284071E-2</v>
      </c>
      <c r="G50" s="122">
        <f t="shared" ref="G50" si="30">+G18/G7</f>
        <v>6.5194136159079485E-2</v>
      </c>
      <c r="H50" s="122">
        <f t="shared" si="29"/>
        <v>6.5521744883496963E-2</v>
      </c>
      <c r="I50" s="122">
        <f>+I18/I7</f>
        <v>6.4703420990039437E-2</v>
      </c>
      <c r="J50" s="67"/>
      <c r="AK50" s="52" t="s">
        <v>68</v>
      </c>
      <c r="AL50" s="52" t="s">
        <v>92</v>
      </c>
    </row>
    <row r="51" spans="1:38" s="48" customFormat="1" ht="15.75" customHeight="1">
      <c r="A51" s="52" t="s">
        <v>25</v>
      </c>
      <c r="B51" s="52" t="s">
        <v>93</v>
      </c>
      <c r="C51" s="122">
        <f>+C19/C7</f>
        <v>0</v>
      </c>
      <c r="D51" s="122">
        <f t="shared" ref="D51:H51" si="31">+D19/D7</f>
        <v>0</v>
      </c>
      <c r="E51" s="122">
        <f t="shared" si="31"/>
        <v>0</v>
      </c>
      <c r="F51" s="122">
        <f t="shared" si="31"/>
        <v>0</v>
      </c>
      <c r="G51" s="122">
        <f t="shared" ref="G51" si="32">+G19/G7</f>
        <v>0</v>
      </c>
      <c r="H51" s="122">
        <f t="shared" si="31"/>
        <v>0</v>
      </c>
      <c r="I51" s="122">
        <f>+I19/I7</f>
        <v>0</v>
      </c>
      <c r="J51" s="67"/>
      <c r="AK51" s="52" t="s">
        <v>25</v>
      </c>
      <c r="AL51" s="52" t="s">
        <v>93</v>
      </c>
    </row>
    <row r="52" spans="1:38" s="48" customFormat="1" ht="15.75" customHeight="1">
      <c r="A52" s="52" t="s">
        <v>28</v>
      </c>
      <c r="B52" s="52" t="s">
        <v>94</v>
      </c>
      <c r="C52" s="122">
        <f>+C20/C7</f>
        <v>0.05</v>
      </c>
      <c r="D52" s="122">
        <f t="shared" ref="D52:H52" si="33">+D20/D7</f>
        <v>5.0251256281407038E-2</v>
      </c>
      <c r="E52" s="122">
        <f t="shared" si="33"/>
        <v>5.0503775157193002E-2</v>
      </c>
      <c r="F52" s="122">
        <f t="shared" si="33"/>
        <v>5.075756297205327E-2</v>
      </c>
      <c r="G52" s="122">
        <f t="shared" ref="G52" si="34">+G20/G7</f>
        <v>5.1012626102566107E-2</v>
      </c>
      <c r="H52" s="122">
        <f t="shared" si="33"/>
        <v>5.1268970957352868E-2</v>
      </c>
      <c r="I52" s="122">
        <f>+I20/I7</f>
        <v>5.0628654921783603E-2</v>
      </c>
      <c r="J52" s="67"/>
      <c r="AK52" s="52" t="s">
        <v>28</v>
      </c>
      <c r="AL52" s="52" t="s">
        <v>94</v>
      </c>
    </row>
    <row r="53" spans="1:38" s="48" customFormat="1" ht="15.75" customHeight="1">
      <c r="A53" s="52" t="s">
        <v>31</v>
      </c>
      <c r="B53" s="52" t="s">
        <v>95</v>
      </c>
      <c r="C53" s="122">
        <f>+C24/C7</f>
        <v>6.2928382850486075E-2</v>
      </c>
      <c r="D53" s="122">
        <f t="shared" ref="D53:H53" si="35">+D24/D7</f>
        <v>6.0457195441403468E-2</v>
      </c>
      <c r="E53" s="122">
        <f t="shared" si="35"/>
        <v>5.7973590005139526E-2</v>
      </c>
      <c r="F53" s="122">
        <f t="shared" si="35"/>
        <v>5.5477504139547565E-2</v>
      </c>
      <c r="G53" s="122">
        <f t="shared" ref="G53" si="36">+G24/G7</f>
        <v>5.2968875128902332E-2</v>
      </c>
      <c r="H53" s="122">
        <f t="shared" si="35"/>
        <v>5.0447639942324235E-2</v>
      </c>
      <c r="I53" s="122">
        <f>+I24/I7</f>
        <v>5.6745356823555533E-2</v>
      </c>
      <c r="J53" s="67"/>
      <c r="AK53" s="52" t="s">
        <v>31</v>
      </c>
      <c r="AL53" s="52" t="s">
        <v>96</v>
      </c>
    </row>
    <row r="54" spans="1:38" s="48" customFormat="1" ht="15.75" customHeight="1">
      <c r="A54" s="52" t="s">
        <v>97</v>
      </c>
      <c r="B54" s="55" t="s">
        <v>98</v>
      </c>
      <c r="C54" s="58">
        <f>+C22/C4</f>
        <v>1.7469887138805573</v>
      </c>
      <c r="D54" s="58">
        <f t="shared" ref="D54:H54" si="37">+D22/D4</f>
        <v>1.6699928261011447</v>
      </c>
      <c r="E54" s="58">
        <f t="shared" si="37"/>
        <v>1.5933819177606241</v>
      </c>
      <c r="F54" s="58">
        <f t="shared" si="37"/>
        <v>1.5171540639618089</v>
      </c>
      <c r="G54" s="58">
        <f t="shared" ref="G54" si="38">+G22/G4</f>
        <v>1.4413073494319812</v>
      </c>
      <c r="H54" s="58">
        <f t="shared" si="37"/>
        <v>1.3658398684748103</v>
      </c>
      <c r="I54" s="58">
        <f>+I22/I4</f>
        <v>1.5557774566018201</v>
      </c>
      <c r="J54" s="67"/>
      <c r="AK54" s="52" t="s">
        <v>97</v>
      </c>
      <c r="AL54" s="55" t="s">
        <v>98</v>
      </c>
    </row>
    <row r="55" spans="1:38" s="48" customFormat="1" ht="15.75" customHeight="1">
      <c r="A55" s="52" t="s">
        <v>99</v>
      </c>
      <c r="B55" s="123" t="s">
        <v>100</v>
      </c>
      <c r="C55" s="58"/>
      <c r="D55" s="58"/>
      <c r="E55" s="58"/>
      <c r="F55" s="58"/>
      <c r="G55" s="58"/>
      <c r="H55" s="58"/>
      <c r="I55" s="58"/>
      <c r="J55" s="67"/>
      <c r="AK55" s="52"/>
      <c r="AL55" s="55"/>
    </row>
    <row r="56" spans="1:38" s="48" customFormat="1" ht="15.75" customHeight="1">
      <c r="A56" s="52" t="s">
        <v>20</v>
      </c>
      <c r="B56" s="52" t="s">
        <v>101</v>
      </c>
      <c r="C56" s="58">
        <f>C57+C58</f>
        <v>0</v>
      </c>
      <c r="D56" s="58"/>
      <c r="E56" s="58"/>
      <c r="F56" s="58"/>
      <c r="G56" s="58"/>
      <c r="H56" s="58"/>
      <c r="I56" s="58"/>
      <c r="J56" s="67"/>
    </row>
    <row r="57" spans="1:38" s="48" customFormat="1" ht="15.75" customHeight="1">
      <c r="A57" s="52">
        <v>1.1000000000000001</v>
      </c>
      <c r="B57" s="124" t="s">
        <v>102</v>
      </c>
      <c r="C57" s="58">
        <f>项目投资!B27</f>
        <v>0</v>
      </c>
      <c r="D57" s="58"/>
      <c r="E57" s="58"/>
      <c r="F57" s="58"/>
      <c r="G57" s="58"/>
      <c r="H57" s="58"/>
      <c r="I57" s="58"/>
      <c r="J57" s="67"/>
    </row>
    <row r="58" spans="1:38" s="48" customFormat="1" ht="15.75" customHeight="1">
      <c r="A58" s="52">
        <v>1.2</v>
      </c>
      <c r="B58" s="52" t="s">
        <v>103</v>
      </c>
      <c r="C58" s="58">
        <f>项目投资!B26</f>
        <v>0</v>
      </c>
      <c r="D58" s="58"/>
      <c r="E58" s="58"/>
      <c r="F58" s="58"/>
      <c r="G58" s="58"/>
      <c r="H58" s="58"/>
      <c r="I58" s="58"/>
      <c r="J58" s="67"/>
    </row>
    <row r="59" spans="1:38" ht="15.75" customHeight="1">
      <c r="A59" s="116" t="s">
        <v>22</v>
      </c>
      <c r="B59" s="116" t="s">
        <v>104</v>
      </c>
      <c r="C59" s="125">
        <f t="shared" ref="C59:H59" si="39">C60+C61</f>
        <v>19714.068840656539</v>
      </c>
      <c r="D59" s="125">
        <f t="shared" si="39"/>
        <v>18845.201045420956</v>
      </c>
      <c r="E59" s="125">
        <f t="shared" si="39"/>
        <v>17980.677589161547</v>
      </c>
      <c r="F59" s="125">
        <f t="shared" si="39"/>
        <v>17120.476750183418</v>
      </c>
      <c r="G59" s="125">
        <f t="shared" si="39"/>
        <v>16264.576915400159</v>
      </c>
      <c r="H59" s="125">
        <f t="shared" si="39"/>
        <v>15412.956579790833</v>
      </c>
      <c r="I59" s="125">
        <f>I60+I61</f>
        <v>105337.9577206134</v>
      </c>
      <c r="J59" s="67"/>
    </row>
    <row r="60" spans="1:38" ht="15.75" customHeight="1">
      <c r="A60" s="116" t="s">
        <v>68</v>
      </c>
      <c r="B60" s="116" t="s">
        <v>105</v>
      </c>
      <c r="C60" s="125">
        <f t="shared" ref="C60:H60" si="40">C24</f>
        <v>19714.068840656539</v>
      </c>
      <c r="D60" s="125">
        <f t="shared" si="40"/>
        <v>18845.201045420956</v>
      </c>
      <c r="E60" s="125">
        <f t="shared" si="40"/>
        <v>17980.677589161547</v>
      </c>
      <c r="F60" s="125">
        <f t="shared" si="40"/>
        <v>17120.476750183418</v>
      </c>
      <c r="G60" s="125">
        <f t="shared" si="40"/>
        <v>16264.576915400159</v>
      </c>
      <c r="H60" s="125">
        <f t="shared" si="40"/>
        <v>15412.956579790833</v>
      </c>
      <c r="I60" s="125">
        <f t="shared" ref="I60" si="41">I24</f>
        <v>105337.9577206134</v>
      </c>
      <c r="J60" s="67"/>
    </row>
    <row r="61" spans="1:38" ht="15.75" customHeight="1">
      <c r="A61" s="116" t="s">
        <v>25</v>
      </c>
      <c r="B61" s="116" t="s">
        <v>106</v>
      </c>
      <c r="C61" s="125">
        <f>'2023年'!E18</f>
        <v>0</v>
      </c>
      <c r="D61" s="125">
        <f>'2024年'!E18</f>
        <v>0</v>
      </c>
      <c r="E61" s="125">
        <f>'2025年'!E18</f>
        <v>0</v>
      </c>
      <c r="F61" s="125">
        <f>'2026年'!E18</f>
        <v>0</v>
      </c>
      <c r="G61" s="125">
        <f>'2027年 '!E18</f>
        <v>0</v>
      </c>
      <c r="H61" s="125">
        <f>'2028年'!E18</f>
        <v>0</v>
      </c>
      <c r="I61" s="125"/>
      <c r="J61" s="67"/>
    </row>
    <row r="62" spans="1:38" ht="15.75" customHeight="1">
      <c r="A62" s="116" t="s">
        <v>28</v>
      </c>
      <c r="B62" s="116" t="s">
        <v>107</v>
      </c>
      <c r="C62" s="126"/>
      <c r="D62" s="126"/>
      <c r="E62" s="126"/>
      <c r="F62" s="126"/>
      <c r="G62" s="126"/>
      <c r="H62" s="126"/>
      <c r="I62" s="125"/>
      <c r="J62" s="67"/>
    </row>
  </sheetData>
  <mergeCells count="2">
    <mergeCell ref="A3:A4"/>
    <mergeCell ref="A1:I1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108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109</v>
      </c>
      <c r="B2" s="75"/>
    </row>
    <row r="3" spans="1:13" ht="16.899999999999999" customHeight="1">
      <c r="A3" s="76" t="s">
        <v>15</v>
      </c>
      <c r="B3" s="76" t="s">
        <v>110</v>
      </c>
      <c r="C3" s="244" t="s">
        <v>111</v>
      </c>
      <c r="D3" s="244"/>
      <c r="E3" s="244"/>
      <c r="F3" s="78"/>
      <c r="G3" s="79"/>
      <c r="H3" s="80"/>
      <c r="I3" s="80"/>
      <c r="J3" s="80" t="s">
        <v>112</v>
      </c>
      <c r="K3" s="80"/>
      <c r="L3" s="80"/>
      <c r="M3" s="101"/>
    </row>
    <row r="4" spans="1:13" ht="16.149999999999999" customHeight="1">
      <c r="A4" s="81"/>
      <c r="B4" s="81" t="s">
        <v>113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114</v>
      </c>
    </row>
    <row r="5" spans="1:13" ht="15.6" customHeight="1">
      <c r="A5" s="83">
        <v>1</v>
      </c>
      <c r="B5" s="84" t="s">
        <v>115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313277.85567755555</v>
      </c>
      <c r="G5" s="85">
        <f t="shared" si="1"/>
        <v>313277.85567755555</v>
      </c>
      <c r="H5" s="85">
        <f t="shared" si="1"/>
        <v>313277.85567755555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1879667.1340653333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116</v>
      </c>
      <c r="C6" s="87"/>
      <c r="D6" s="87"/>
      <c r="E6" s="87" t="e">
        <f>损益表!#REF!</f>
        <v>#REF!</v>
      </c>
      <c r="F6" s="87">
        <f>损益表!C5</f>
        <v>313277.85567755555</v>
      </c>
      <c r="G6" s="87">
        <f>损益表!D5</f>
        <v>313277.85567755555</v>
      </c>
      <c r="H6" s="87">
        <f>损益表!E5</f>
        <v>313277.85567755555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损益表!I5</f>
        <v>1879667.1340653333</v>
      </c>
      <c r="M6" s="89" t="e">
        <f t="shared" si="2"/>
        <v>#REF!</v>
      </c>
    </row>
    <row r="7" spans="1:13" ht="15.6" customHeight="1">
      <c r="A7" s="83">
        <v>1.2</v>
      </c>
      <c r="B7" s="86" t="s">
        <v>117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118</v>
      </c>
      <c r="C8" s="87" t="s">
        <v>119</v>
      </c>
      <c r="D8" s="87" t="s">
        <v>119</v>
      </c>
      <c r="E8" s="87" t="s">
        <v>119</v>
      </c>
      <c r="F8" s="87" t="s">
        <v>119</v>
      </c>
      <c r="G8" s="87" t="s">
        <v>119</v>
      </c>
      <c r="H8" s="87" t="s">
        <v>119</v>
      </c>
      <c r="I8" s="87" t="s">
        <v>119</v>
      </c>
      <c r="J8" s="87" t="s">
        <v>119</v>
      </c>
      <c r="K8" s="87" t="s">
        <v>119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120</v>
      </c>
      <c r="C9" s="87" t="s">
        <v>119</v>
      </c>
      <c r="D9" s="87" t="s">
        <v>119</v>
      </c>
      <c r="E9" s="87" t="s">
        <v>119</v>
      </c>
      <c r="F9" s="87" t="s">
        <v>119</v>
      </c>
      <c r="G9" s="87" t="s">
        <v>119</v>
      </c>
      <c r="H9" s="87" t="s">
        <v>119</v>
      </c>
      <c r="I9" s="87" t="s">
        <v>119</v>
      </c>
      <c r="J9" s="87" t="s">
        <v>119</v>
      </c>
      <c r="K9" s="87" t="s">
        <v>119</v>
      </c>
      <c r="L9" s="87" t="s">
        <v>119</v>
      </c>
      <c r="M9" s="89">
        <f t="shared" si="2"/>
        <v>0</v>
      </c>
    </row>
    <row r="10" spans="1:13" ht="15.6" customHeight="1">
      <c r="A10" s="88">
        <v>2</v>
      </c>
      <c r="B10" s="84" t="s">
        <v>121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122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123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124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125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55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127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313277.85567755555</v>
      </c>
      <c r="G17" s="85">
        <f t="shared" si="4"/>
        <v>313277.85567755555</v>
      </c>
      <c r="H17" s="85">
        <f t="shared" si="4"/>
        <v>313277.85567755555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1879667.1340653333</v>
      </c>
      <c r="M17" s="89" t="e">
        <f t="shared" si="2"/>
        <v>#REF!</v>
      </c>
    </row>
    <row r="18" spans="1:18" ht="12">
      <c r="A18" s="90">
        <v>4</v>
      </c>
      <c r="B18" s="86" t="s">
        <v>128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119</v>
      </c>
    </row>
    <row r="19" spans="1:18" s="70" customFormat="1" ht="12">
      <c r="A19" s="90">
        <v>5</v>
      </c>
      <c r="B19" s="86" t="s">
        <v>129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313277.85567755555</v>
      </c>
      <c r="G19" s="87">
        <f t="shared" si="6"/>
        <v>313277.85567755555</v>
      </c>
      <c r="H19" s="87">
        <f t="shared" si="6"/>
        <v>313277.85567755555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1879667.1340653333</v>
      </c>
      <c r="M19" s="89" t="e">
        <f>SUM(C19:L19)</f>
        <v>#REF!</v>
      </c>
    </row>
    <row r="20" spans="1:18" s="70" customFormat="1" ht="12">
      <c r="A20" s="83">
        <v>6</v>
      </c>
      <c r="B20" s="86" t="s">
        <v>130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119</v>
      </c>
    </row>
    <row r="21" spans="1:18" ht="12">
      <c r="A21" s="91"/>
      <c r="B21" s="92" t="s">
        <v>131</v>
      </c>
      <c r="C21" s="92"/>
      <c r="D21" s="92"/>
      <c r="E21" s="92" t="s">
        <v>132</v>
      </c>
      <c r="F21" s="92"/>
      <c r="G21" s="92"/>
      <c r="H21" s="92"/>
      <c r="I21" s="92" t="s">
        <v>133</v>
      </c>
      <c r="J21" s="92"/>
      <c r="K21" s="92"/>
      <c r="L21" s="92"/>
      <c r="M21" s="103"/>
    </row>
    <row r="22" spans="1:18" ht="12">
      <c r="A22" s="93"/>
      <c r="B22" s="94" t="s">
        <v>134</v>
      </c>
      <c r="C22" s="94"/>
      <c r="D22" s="95" t="s">
        <v>135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136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137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workbookViewId="0">
      <pane xSplit="2" ySplit="7" topLeftCell="C8" activePane="bottomRight" state="frozen"/>
      <selection pane="topRight"/>
      <selection pane="bottomLeft"/>
      <selection pane="bottomRight" activeCell="F9" sqref="F9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23.75" style="48" customWidth="1"/>
    <col min="7" max="12" width="9" style="48" customWidth="1"/>
    <col min="13" max="29" width="9" style="48"/>
    <col min="30" max="30" width="4.375" style="48" customWidth="1"/>
    <col min="31" max="31" width="13.875" style="48" customWidth="1"/>
    <col min="32" max="16384" width="9" style="48"/>
  </cols>
  <sheetData>
    <row r="1" spans="1:32">
      <c r="A1" s="245" t="s">
        <v>138</v>
      </c>
      <c r="B1" s="245"/>
      <c r="C1" s="249" t="s">
        <v>229</v>
      </c>
      <c r="D1" s="250"/>
      <c r="E1" s="251"/>
    </row>
    <row r="2" spans="1:32">
      <c r="A2" s="245" t="s">
        <v>139</v>
      </c>
      <c r="B2" s="245"/>
      <c r="C2" s="252" t="s">
        <v>231</v>
      </c>
      <c r="D2" s="252"/>
      <c r="E2" s="252"/>
    </row>
    <row r="3" spans="1:32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2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2">
      <c r="A5" s="245" t="s">
        <v>142</v>
      </c>
      <c r="B5" s="245"/>
      <c r="C5" s="51"/>
      <c r="D5" s="182"/>
      <c r="E5" s="248"/>
      <c r="AF5" s="48" t="s">
        <v>17</v>
      </c>
    </row>
    <row r="6" spans="1:32" ht="17.25">
      <c r="A6" s="52" t="s">
        <v>15</v>
      </c>
      <c r="B6" s="53" t="s">
        <v>143</v>
      </c>
      <c r="C6" s="22">
        <f>销量!C9</f>
        <v>4901</v>
      </c>
      <c r="D6" s="22">
        <f>销量!D9</f>
        <v>8375</v>
      </c>
      <c r="E6" s="54">
        <f>SUM(C6:D6)</f>
        <v>13276</v>
      </c>
      <c r="N6" s="53" t="s">
        <v>3</v>
      </c>
      <c r="AD6" s="52" t="s">
        <v>15</v>
      </c>
      <c r="AE6" s="53" t="s">
        <v>3</v>
      </c>
      <c r="AF6" s="48" t="s">
        <v>18</v>
      </c>
    </row>
    <row r="7" spans="1:32">
      <c r="A7" s="50">
        <v>1</v>
      </c>
      <c r="B7" s="53" t="s">
        <v>19</v>
      </c>
      <c r="C7" s="54">
        <f>C6*销量!C8</f>
        <v>298625.02174699999</v>
      </c>
      <c r="D7" s="54">
        <f>D6*销量!D8</f>
        <v>14652.833930555555</v>
      </c>
      <c r="E7" s="54">
        <f t="shared" ref="E7:E22" si="0">SUM(C7:D7)</f>
        <v>313277.85567755555</v>
      </c>
      <c r="F7" s="49"/>
      <c r="N7" s="53" t="s">
        <v>19</v>
      </c>
      <c r="AD7" s="52" t="s">
        <v>20</v>
      </c>
      <c r="AE7" s="53" t="s">
        <v>19</v>
      </c>
      <c r="AF7" s="48" t="s">
        <v>18</v>
      </c>
    </row>
    <row r="8" spans="1:32">
      <c r="A8" s="50">
        <v>2</v>
      </c>
      <c r="B8" s="50" t="s">
        <v>21</v>
      </c>
      <c r="C8" s="54"/>
      <c r="D8" s="54"/>
      <c r="E8" s="54">
        <f t="shared" si="0"/>
        <v>0</v>
      </c>
      <c r="F8" s="67"/>
      <c r="N8" s="50" t="s">
        <v>23</v>
      </c>
      <c r="AD8" s="52" t="s">
        <v>22</v>
      </c>
      <c r="AE8" s="50" t="s">
        <v>23</v>
      </c>
      <c r="AF8" s="48" t="s">
        <v>18</v>
      </c>
    </row>
    <row r="9" spans="1:32">
      <c r="A9" s="50">
        <v>3</v>
      </c>
      <c r="B9" s="53" t="s">
        <v>24</v>
      </c>
      <c r="C9" s="54">
        <f>+C7-C8</f>
        <v>298625.02174699999</v>
      </c>
      <c r="D9" s="54">
        <f>+D7-D8</f>
        <v>14652.833930555555</v>
      </c>
      <c r="E9" s="54">
        <f t="shared" si="0"/>
        <v>313277.85567755555</v>
      </c>
      <c r="N9" s="53" t="s">
        <v>24</v>
      </c>
      <c r="AD9" s="52" t="s">
        <v>25</v>
      </c>
      <c r="AE9" s="53" t="s">
        <v>24</v>
      </c>
      <c r="AF9" s="48" t="s">
        <v>26</v>
      </c>
    </row>
    <row r="10" spans="1:32">
      <c r="A10" s="50">
        <v>4</v>
      </c>
      <c r="B10" s="52" t="s">
        <v>27</v>
      </c>
      <c r="C10" s="54">
        <f>C6*C33</f>
        <v>106828.37444565001</v>
      </c>
      <c r="D10" s="54">
        <f>D6*D33</f>
        <v>2010</v>
      </c>
      <c r="E10" s="54">
        <f t="shared" si="0"/>
        <v>108838.37444565001</v>
      </c>
      <c r="N10" s="52" t="s">
        <v>27</v>
      </c>
      <c r="AD10" s="52" t="s">
        <v>28</v>
      </c>
      <c r="AE10" s="52" t="s">
        <v>27</v>
      </c>
      <c r="AF10" s="48" t="s">
        <v>29</v>
      </c>
    </row>
    <row r="11" spans="1:32">
      <c r="A11" s="50">
        <v>5</v>
      </c>
      <c r="B11" s="52" t="s">
        <v>30</v>
      </c>
      <c r="C11" s="54">
        <f>+C6*C36</f>
        <v>15496.176063226931</v>
      </c>
      <c r="D11" s="54">
        <f>+D6*D36</f>
        <v>760.36124864809813</v>
      </c>
      <c r="E11" s="54">
        <f t="shared" si="0"/>
        <v>16256.537311875029</v>
      </c>
      <c r="N11" s="52" t="s">
        <v>30</v>
      </c>
      <c r="AD11" s="52" t="s">
        <v>31</v>
      </c>
      <c r="AE11" s="52" t="s">
        <v>30</v>
      </c>
    </row>
    <row r="12" spans="1:32">
      <c r="A12" s="50">
        <v>6</v>
      </c>
      <c r="B12" s="52" t="s">
        <v>32</v>
      </c>
      <c r="C12" s="54">
        <f>+C6*C37</f>
        <v>17887.638802645302</v>
      </c>
      <c r="D12" s="54">
        <f>+D6*D37</f>
        <v>877.70475244027773</v>
      </c>
      <c r="E12" s="54">
        <f t="shared" si="0"/>
        <v>18765.343555085579</v>
      </c>
      <c r="N12" s="52" t="s">
        <v>32</v>
      </c>
      <c r="AD12" s="52" t="s">
        <v>33</v>
      </c>
      <c r="AE12" s="52" t="s">
        <v>32</v>
      </c>
    </row>
    <row r="13" spans="1:32">
      <c r="A13" s="50">
        <v>7</v>
      </c>
      <c r="B13" s="52" t="s">
        <v>34</v>
      </c>
      <c r="C13" s="54">
        <f>+C6*C38</f>
        <v>74936.289999999994</v>
      </c>
      <c r="D13" s="54">
        <f>+D6*D38</f>
        <v>7035</v>
      </c>
      <c r="E13" s="54">
        <f t="shared" si="0"/>
        <v>81971.289999999994</v>
      </c>
      <c r="N13" s="52" t="s">
        <v>34</v>
      </c>
      <c r="AD13" s="52" t="s">
        <v>35</v>
      </c>
      <c r="AE13" s="52" t="s">
        <v>34</v>
      </c>
      <c r="AF13" s="48" t="s">
        <v>18</v>
      </c>
    </row>
    <row r="14" spans="1:32">
      <c r="A14" s="50">
        <v>8</v>
      </c>
      <c r="B14" s="55" t="s">
        <v>36</v>
      </c>
      <c r="C14" s="54">
        <f>SUM(C11:C13)</f>
        <v>108320.10486587223</v>
      </c>
      <c r="D14" s="54">
        <f>SUM(D11:D13)</f>
        <v>8673.0660010883767</v>
      </c>
      <c r="E14" s="54">
        <f t="shared" si="0"/>
        <v>116993.1708669606</v>
      </c>
      <c r="N14" s="55" t="s">
        <v>36</v>
      </c>
      <c r="AD14" s="52" t="s">
        <v>37</v>
      </c>
      <c r="AE14" s="55" t="s">
        <v>36</v>
      </c>
    </row>
    <row r="15" spans="1:32">
      <c r="A15" s="50">
        <v>9</v>
      </c>
      <c r="B15" s="55" t="s">
        <v>38</v>
      </c>
      <c r="C15" s="54">
        <f>+C9-C10-C14</f>
        <v>83476.542435477735</v>
      </c>
      <c r="D15" s="54">
        <f>+D9-D10-D14</f>
        <v>3969.767929467178</v>
      </c>
      <c r="E15" s="54">
        <f>+E9-E10-E14</f>
        <v>87446.310364944919</v>
      </c>
      <c r="N15" s="55" t="s">
        <v>38</v>
      </c>
      <c r="AD15" s="52" t="s">
        <v>39</v>
      </c>
      <c r="AE15" s="55" t="s">
        <v>38</v>
      </c>
    </row>
    <row r="16" spans="1:32">
      <c r="A16" s="50">
        <v>10</v>
      </c>
      <c r="B16" s="52" t="s">
        <v>40</v>
      </c>
      <c r="C16" s="232">
        <f>+C15/C9</f>
        <v>0.27953632936425676</v>
      </c>
      <c r="D16" s="232">
        <f>+D15/D9</f>
        <v>0.27092151240375562</v>
      </c>
      <c r="E16" s="232">
        <f>+E15/E9</f>
        <v>0.27913339158880712</v>
      </c>
      <c r="N16" s="52" t="s">
        <v>40</v>
      </c>
      <c r="AD16" s="52" t="s">
        <v>41</v>
      </c>
      <c r="AE16" s="52" t="s">
        <v>40</v>
      </c>
    </row>
    <row r="17" spans="1:32">
      <c r="A17" s="50">
        <v>11</v>
      </c>
      <c r="B17" s="52" t="s">
        <v>42</v>
      </c>
      <c r="C17" s="54">
        <f>C6*C43+C18</f>
        <v>22874.6766658202</v>
      </c>
      <c r="D17" s="54">
        <f>D6*D43+D18</f>
        <v>1122.4070790805556</v>
      </c>
      <c r="E17" s="54">
        <f t="shared" si="0"/>
        <v>23997.083744900756</v>
      </c>
      <c r="F17" s="155"/>
      <c r="N17" s="52" t="s">
        <v>42</v>
      </c>
      <c r="AD17" s="52" t="s">
        <v>43</v>
      </c>
      <c r="AE17" s="52" t="s">
        <v>42</v>
      </c>
    </row>
    <row r="18" spans="1:32" s="46" customFormat="1">
      <c r="A18" s="50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156" t="s">
        <v>145</v>
      </c>
    </row>
    <row r="19" spans="1:32">
      <c r="A19" s="50">
        <v>13</v>
      </c>
      <c r="B19" s="52" t="s">
        <v>44</v>
      </c>
      <c r="C19" s="54">
        <f>C6*C44</f>
        <v>4359.9253175062004</v>
      </c>
      <c r="D19" s="54">
        <f>D6*D44</f>
        <v>213.93137538611111</v>
      </c>
      <c r="E19" s="54">
        <f t="shared" si="0"/>
        <v>4573.8566928923119</v>
      </c>
      <c r="F19" s="157"/>
      <c r="N19" s="52" t="s">
        <v>44</v>
      </c>
      <c r="AD19" s="52" t="s">
        <v>45</v>
      </c>
      <c r="AE19" s="52" t="s">
        <v>44</v>
      </c>
      <c r="AF19" s="48" t="s">
        <v>18</v>
      </c>
    </row>
    <row r="20" spans="1:32">
      <c r="A20" s="50">
        <v>14</v>
      </c>
      <c r="B20" s="52" t="s">
        <v>46</v>
      </c>
      <c r="C20" s="54">
        <f>C6*C45</f>
        <v>19082.138889633297</v>
      </c>
      <c r="D20" s="54">
        <f>D6*D45</f>
        <v>936.31608816249991</v>
      </c>
      <c r="E20" s="54">
        <f t="shared" si="0"/>
        <v>20018.454977795798</v>
      </c>
      <c r="N20" s="52" t="s">
        <v>46</v>
      </c>
      <c r="AD20" s="52" t="s">
        <v>47</v>
      </c>
      <c r="AE20" s="52" t="s">
        <v>46</v>
      </c>
    </row>
    <row r="21" spans="1:32">
      <c r="A21" s="50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N21" s="52" t="s">
        <v>48</v>
      </c>
      <c r="AD21" s="52"/>
      <c r="AE21" s="52"/>
    </row>
    <row r="22" spans="1:32">
      <c r="A22" s="50">
        <v>16</v>
      </c>
      <c r="B22" s="52" t="s">
        <v>49</v>
      </c>
      <c r="C22" s="54">
        <f>C6*C47</f>
        <v>14931.25108735</v>
      </c>
      <c r="D22" s="54">
        <f>D6*D47</f>
        <v>732.64169652777787</v>
      </c>
      <c r="E22" s="54">
        <f t="shared" si="0"/>
        <v>15663.892783877778</v>
      </c>
      <c r="N22" s="52" t="s">
        <v>49</v>
      </c>
      <c r="AD22" s="52" t="s">
        <v>50</v>
      </c>
      <c r="AE22" s="52" t="s">
        <v>49</v>
      </c>
    </row>
    <row r="23" spans="1:32">
      <c r="A23" s="50">
        <v>17</v>
      </c>
      <c r="B23" s="55" t="s">
        <v>51</v>
      </c>
      <c r="C23" s="58">
        <f>+C22+C21+C20+C19+C17</f>
        <v>61247.991960309693</v>
      </c>
      <c r="D23" s="58">
        <f>+D22+D21+D20+D19+D17</f>
        <v>3005.2962391569445</v>
      </c>
      <c r="E23" s="58">
        <f t="shared" ref="E23" si="1">+E22+E21+E20+E19+E17</f>
        <v>64253.288199466639</v>
      </c>
      <c r="N23" s="55" t="s">
        <v>51</v>
      </c>
      <c r="AD23" s="52" t="s">
        <v>52</v>
      </c>
      <c r="AE23" s="55" t="s">
        <v>51</v>
      </c>
    </row>
    <row r="24" spans="1:32">
      <c r="A24" s="50">
        <v>18</v>
      </c>
      <c r="B24" s="59" t="s">
        <v>53</v>
      </c>
      <c r="C24" s="58">
        <f>+C15-C23</f>
        <v>22228.550475168042</v>
      </c>
      <c r="D24" s="58">
        <f>+D15-D23</f>
        <v>964.4716903102335</v>
      </c>
      <c r="E24" s="58">
        <f t="shared" ref="E24" si="2">+E15-E23</f>
        <v>23193.02216547828</v>
      </c>
      <c r="N24" s="52" t="s">
        <v>53</v>
      </c>
      <c r="AD24" s="52" t="s">
        <v>54</v>
      </c>
      <c r="AE24" s="52" t="s">
        <v>53</v>
      </c>
    </row>
    <row r="25" spans="1:32">
      <c r="A25" s="50">
        <v>19</v>
      </c>
      <c r="B25" s="52" t="s">
        <v>238</v>
      </c>
      <c r="C25" s="58">
        <f>IF(C24&lt;0,0,C24*0.15)</f>
        <v>3334.282571275206</v>
      </c>
      <c r="D25" s="58">
        <f>IF(D24&lt;0,0,D24*0.15)</f>
        <v>144.67075354653502</v>
      </c>
      <c r="E25" s="58">
        <f>IF(E24&lt;0,0,E24*0.15)</f>
        <v>3478.9533248217417</v>
      </c>
      <c r="F25" s="65"/>
      <c r="N25" s="52" t="s">
        <v>55</v>
      </c>
      <c r="AD25" s="52" t="s">
        <v>56</v>
      </c>
      <c r="AE25" s="52" t="s">
        <v>55</v>
      </c>
    </row>
    <row r="26" spans="1:32">
      <c r="A26" s="50">
        <v>20</v>
      </c>
      <c r="B26" s="52" t="s">
        <v>57</v>
      </c>
      <c r="C26" s="58">
        <f t="shared" ref="C26:D26" si="3">C24-C25</f>
        <v>18894.267903892836</v>
      </c>
      <c r="D26" s="58">
        <f t="shared" si="3"/>
        <v>819.80093676369847</v>
      </c>
      <c r="E26" s="54">
        <f>SUM(C26:D26)</f>
        <v>19714.068840656535</v>
      </c>
      <c r="F26" s="65"/>
      <c r="N26" s="52" t="s">
        <v>57</v>
      </c>
      <c r="AD26" s="52" t="s">
        <v>58</v>
      </c>
      <c r="AE26" s="52" t="s">
        <v>57</v>
      </c>
    </row>
    <row r="27" spans="1:32">
      <c r="A27" s="50">
        <v>21</v>
      </c>
      <c r="B27" s="52" t="s">
        <v>61</v>
      </c>
      <c r="C27" s="231">
        <f t="shared" ref="C27:E27" si="4">C26/C7</f>
        <v>6.327087995961829E-2</v>
      </c>
      <c r="D27" s="231">
        <f t="shared" ref="D27" si="5">D26/D7</f>
        <v>5.5948285543192269E-2</v>
      </c>
      <c r="E27" s="231">
        <f t="shared" si="4"/>
        <v>6.2928382850486062E-2</v>
      </c>
      <c r="F27" s="65"/>
      <c r="N27" s="52" t="s">
        <v>61</v>
      </c>
      <c r="AD27" s="52" t="s">
        <v>60</v>
      </c>
      <c r="AE27" s="52" t="s">
        <v>61</v>
      </c>
    </row>
    <row r="28" spans="1:32">
      <c r="F28" s="65"/>
      <c r="N28" s="52"/>
    </row>
    <row r="29" spans="1:32">
      <c r="A29" s="48" t="s">
        <v>62</v>
      </c>
      <c r="E29" s="49" t="s">
        <v>146</v>
      </c>
      <c r="F29" s="65"/>
      <c r="N29" s="52"/>
      <c r="AD29" s="48" t="s">
        <v>62</v>
      </c>
    </row>
    <row r="30" spans="1:32">
      <c r="A30" s="52" t="s">
        <v>63</v>
      </c>
      <c r="B30" s="55" t="s">
        <v>64</v>
      </c>
      <c r="C30" s="58"/>
      <c r="D30" s="58"/>
      <c r="E30" s="58"/>
      <c r="F30" s="65"/>
      <c r="H30" s="65"/>
      <c r="N30" s="55" t="s">
        <v>64</v>
      </c>
      <c r="AD30" s="52" t="s">
        <v>65</v>
      </c>
      <c r="AE30" s="55" t="s">
        <v>64</v>
      </c>
    </row>
    <row r="31" spans="1:32">
      <c r="A31" s="60">
        <v>1</v>
      </c>
      <c r="B31" s="56" t="s">
        <v>66</v>
      </c>
      <c r="C31" s="61">
        <f>销量!C8</f>
        <v>60.931446999999999</v>
      </c>
      <c r="D31" s="61">
        <f>销量!D8</f>
        <v>1.749592111111111</v>
      </c>
      <c r="E31" s="58"/>
      <c r="F31" s="65"/>
      <c r="H31" s="65"/>
      <c r="N31" s="52" t="s">
        <v>66</v>
      </c>
      <c r="AD31" s="52" t="s">
        <v>20</v>
      </c>
      <c r="AE31" s="52" t="s">
        <v>66</v>
      </c>
    </row>
    <row r="32" spans="1:32">
      <c r="A32" s="60">
        <v>2</v>
      </c>
      <c r="B32" s="52" t="s">
        <v>147</v>
      </c>
      <c r="C32" s="54">
        <f>C31*1</f>
        <v>60.931446999999999</v>
      </c>
      <c r="D32" s="54">
        <f>D31*1</f>
        <v>1.749592111111111</v>
      </c>
      <c r="E32" s="58"/>
      <c r="F32" s="65"/>
      <c r="G32" s="65"/>
      <c r="H32" s="65"/>
      <c r="I32" s="65"/>
      <c r="J32" s="65"/>
      <c r="AD32" s="52"/>
      <c r="AE32" s="52"/>
    </row>
    <row r="33" spans="1:31">
      <c r="A33" s="60">
        <v>3</v>
      </c>
      <c r="B33" s="56" t="s">
        <v>67</v>
      </c>
      <c r="C33" s="54">
        <f>材料成本!D12</f>
        <v>21.797260650000002</v>
      </c>
      <c r="D33" s="54">
        <f>材料成本!E12</f>
        <v>0.24</v>
      </c>
      <c r="E33" s="58"/>
      <c r="G33" s="65"/>
      <c r="H33" s="65"/>
      <c r="I33" s="65"/>
      <c r="J33" s="65"/>
      <c r="N33" s="52" t="s">
        <v>67</v>
      </c>
      <c r="AD33" s="52" t="s">
        <v>22</v>
      </c>
      <c r="AE33" s="52" t="s">
        <v>67</v>
      </c>
    </row>
    <row r="34" spans="1:31" ht="17.25" customHeight="1">
      <c r="A34" s="60">
        <v>4</v>
      </c>
      <c r="B34" s="52" t="s">
        <v>69</v>
      </c>
      <c r="C34" s="62">
        <f>C32-C33</f>
        <v>39.134186349999993</v>
      </c>
      <c r="D34" s="62">
        <f>D32-D33</f>
        <v>1.509592111111111</v>
      </c>
      <c r="E34" s="58"/>
      <c r="G34" s="65"/>
      <c r="H34" s="65"/>
      <c r="I34" s="65"/>
      <c r="J34" s="65"/>
      <c r="N34" s="52" t="s">
        <v>69</v>
      </c>
      <c r="AD34" s="52" t="s">
        <v>68</v>
      </c>
      <c r="AE34" s="52" t="s">
        <v>69</v>
      </c>
    </row>
    <row r="35" spans="1:31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55" t="s">
        <v>8</v>
      </c>
      <c r="AD35" s="52" t="s">
        <v>71</v>
      </c>
      <c r="AE35" s="55" t="s">
        <v>8</v>
      </c>
    </row>
    <row r="36" spans="1:31">
      <c r="A36" s="60">
        <v>1</v>
      </c>
      <c r="B36" s="52" t="s">
        <v>72</v>
      </c>
      <c r="C36" s="57">
        <f>标准成本!D4</f>
        <v>3.1618396374672373</v>
      </c>
      <c r="D36" s="57">
        <f>标准成本!D18</f>
        <v>9.0789402823653512E-2</v>
      </c>
      <c r="E36" s="61"/>
      <c r="F36" s="65"/>
      <c r="G36" s="65"/>
      <c r="H36" s="65"/>
      <c r="I36" s="65"/>
      <c r="J36" s="65"/>
      <c r="K36" s="65"/>
      <c r="L36" s="65"/>
      <c r="M36" s="65"/>
      <c r="N36" s="52" t="s">
        <v>72</v>
      </c>
      <c r="AD36" s="52" t="s">
        <v>68</v>
      </c>
      <c r="AE36" s="52" t="s">
        <v>72</v>
      </c>
    </row>
    <row r="37" spans="1:31">
      <c r="A37" s="60">
        <v>2</v>
      </c>
      <c r="B37" s="52" t="s">
        <v>73</v>
      </c>
      <c r="C37" s="57">
        <f>标准成本!D6</f>
        <v>3.6497936753000002</v>
      </c>
      <c r="D37" s="57">
        <f>标准成本!D20</f>
        <v>0.10480056745555555</v>
      </c>
      <c r="E37" s="61"/>
      <c r="F37" s="65"/>
      <c r="G37" s="65"/>
      <c r="H37" s="65"/>
      <c r="I37" s="65"/>
      <c r="J37" s="65"/>
      <c r="K37" s="65"/>
      <c r="L37" s="65"/>
      <c r="M37" s="65"/>
      <c r="N37" s="52" t="s">
        <v>73</v>
      </c>
      <c r="AD37" s="52" t="s">
        <v>25</v>
      </c>
      <c r="AE37" s="52" t="s">
        <v>73</v>
      </c>
    </row>
    <row r="38" spans="1:31">
      <c r="A38" s="60">
        <v>3</v>
      </c>
      <c r="B38" s="52" t="s">
        <v>74</v>
      </c>
      <c r="C38" s="57">
        <f>标准成本!D10</f>
        <v>15.29</v>
      </c>
      <c r="D38" s="57">
        <f>标准成本!D24</f>
        <v>0.84</v>
      </c>
      <c r="E38" s="61"/>
      <c r="F38" s="65"/>
      <c r="G38" s="65"/>
      <c r="H38" s="65"/>
      <c r="I38" s="65"/>
      <c r="J38" s="65"/>
      <c r="K38" s="65"/>
      <c r="L38" s="65"/>
      <c r="M38" s="65"/>
      <c r="N38" s="52" t="s">
        <v>74</v>
      </c>
      <c r="AD38" s="52" t="s">
        <v>31</v>
      </c>
      <c r="AE38" s="52" t="s">
        <v>74</v>
      </c>
    </row>
    <row r="39" spans="1:31">
      <c r="A39" s="52" t="s">
        <v>71</v>
      </c>
      <c r="B39" s="55" t="s">
        <v>76</v>
      </c>
      <c r="C39" s="58"/>
      <c r="D39" s="58"/>
      <c r="E39" s="58"/>
      <c r="N39" s="55" t="s">
        <v>76</v>
      </c>
      <c r="AD39" s="52" t="s">
        <v>75</v>
      </c>
      <c r="AE39" s="55" t="s">
        <v>76</v>
      </c>
    </row>
    <row r="40" spans="1:31">
      <c r="A40" s="60">
        <v>1</v>
      </c>
      <c r="B40" s="52" t="s">
        <v>78</v>
      </c>
      <c r="C40" s="58">
        <f>C34-C36-C37-C38</f>
        <v>17.032553037232752</v>
      </c>
      <c r="D40" s="58">
        <f>D34-D36-D37-D38</f>
        <v>0.47400214083190206</v>
      </c>
      <c r="E40" s="58"/>
      <c r="N40" s="52" t="s">
        <v>78</v>
      </c>
      <c r="AD40" s="52" t="s">
        <v>20</v>
      </c>
      <c r="AE40" s="52" t="s">
        <v>78</v>
      </c>
    </row>
    <row r="41" spans="1:31">
      <c r="A41" s="60">
        <v>2</v>
      </c>
      <c r="B41" s="52" t="s">
        <v>79</v>
      </c>
      <c r="C41" s="58"/>
      <c r="D41" s="58"/>
      <c r="E41" s="58"/>
      <c r="N41" s="52" t="s">
        <v>79</v>
      </c>
      <c r="AD41" s="52" t="s">
        <v>22</v>
      </c>
      <c r="AE41" s="52" t="s">
        <v>79</v>
      </c>
    </row>
    <row r="42" spans="1:31">
      <c r="A42" s="52" t="s">
        <v>75</v>
      </c>
      <c r="B42" s="55" t="s">
        <v>81</v>
      </c>
      <c r="C42" s="58"/>
      <c r="D42" s="58"/>
      <c r="E42" s="58"/>
      <c r="N42" s="55" t="s">
        <v>81</v>
      </c>
      <c r="AD42" s="52" t="s">
        <v>80</v>
      </c>
      <c r="AE42" s="55" t="s">
        <v>81</v>
      </c>
    </row>
    <row r="43" spans="1:31">
      <c r="A43" s="60">
        <v>1</v>
      </c>
      <c r="B43" s="59" t="s">
        <v>82</v>
      </c>
      <c r="C43" s="57">
        <f>标准成本!D5</f>
        <v>4.6673488401999998</v>
      </c>
      <c r="D43" s="57">
        <f>标准成本!D19</f>
        <v>0.1340187557111111</v>
      </c>
      <c r="E43" s="58"/>
      <c r="N43" s="52" t="s">
        <v>82</v>
      </c>
      <c r="AD43" s="52" t="s">
        <v>20</v>
      </c>
      <c r="AE43" s="52" t="s">
        <v>82</v>
      </c>
    </row>
    <row r="44" spans="1:31">
      <c r="A44" s="60">
        <v>2</v>
      </c>
      <c r="B44" s="59" t="s">
        <v>83</v>
      </c>
      <c r="C44" s="57">
        <f>标准成本!D9</f>
        <v>0.88959912620000003</v>
      </c>
      <c r="D44" s="57">
        <f>标准成本!D23</f>
        <v>2.5544044822222223E-2</v>
      </c>
      <c r="E44" s="58"/>
      <c r="N44" s="52" t="s">
        <v>83</v>
      </c>
      <c r="AD44" s="52" t="s">
        <v>22</v>
      </c>
      <c r="AE44" s="52" t="s">
        <v>83</v>
      </c>
    </row>
    <row r="45" spans="1:31">
      <c r="A45" s="60">
        <v>3</v>
      </c>
      <c r="B45" s="59" t="s">
        <v>84</v>
      </c>
      <c r="C45" s="57">
        <f>标准成本!D8</f>
        <v>3.8935194632999997</v>
      </c>
      <c r="D45" s="57">
        <f>标准成本!D22</f>
        <v>0.11179893589999999</v>
      </c>
      <c r="E45" s="58"/>
      <c r="N45" s="52" t="s">
        <v>84</v>
      </c>
      <c r="AD45" s="52" t="s">
        <v>68</v>
      </c>
      <c r="AE45" s="52" t="s">
        <v>84</v>
      </c>
    </row>
    <row r="46" spans="1:31" s="47" customFormat="1">
      <c r="A46" s="60">
        <v>4</v>
      </c>
      <c r="B46" s="59" t="s">
        <v>85</v>
      </c>
      <c r="C46" s="63">
        <f>C21/C6</f>
        <v>0</v>
      </c>
      <c r="D46" s="63">
        <f>D21/D6</f>
        <v>0</v>
      </c>
      <c r="E46" s="63"/>
      <c r="N46" s="59" t="s">
        <v>87</v>
      </c>
      <c r="AD46" s="59" t="s">
        <v>28</v>
      </c>
      <c r="AE46" s="59" t="s">
        <v>87</v>
      </c>
    </row>
    <row r="47" spans="1:31" s="47" customFormat="1">
      <c r="A47" s="60">
        <v>5</v>
      </c>
      <c r="B47" s="59" t="s">
        <v>87</v>
      </c>
      <c r="C47" s="63">
        <f>标准成本!D11</f>
        <v>3.0465723499999999</v>
      </c>
      <c r="D47" s="63">
        <f>标准成本!D25</f>
        <v>8.7479605555555562E-2</v>
      </c>
      <c r="E47" s="63"/>
      <c r="N47" s="59" t="s">
        <v>87</v>
      </c>
      <c r="AD47" s="59" t="s">
        <v>28</v>
      </c>
      <c r="AE47" s="59" t="s">
        <v>87</v>
      </c>
    </row>
    <row r="48" spans="1:31">
      <c r="A48" s="52" t="s">
        <v>80</v>
      </c>
      <c r="B48" s="55" t="s">
        <v>98</v>
      </c>
      <c r="C48" s="58">
        <f>C40-C43-C44-C45-C47-C46</f>
        <v>4.5355132575327533</v>
      </c>
      <c r="D48" s="58">
        <f>D40-D43-D44-D45-D47-D46</f>
        <v>0.11516079884301317</v>
      </c>
      <c r="E48" s="58"/>
      <c r="N48" s="55" t="s">
        <v>98</v>
      </c>
      <c r="AD48" s="52" t="s">
        <v>97</v>
      </c>
      <c r="AE48" s="55" t="s">
        <v>98</v>
      </c>
    </row>
    <row r="51" spans="2:8">
      <c r="C51" s="64"/>
      <c r="D51" s="64"/>
    </row>
    <row r="54" spans="2:8">
      <c r="B54" s="65"/>
      <c r="C54" s="66"/>
      <c r="D54" s="66"/>
      <c r="E54" s="66"/>
      <c r="F54" s="65"/>
      <c r="G54" s="65"/>
      <c r="H54" s="65"/>
    </row>
    <row r="55" spans="2:8">
      <c r="B55" s="65"/>
      <c r="C55" s="66"/>
      <c r="D55" s="66"/>
      <c r="E55" s="66"/>
      <c r="F55" s="65"/>
      <c r="G55" s="65"/>
      <c r="H55" s="65"/>
    </row>
    <row r="56" spans="2:8">
      <c r="B56" s="65"/>
      <c r="C56" s="66"/>
      <c r="D56" s="66"/>
      <c r="E56" s="66"/>
      <c r="F56" s="65"/>
      <c r="G56" s="65"/>
      <c r="H56" s="65"/>
    </row>
    <row r="57" spans="2:8">
      <c r="B57" s="65"/>
      <c r="C57" s="66"/>
      <c r="D57" s="66"/>
      <c r="E57" s="66"/>
      <c r="F57" s="65"/>
      <c r="G57" s="65"/>
      <c r="H57" s="65"/>
    </row>
    <row r="58" spans="2:8">
      <c r="B58" s="65"/>
      <c r="C58" s="66"/>
      <c r="D58" s="66"/>
      <c r="E58" s="66"/>
      <c r="F58" s="65"/>
      <c r="G58" s="65"/>
      <c r="H58" s="65"/>
    </row>
    <row r="59" spans="2:8">
      <c r="B59" s="65"/>
      <c r="C59" s="66"/>
      <c r="D59" s="66"/>
      <c r="E59" s="66"/>
      <c r="F59" s="65"/>
      <c r="G59" s="65"/>
      <c r="H59" s="65"/>
    </row>
    <row r="60" spans="2:8">
      <c r="B60" s="65"/>
      <c r="C60" s="66"/>
      <c r="D60" s="66"/>
      <c r="E60" s="66"/>
      <c r="F60" s="65"/>
      <c r="G60" s="65"/>
      <c r="H60" s="65"/>
    </row>
    <row r="61" spans="2:8">
      <c r="B61" s="65"/>
      <c r="C61" s="66"/>
      <c r="D61" s="66"/>
      <c r="E61" s="66"/>
      <c r="F61" s="65"/>
      <c r="G61" s="65"/>
      <c r="H61" s="65"/>
    </row>
    <row r="62" spans="2:8">
      <c r="B62" s="65"/>
      <c r="C62" s="66"/>
      <c r="D62" s="66"/>
      <c r="E62" s="66"/>
      <c r="F62" s="65"/>
      <c r="G62" s="65"/>
      <c r="H62" s="65"/>
    </row>
    <row r="63" spans="2:8">
      <c r="B63" s="65"/>
      <c r="C63" s="66"/>
      <c r="D63" s="66"/>
      <c r="E63" s="66"/>
      <c r="F63" s="65"/>
      <c r="G63" s="65"/>
      <c r="H63" s="65"/>
    </row>
    <row r="64" spans="2:8">
      <c r="B64" s="65"/>
      <c r="C64" s="66"/>
      <c r="D64" s="66"/>
      <c r="E64" s="66"/>
      <c r="F64" s="65"/>
      <c r="G64" s="65"/>
      <c r="H64" s="65"/>
    </row>
    <row r="65" spans="2:8">
      <c r="B65" s="65"/>
      <c r="C65" s="66"/>
      <c r="D65" s="66"/>
      <c r="E65" s="66"/>
      <c r="F65" s="65"/>
      <c r="G65" s="65"/>
      <c r="H65" s="65"/>
    </row>
    <row r="66" spans="2:8">
      <c r="B66" s="65"/>
      <c r="C66" s="66"/>
      <c r="D66" s="66"/>
      <c r="E66" s="66"/>
      <c r="F66" s="65"/>
      <c r="G66" s="65"/>
      <c r="H66" s="65"/>
    </row>
    <row r="67" spans="2:8">
      <c r="B67" s="65"/>
      <c r="C67" s="66"/>
      <c r="D67" s="66"/>
      <c r="E67" s="66"/>
      <c r="F67" s="65"/>
    </row>
    <row r="68" spans="2:8">
      <c r="B68" s="65"/>
      <c r="C68" s="66"/>
      <c r="D68" s="66"/>
      <c r="E68" s="66"/>
      <c r="F68" s="65"/>
    </row>
    <row r="69" spans="2:8">
      <c r="B69" s="65"/>
      <c r="C69" s="66"/>
      <c r="D69" s="66"/>
      <c r="E69" s="66"/>
      <c r="F69" s="65"/>
    </row>
    <row r="70" spans="2:8">
      <c r="B70" s="65"/>
      <c r="C70" s="66"/>
      <c r="D70" s="66"/>
      <c r="E70" s="66"/>
      <c r="F70" s="65"/>
    </row>
    <row r="71" spans="2:8">
      <c r="B71" s="65"/>
      <c r="C71" s="66"/>
      <c r="D71" s="66"/>
      <c r="E71" s="66"/>
      <c r="F71" s="65"/>
    </row>
    <row r="72" spans="2:8">
      <c r="B72" s="65"/>
      <c r="C72" s="66"/>
      <c r="D72" s="66"/>
      <c r="E72" s="66"/>
      <c r="F72" s="65"/>
    </row>
    <row r="73" spans="2:8">
      <c r="B73" s="65"/>
      <c r="C73" s="66"/>
      <c r="D73" s="66"/>
      <c r="E73" s="66"/>
      <c r="F73" s="65"/>
    </row>
    <row r="74" spans="2:8">
      <c r="B74" s="65"/>
      <c r="C74" s="66"/>
      <c r="D74" s="66"/>
      <c r="E74" s="66"/>
      <c r="F74" s="65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230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销量!C10</f>
        <v>4901</v>
      </c>
      <c r="D6" s="22">
        <f>销量!D10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298625.02174699999</v>
      </c>
      <c r="D7" s="54">
        <f>D6*销量!D8</f>
        <v>14652.833930555555</v>
      </c>
      <c r="E7" s="54">
        <f t="shared" ref="E7:E22" si="0">SUM(C7:D7)</f>
        <v>313277.85567755555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C7*(1-销量!$L$7)</f>
        <v>1493.1251087350013</v>
      </c>
      <c r="D8" s="54">
        <f>D7*(1-销量!$L$7)</f>
        <v>73.264169652777838</v>
      </c>
      <c r="E8" s="54">
        <f t="shared" si="0"/>
        <v>1566.3892783877791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297131.896638265</v>
      </c>
      <c r="D9" s="54">
        <f>+D7-D8</f>
        <v>14579.569760902777</v>
      </c>
      <c r="E9" s="54">
        <f t="shared" si="0"/>
        <v>311711.46639916778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106294.23257342176</v>
      </c>
      <c r="D10" s="54">
        <f>D6*D33</f>
        <v>1999.9499999999998</v>
      </c>
      <c r="E10" s="54">
        <f t="shared" si="0"/>
        <v>108294.18257342176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15496.176063226931</v>
      </c>
      <c r="D11" s="54">
        <f>+D6*D36</f>
        <v>760.36124864809813</v>
      </c>
      <c r="E11" s="54">
        <f t="shared" si="0"/>
        <v>16256.537311875029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17887.638802645302</v>
      </c>
      <c r="D12" s="54">
        <f>+D6*D37</f>
        <v>877.70475244027773</v>
      </c>
      <c r="E12" s="54">
        <f t="shared" si="0"/>
        <v>18765.343555085579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74936.289999999994</v>
      </c>
      <c r="D13" s="54">
        <f>+D6*D38</f>
        <v>7035</v>
      </c>
      <c r="E13" s="54">
        <f t="shared" si="0"/>
        <v>81971.289999999994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108320.10486587223</v>
      </c>
      <c r="D14" s="54">
        <f>SUM(D11:D13)</f>
        <v>8673.0660010883767</v>
      </c>
      <c r="E14" s="54">
        <f t="shared" si="0"/>
        <v>116993.1708669606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82517.559198971008</v>
      </c>
      <c r="D15" s="54">
        <f>+D9-D10-D14</f>
        <v>3906.5537598144001</v>
      </c>
      <c r="E15" s="54">
        <f>+E9-E10-E14</f>
        <v>86424.112958785438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0.2777135680570495</v>
      </c>
      <c r="D16" s="232">
        <f>+D15/D9</f>
        <v>0.267947122163398</v>
      </c>
      <c r="E16" s="232">
        <f>+E15/E9</f>
        <v>0.27725676555033579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22874.6766658202</v>
      </c>
      <c r="D17" s="54">
        <f>D6*D43+D18</f>
        <v>1122.4070790805556</v>
      </c>
      <c r="E17" s="54">
        <f t="shared" si="0"/>
        <v>23997.083744900756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4359.9253175062004</v>
      </c>
      <c r="D19" s="54">
        <f>D6*D44</f>
        <v>213.93137538611111</v>
      </c>
      <c r="E19" s="54">
        <f t="shared" si="0"/>
        <v>4573.8566928923119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19082.138889633297</v>
      </c>
      <c r="D20" s="54">
        <f>D6*D45</f>
        <v>936.31608816249991</v>
      </c>
      <c r="E20" s="54">
        <f t="shared" si="0"/>
        <v>20018.454977795798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14931.25108735</v>
      </c>
      <c r="D22" s="54">
        <f>D6*D47</f>
        <v>732.64169652777787</v>
      </c>
      <c r="E22" s="54">
        <f t="shared" si="0"/>
        <v>15663.892783877778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61247.991960309693</v>
      </c>
      <c r="D23" s="58">
        <f>+D22+D21+D20+D19+D17</f>
        <v>3005.2962391569445</v>
      </c>
      <c r="E23" s="58">
        <f t="shared" ref="E23" si="1">+E22+E21+E20+E19+E17</f>
        <v>64253.288199466639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21269.567238661315</v>
      </c>
      <c r="D24" s="58">
        <f>+D15-D23</f>
        <v>901.25752065745564</v>
      </c>
      <c r="E24" s="58">
        <f t="shared" ref="E24" si="2">+E15-E23</f>
        <v>22170.824759318799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240</v>
      </c>
      <c r="C25" s="58">
        <f>IF(C24&lt;0,0,C24*0.15)</f>
        <v>3190.4350857991972</v>
      </c>
      <c r="D25" s="58">
        <f>IF(D24&lt;0,0,D24*0.15)</f>
        <v>135.18862809861835</v>
      </c>
      <c r="E25" s="58">
        <f>IF(E24&lt;0,0,E24*0.15)</f>
        <v>3325.6237138978199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:D26" si="3">C24-C25</f>
        <v>18079.132152862119</v>
      </c>
      <c r="D26" s="58">
        <f t="shared" si="3"/>
        <v>766.06889255883732</v>
      </c>
      <c r="E26" s="54">
        <f>SUM(C26:D26)</f>
        <v>18845.201045420956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4">C26/C7</f>
        <v>6.0541250184249648E-2</v>
      </c>
      <c r="D27" s="231">
        <f t="shared" ref="D27:E27" si="5">D26/D7</f>
        <v>5.2281278569693869E-2</v>
      </c>
      <c r="E27" s="231">
        <f t="shared" si="5"/>
        <v>6.0154909464196452E-2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60.931446999999999</v>
      </c>
      <c r="D31" s="61">
        <f>销量!D8</f>
        <v>1.749592111111111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60.626789764999998</v>
      </c>
      <c r="D32" s="54">
        <f>D9/D6</f>
        <v>1.7408441505555554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材料成本!D13</f>
        <v>21.688274346750003</v>
      </c>
      <c r="D33" s="54">
        <f>材料成本!E13</f>
        <v>0.23879999999999998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38.938515418249992</v>
      </c>
      <c r="D34" s="62">
        <f>D32-D33</f>
        <v>1.5020441505555555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3.1618396374672373</v>
      </c>
      <c r="D36" s="57">
        <f>'2023年'!D36</f>
        <v>9.0789402823653512E-2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3.6497936753000002</v>
      </c>
      <c r="D37" s="57">
        <f>'2023年'!D37</f>
        <v>0.10480056745555555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15.29</v>
      </c>
      <c r="D38" s="57">
        <f>'2023年'!D38</f>
        <v>0.84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16.836882105482751</v>
      </c>
      <c r="D40" s="58">
        <f>D34-D36-D37-D38</f>
        <v>0.46645418027634633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4.6673488401999998</v>
      </c>
      <c r="D43" s="57">
        <f>'2023年'!D43</f>
        <v>0.1340187557111111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0.88959912620000003</v>
      </c>
      <c r="D44" s="57">
        <f>'2023年'!D44</f>
        <v>2.5544044822222223E-2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3.8935194632999997</v>
      </c>
      <c r="D45" s="57">
        <f>'2023年'!D45</f>
        <v>0.11179893589999999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3.0465723499999999</v>
      </c>
      <c r="D47" s="63">
        <f>'2023年'!D47</f>
        <v>8.7479605555555562E-2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4.3398423257827519</v>
      </c>
      <c r="D48" s="58">
        <f>D40-D43-D44-D45-D47-D46</f>
        <v>0.10761283828745744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B26" sqref="B26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232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销量!C11</f>
        <v>4901</v>
      </c>
      <c r="D6" s="22">
        <f>销量!D11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298625.02174699999</v>
      </c>
      <c r="D7" s="54">
        <f>D6*销量!D8</f>
        <v>14652.833930555555</v>
      </c>
      <c r="E7" s="54">
        <f t="shared" ref="E7:E22" si="0">SUM(C7:D7)</f>
        <v>313277.85567755555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C7*(1-销量!$L$8)</f>
        <v>2978.784591926345</v>
      </c>
      <c r="D8" s="54">
        <f>D7*(1-销量!$L$8)</f>
        <v>146.16201845729265</v>
      </c>
      <c r="E8" s="54">
        <f t="shared" si="0"/>
        <v>3124.9466103836376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295646.23715507367</v>
      </c>
      <c r="D9" s="54">
        <f>+D7-D8</f>
        <v>14506.671912098262</v>
      </c>
      <c r="E9" s="54">
        <f t="shared" si="0"/>
        <v>310152.90906717192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105762.76141055465</v>
      </c>
      <c r="D10" s="54">
        <f>D6*D33</f>
        <v>1989.9502499999999</v>
      </c>
      <c r="E10" s="54">
        <f t="shared" si="0"/>
        <v>107752.71166055465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15496.176063226931</v>
      </c>
      <c r="D11" s="54">
        <f>+D6*D36</f>
        <v>760.36124864809813</v>
      </c>
      <c r="E11" s="54">
        <f t="shared" si="0"/>
        <v>16256.537311875029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17887.638802645302</v>
      </c>
      <c r="D12" s="54">
        <f>+D6*D37</f>
        <v>877.70475244027773</v>
      </c>
      <c r="E12" s="54">
        <f t="shared" si="0"/>
        <v>18765.343555085579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74936.289999999994</v>
      </c>
      <c r="D13" s="54">
        <f>+D6*D38</f>
        <v>7035</v>
      </c>
      <c r="E13" s="54">
        <f t="shared" si="0"/>
        <v>81971.289999999994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108320.10486587223</v>
      </c>
      <c r="D14" s="54">
        <f>SUM(D11:D13)</f>
        <v>8673.0660010883767</v>
      </c>
      <c r="E14" s="54">
        <f t="shared" si="0"/>
        <v>116993.1708669606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81563.370878646805</v>
      </c>
      <c r="D15" s="54">
        <f>+D9-D10-D14</f>
        <v>3843.6556610098851</v>
      </c>
      <c r="E15" s="54">
        <f>+E9-E10-E14</f>
        <v>85407.026539656683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0.2758816471452834</v>
      </c>
      <c r="D16" s="232">
        <f>+D15/D9</f>
        <v>0.26495778523841546</v>
      </c>
      <c r="E16" s="232">
        <f>+E15/E9</f>
        <v>0.27537070923026391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22874.6766658202</v>
      </c>
      <c r="D17" s="54">
        <f>D6*D43+D18</f>
        <v>1122.4070790805556</v>
      </c>
      <c r="E17" s="54">
        <f t="shared" si="0"/>
        <v>23997.083744900756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4359.9253175062004</v>
      </c>
      <c r="D19" s="54">
        <f>D6*D44</f>
        <v>213.93137538611111</v>
      </c>
      <c r="E19" s="54">
        <f t="shared" si="0"/>
        <v>4573.8566928923119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19082.138889633297</v>
      </c>
      <c r="D20" s="54">
        <f>D6*D45</f>
        <v>936.31608816249991</v>
      </c>
      <c r="E20" s="54">
        <f t="shared" si="0"/>
        <v>20018.454977795798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14931.25108735</v>
      </c>
      <c r="D22" s="54">
        <f>D6*D47</f>
        <v>732.64169652777787</v>
      </c>
      <c r="E22" s="54">
        <f t="shared" si="0"/>
        <v>15663.892783877778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61247.991960309693</v>
      </c>
      <c r="D23" s="58">
        <f>+D22+D21+D20+D19+D17</f>
        <v>3005.2962391569445</v>
      </c>
      <c r="E23" s="58">
        <f t="shared" ref="E23" si="1">+E22+E21+E20+E19+E17</f>
        <v>64253.288199466639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20315.378918337112</v>
      </c>
      <c r="D24" s="58">
        <f>+D15-D23</f>
        <v>838.35942185294061</v>
      </c>
      <c r="E24" s="58">
        <f t="shared" ref="E24" si="2">+E15-E23</f>
        <v>21153.738340190044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299</v>
      </c>
      <c r="C25" s="58">
        <f>IF(C24&lt;0,0,C24*0.15)</f>
        <v>3047.3068377505665</v>
      </c>
      <c r="D25" s="58">
        <f>IF(D24&lt;0,0,D24*0.15)</f>
        <v>125.75391327794108</v>
      </c>
      <c r="E25" s="58">
        <f>IF(E24&lt;0,0,E24*0.15)</f>
        <v>3173.0607510285067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" si="3">C24-C25</f>
        <v>17268.072080586546</v>
      </c>
      <c r="D26" s="58">
        <f t="shared" ref="D26" si="4">D24-D25</f>
        <v>712.60550857499948</v>
      </c>
      <c r="E26" s="54">
        <f>SUM(C26:D26)</f>
        <v>17980.677589161547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5">C26/C7</f>
        <v>5.7825268557757825E-2</v>
      </c>
      <c r="D27" s="231">
        <f t="shared" ref="D27:E27" si="6">D26/D7</f>
        <v>4.8632606631062898E-2</v>
      </c>
      <c r="E27" s="231">
        <f t="shared" si="6"/>
        <v>5.7395303444838258E-2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60.931446999999999</v>
      </c>
      <c r="D31" s="61">
        <f>销量!D8</f>
        <v>1.749592111111111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60.323655816174998</v>
      </c>
      <c r="D32" s="54">
        <f>D9/D6</f>
        <v>1.7321399298027775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材料成本!D14</f>
        <v>21.579832975016252</v>
      </c>
      <c r="D33" s="54">
        <f>材料成本!E14</f>
        <v>0.23760599999999998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38.743822841158746</v>
      </c>
      <c r="D34" s="62">
        <f>D32-D33</f>
        <v>1.4945339298027775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3.1618396374672373</v>
      </c>
      <c r="D36" s="57">
        <f>'2023年'!D36</f>
        <v>9.0789402823653512E-2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3.6497936753000002</v>
      </c>
      <c r="D37" s="57">
        <f>'2023年'!D37</f>
        <v>0.10480056745555555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15.29</v>
      </c>
      <c r="D38" s="57">
        <f>'2023年'!D38</f>
        <v>0.84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16.642189528391508</v>
      </c>
      <c r="D40" s="58">
        <f>D34-D36-D37-D38</f>
        <v>0.45894395952356859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4.6673488401999998</v>
      </c>
      <c r="D43" s="57">
        <f>'2023年'!D43</f>
        <v>0.1340187557111111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0.88959912620000003</v>
      </c>
      <c r="D44" s="57">
        <f>'2023年'!D44</f>
        <v>2.5544044822222223E-2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3.8935194632999997</v>
      </c>
      <c r="D45" s="57">
        <f>'2023年'!D45</f>
        <v>0.11179893589999999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3.0465723499999999</v>
      </c>
      <c r="D47" s="63">
        <f>'2023年'!D47</f>
        <v>8.7479605555555562E-2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4.1451497486915097</v>
      </c>
      <c r="D48" s="58">
        <f>D40-D43-D44-D45-D47-D46</f>
        <v>0.10010261753467969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B26" sqref="B26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233</v>
      </c>
      <c r="D1" s="250"/>
      <c r="E1" s="251"/>
    </row>
    <row r="2" spans="1:34">
      <c r="A2" s="245" t="s">
        <v>139</v>
      </c>
      <c r="B2" s="245"/>
      <c r="C2" s="253" t="str">
        <f>'2023年'!C2:E2</f>
        <v>戴姆勒</v>
      </c>
      <c r="D2" s="254"/>
      <c r="E2" s="255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 ht="16.5" customHeight="1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销量!C12</f>
        <v>4901</v>
      </c>
      <c r="D6" s="22">
        <f>销量!D12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298625.02174699999</v>
      </c>
      <c r="D7" s="54">
        <f>D6*销量!D8</f>
        <v>14652.833930555555</v>
      </c>
      <c r="E7" s="54">
        <f t="shared" ref="E7:E22" si="0">SUM(C7:D7)</f>
        <v>313277.85567755555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C7*(1-销量!$L$9)</f>
        <v>4457.0157777016884</v>
      </c>
      <c r="D8" s="54">
        <f>D7*(1-销量!$L$9)</f>
        <v>218.69537801778273</v>
      </c>
      <c r="E8" s="54">
        <f t="shared" si="0"/>
        <v>4675.7111557194712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294168.0059692983</v>
      </c>
      <c r="D9" s="54">
        <f>+D7-D8</f>
        <v>14434.138552537772</v>
      </c>
      <c r="E9" s="54">
        <f t="shared" si="0"/>
        <v>308602.14452183608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105233.94760350187</v>
      </c>
      <c r="D10" s="54">
        <f>D6*D33</f>
        <v>1980.0004987499999</v>
      </c>
      <c r="E10" s="54">
        <f t="shared" si="0"/>
        <v>107213.94810225187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15496.176063226931</v>
      </c>
      <c r="D11" s="54">
        <f>+D6*D36</f>
        <v>760.36124864809813</v>
      </c>
      <c r="E11" s="54">
        <f t="shared" si="0"/>
        <v>16256.537311875029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17887.638802645302</v>
      </c>
      <c r="D12" s="54">
        <f>+D6*D37</f>
        <v>877.70475244027773</v>
      </c>
      <c r="E12" s="54">
        <f t="shared" si="0"/>
        <v>18765.343555085579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74936.289999999994</v>
      </c>
      <c r="D13" s="54">
        <f>+D6*D38</f>
        <v>7035</v>
      </c>
      <c r="E13" s="54">
        <f t="shared" si="0"/>
        <v>81971.289999999994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108320.10486587223</v>
      </c>
      <c r="D14" s="54">
        <f>SUM(D11:D13)</f>
        <v>8673.0660010883767</v>
      </c>
      <c r="E14" s="54">
        <f t="shared" si="0"/>
        <v>116993.1708669606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80613.953499924202</v>
      </c>
      <c r="D15" s="54">
        <f>+D9-D10-D14</f>
        <v>3781.0720526993955</v>
      </c>
      <c r="E15" s="54">
        <f>+E9-E10-E14</f>
        <v>84395.025552623614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0.27404052060079476</v>
      </c>
      <c r="D16" s="232">
        <f>+D15/D9</f>
        <v>0.26195342651984016</v>
      </c>
      <c r="E16" s="232">
        <f>+E15/E9</f>
        <v>0.27347517524024201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22874.6766658202</v>
      </c>
      <c r="D17" s="54">
        <f>D6*D43+D18</f>
        <v>1122.4070790805556</v>
      </c>
      <c r="E17" s="54">
        <f t="shared" si="0"/>
        <v>23997.083744900756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4359.9253175062004</v>
      </c>
      <c r="D19" s="54">
        <f>D6*D44</f>
        <v>213.93137538611111</v>
      </c>
      <c r="E19" s="54">
        <f t="shared" si="0"/>
        <v>4573.8566928923119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19082.138889633297</v>
      </c>
      <c r="D20" s="54">
        <f>D6*D45</f>
        <v>936.31608816249991</v>
      </c>
      <c r="E20" s="54">
        <f t="shared" si="0"/>
        <v>20018.454977795798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14931.25108735</v>
      </c>
      <c r="D22" s="54">
        <f>D6*D47</f>
        <v>732.64169652777787</v>
      </c>
      <c r="E22" s="54">
        <f t="shared" si="0"/>
        <v>15663.892783877778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61247.991960309693</v>
      </c>
      <c r="D23" s="58">
        <f>+D22+D21+D20+D19+D17</f>
        <v>3005.2962391569445</v>
      </c>
      <c r="E23" s="58">
        <f t="shared" ref="E23" si="1">+E22+E21+E20+E19+E17</f>
        <v>64253.288199466639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19365.961539614509</v>
      </c>
      <c r="D24" s="58">
        <f>+D15-D23</f>
        <v>775.77581354245103</v>
      </c>
      <c r="E24" s="58">
        <f t="shared" ref="E24" si="2">+E15-E23</f>
        <v>20141.737353156976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299</v>
      </c>
      <c r="C25" s="58">
        <f>IF(C24&lt;0,0,C24*0.15)</f>
        <v>2904.8942309421764</v>
      </c>
      <c r="D25" s="58">
        <f>IF(D24&lt;0,0,D24*0.15)</f>
        <v>116.36637203136765</v>
      </c>
      <c r="E25" s="58">
        <f>IF(E24&lt;0,0,E24*0.15)</f>
        <v>3021.2606029735462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:D26" si="3">C24-C25</f>
        <v>16461.067308672333</v>
      </c>
      <c r="D26" s="58">
        <f t="shared" si="3"/>
        <v>659.4094415110834</v>
      </c>
      <c r="E26" s="54">
        <f>SUM(C26:D26)</f>
        <v>17120.476750183418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4">C26/C7</f>
        <v>5.5122866839398404E-2</v>
      </c>
      <c r="D27" s="231">
        <f t="shared" ref="D27:E27" si="5">D26/D7</f>
        <v>4.5002178052125252E-2</v>
      </c>
      <c r="E27" s="231">
        <f t="shared" si="5"/>
        <v>5.4649495455576805E-2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60.931446999999999</v>
      </c>
      <c r="D31" s="61">
        <f>销量!D8</f>
        <v>1.749592111111111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60.022037537094121</v>
      </c>
      <c r="D32" s="54">
        <f>D9/D6</f>
        <v>1.7234792301537638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材料成本!D15</f>
        <v>21.47193381014117</v>
      </c>
      <c r="D33" s="54">
        <f>材料成本!E15</f>
        <v>0.23641796999999998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38.550103726952955</v>
      </c>
      <c r="D34" s="62">
        <f>D32-D33</f>
        <v>1.4870612601537638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3.1618396374672373</v>
      </c>
      <c r="D36" s="57">
        <f>'2023年'!D36</f>
        <v>9.0789402823653512E-2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3.6497936753000002</v>
      </c>
      <c r="D37" s="57">
        <f>'2023年'!D37</f>
        <v>0.10480056745555555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15.29</v>
      </c>
      <c r="D38" s="57">
        <f>'2023年'!D38</f>
        <v>0.84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16.448470414185717</v>
      </c>
      <c r="D40" s="58">
        <f>D34-D36-D37-D38</f>
        <v>0.45147128987455465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4.6673488401999998</v>
      </c>
      <c r="D43" s="57">
        <f>'2023年'!D43</f>
        <v>0.1340187557111111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0.88959912620000003</v>
      </c>
      <c r="D44" s="57">
        <f>'2023年'!D44</f>
        <v>2.5544044822222223E-2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3.8935194632999997</v>
      </c>
      <c r="D45" s="57">
        <f>'2023年'!D45</f>
        <v>0.11179893589999999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3.0465723499999999</v>
      </c>
      <c r="D47" s="63">
        <f>'2023年'!D47</f>
        <v>8.7479605555555562E-2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3.9514306344857184</v>
      </c>
      <c r="D48" s="58">
        <f>D40-D43-D44-D45-D47-D46</f>
        <v>9.2629947885665753E-2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E3:E5"/>
    <mergeCell ref="C2:E2"/>
    <mergeCell ref="C1:E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C25" sqref="C25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234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销量!C13</f>
        <v>4901</v>
      </c>
      <c r="D6" s="22">
        <f>销量!D13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63">
        <v>1</v>
      </c>
      <c r="B7" s="53" t="s">
        <v>19</v>
      </c>
      <c r="C7" s="54">
        <f>C6*销量!C8</f>
        <v>298625.02174699999</v>
      </c>
      <c r="D7" s="54">
        <f>D6*销量!D8</f>
        <v>14652.833930555555</v>
      </c>
      <c r="E7" s="54">
        <f t="shared" ref="E7:E22" si="0">SUM(C7:D7)</f>
        <v>313277.85567755555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63">
        <v>2</v>
      </c>
      <c r="B8" s="163" t="s">
        <v>21</v>
      </c>
      <c r="C8" s="54">
        <f>C7*(1-销量!$L$10)</f>
        <v>5927.8558075482006</v>
      </c>
      <c r="D8" s="54">
        <f>D7*(1-销量!$L$10)</f>
        <v>290.86607078047263</v>
      </c>
      <c r="E8" s="54">
        <f t="shared" si="0"/>
        <v>6218.7218783286735</v>
      </c>
      <c r="F8" s="67"/>
      <c r="P8" s="163" t="s">
        <v>23</v>
      </c>
      <c r="AF8" s="52" t="s">
        <v>22</v>
      </c>
      <c r="AG8" s="163" t="s">
        <v>23</v>
      </c>
      <c r="AH8" s="48" t="s">
        <v>18</v>
      </c>
    </row>
    <row r="9" spans="1:34">
      <c r="A9" s="163">
        <v>3</v>
      </c>
      <c r="B9" s="53" t="s">
        <v>24</v>
      </c>
      <c r="C9" s="54">
        <f>+C7-C8</f>
        <v>292697.16593945178</v>
      </c>
      <c r="D9" s="54">
        <f>+D7-D8</f>
        <v>14361.967859775083</v>
      </c>
      <c r="E9" s="54">
        <f t="shared" si="0"/>
        <v>307059.13379922684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63">
        <v>4</v>
      </c>
      <c r="B10" s="52" t="s">
        <v>27</v>
      </c>
      <c r="C10" s="54">
        <f>C6*C33</f>
        <v>104707.77786548437</v>
      </c>
      <c r="D10" s="54">
        <f>D6*D33</f>
        <v>1970.1004962562497</v>
      </c>
      <c r="E10" s="54">
        <f t="shared" si="0"/>
        <v>106677.87836174062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63">
        <v>5</v>
      </c>
      <c r="B11" s="52" t="s">
        <v>30</v>
      </c>
      <c r="C11" s="54">
        <f>+C6*C36</f>
        <v>15496.176063226931</v>
      </c>
      <c r="D11" s="54">
        <f>+D6*D36</f>
        <v>760.36124864809813</v>
      </c>
      <c r="E11" s="54">
        <f t="shared" si="0"/>
        <v>16256.537311875029</v>
      </c>
      <c r="P11" s="52" t="s">
        <v>30</v>
      </c>
      <c r="AF11" s="52" t="s">
        <v>31</v>
      </c>
      <c r="AG11" s="52" t="s">
        <v>30</v>
      </c>
    </row>
    <row r="12" spans="1:34">
      <c r="A12" s="163">
        <v>6</v>
      </c>
      <c r="B12" s="52" t="s">
        <v>32</v>
      </c>
      <c r="C12" s="54">
        <f>+C6*C37</f>
        <v>17887.638802645302</v>
      </c>
      <c r="D12" s="54">
        <f>+D6*D37</f>
        <v>877.70475244027773</v>
      </c>
      <c r="E12" s="54">
        <f t="shared" si="0"/>
        <v>18765.343555085579</v>
      </c>
      <c r="P12" s="52" t="s">
        <v>32</v>
      </c>
      <c r="AF12" s="52" t="s">
        <v>33</v>
      </c>
      <c r="AG12" s="52" t="s">
        <v>32</v>
      </c>
    </row>
    <row r="13" spans="1:34">
      <c r="A13" s="163">
        <v>7</v>
      </c>
      <c r="B13" s="52" t="s">
        <v>34</v>
      </c>
      <c r="C13" s="54">
        <f>+C6*C38</f>
        <v>74936.289999999994</v>
      </c>
      <c r="D13" s="54">
        <f>+D6*D38</f>
        <v>7035</v>
      </c>
      <c r="E13" s="54">
        <f t="shared" si="0"/>
        <v>81971.289999999994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63">
        <v>8</v>
      </c>
      <c r="B14" s="55" t="s">
        <v>36</v>
      </c>
      <c r="C14" s="54">
        <f>SUM(C11:C13)</f>
        <v>108320.10486587223</v>
      </c>
      <c r="D14" s="54">
        <f>SUM(D11:D13)</f>
        <v>8673.0660010883767</v>
      </c>
      <c r="E14" s="54">
        <f t="shared" si="0"/>
        <v>116993.1708669606</v>
      </c>
      <c r="P14" s="55" t="s">
        <v>36</v>
      </c>
      <c r="AF14" s="52" t="s">
        <v>37</v>
      </c>
      <c r="AG14" s="55" t="s">
        <v>36</v>
      </c>
    </row>
    <row r="15" spans="1:34">
      <c r="A15" s="163">
        <v>9</v>
      </c>
      <c r="B15" s="55" t="s">
        <v>38</v>
      </c>
      <c r="C15" s="54">
        <f>+C9-C10-C14</f>
        <v>79669.283208095192</v>
      </c>
      <c r="D15" s="54">
        <f>+D9-D10-D14</f>
        <v>3718.8013624304567</v>
      </c>
      <c r="E15" s="54">
        <f>+E9-E10-E14</f>
        <v>83388.084570525622</v>
      </c>
      <c r="P15" s="55" t="s">
        <v>38</v>
      </c>
      <c r="AF15" s="52" t="s">
        <v>39</v>
      </c>
      <c r="AG15" s="55" t="s">
        <v>38</v>
      </c>
    </row>
    <row r="16" spans="1:34">
      <c r="A16" s="163">
        <v>10</v>
      </c>
      <c r="B16" s="52" t="s">
        <v>40</v>
      </c>
      <c r="C16" s="232">
        <f>+C15/C9</f>
        <v>0.27219014216412268</v>
      </c>
      <c r="D16" s="232">
        <f>+D15/D9</f>
        <v>0.25893397052127198</v>
      </c>
      <c r="E16" s="232">
        <f>+E15/E9</f>
        <v>0.27157011595378761</v>
      </c>
      <c r="P16" s="52" t="s">
        <v>40</v>
      </c>
      <c r="AF16" s="52" t="s">
        <v>41</v>
      </c>
      <c r="AG16" s="52" t="s">
        <v>40</v>
      </c>
    </row>
    <row r="17" spans="1:34">
      <c r="A17" s="163">
        <v>11</v>
      </c>
      <c r="B17" s="52" t="s">
        <v>42</v>
      </c>
      <c r="C17" s="54">
        <f>C6*C43+C18</f>
        <v>22874.6766658202</v>
      </c>
      <c r="D17" s="54">
        <f>D6*D43+D18</f>
        <v>1122.4070790805556</v>
      </c>
      <c r="E17" s="54">
        <f t="shared" si="0"/>
        <v>23997.083744900756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63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63">
        <v>13</v>
      </c>
      <c r="B19" s="52" t="s">
        <v>44</v>
      </c>
      <c r="C19" s="54">
        <f>C6*C44</f>
        <v>4359.9253175062004</v>
      </c>
      <c r="D19" s="54">
        <f>D6*D44</f>
        <v>213.93137538611111</v>
      </c>
      <c r="E19" s="54">
        <f t="shared" si="0"/>
        <v>4573.8566928923119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63">
        <v>14</v>
      </c>
      <c r="B20" s="52" t="s">
        <v>46</v>
      </c>
      <c r="C20" s="54">
        <f>C6*C45</f>
        <v>19082.138889633297</v>
      </c>
      <c r="D20" s="54">
        <f>D6*D45</f>
        <v>936.31608816249991</v>
      </c>
      <c r="E20" s="54">
        <f t="shared" si="0"/>
        <v>20018.454977795798</v>
      </c>
      <c r="P20" s="52" t="s">
        <v>46</v>
      </c>
      <c r="AF20" s="52" t="s">
        <v>47</v>
      </c>
      <c r="AG20" s="52" t="s">
        <v>46</v>
      </c>
    </row>
    <row r="21" spans="1:34">
      <c r="A21" s="163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63">
        <v>16</v>
      </c>
      <c r="B22" s="52" t="s">
        <v>49</v>
      </c>
      <c r="C22" s="54">
        <f>C6*C47</f>
        <v>14931.25108735</v>
      </c>
      <c r="D22" s="54">
        <f>D6*D47</f>
        <v>732.64169652777787</v>
      </c>
      <c r="E22" s="54">
        <f t="shared" si="0"/>
        <v>15663.892783877778</v>
      </c>
      <c r="P22" s="52" t="s">
        <v>49</v>
      </c>
      <c r="AF22" s="52" t="s">
        <v>50</v>
      </c>
      <c r="AG22" s="52" t="s">
        <v>49</v>
      </c>
    </row>
    <row r="23" spans="1:34">
      <c r="A23" s="163">
        <v>17</v>
      </c>
      <c r="B23" s="55" t="s">
        <v>51</v>
      </c>
      <c r="C23" s="58">
        <f>+C22+C21+C20+C19+C17</f>
        <v>61247.991960309693</v>
      </c>
      <c r="D23" s="58">
        <f>+D22+D21+D20+D19+D17</f>
        <v>3005.2962391569445</v>
      </c>
      <c r="E23" s="58">
        <f t="shared" ref="E23" si="1">+E22+E21+E20+E19+E17</f>
        <v>64253.288199466639</v>
      </c>
      <c r="P23" s="55" t="s">
        <v>51</v>
      </c>
      <c r="AF23" s="52" t="s">
        <v>52</v>
      </c>
      <c r="AG23" s="55" t="s">
        <v>51</v>
      </c>
    </row>
    <row r="24" spans="1:34">
      <c r="A24" s="163">
        <v>18</v>
      </c>
      <c r="B24" s="59" t="s">
        <v>53</v>
      </c>
      <c r="C24" s="58">
        <f>+C15-C23</f>
        <v>18421.291247785499</v>
      </c>
      <c r="D24" s="58">
        <f>+D15-D23</f>
        <v>713.50512327351225</v>
      </c>
      <c r="E24" s="58">
        <f t="shared" ref="E24" si="2">+E15-E23</f>
        <v>19134.796371058983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63">
        <v>19</v>
      </c>
      <c r="B25" s="52" t="s">
        <v>239</v>
      </c>
      <c r="C25" s="58">
        <f>IF(C24&lt;0,0,C24*0.15)</f>
        <v>2763.1936871678249</v>
      </c>
      <c r="D25" s="58">
        <f>IF(D24&lt;0,0,D24*0.15)</f>
        <v>107.02576849102684</v>
      </c>
      <c r="E25" s="58">
        <f>IF(E24&lt;0,0,E24*0.15)</f>
        <v>2870.2194556588474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63">
        <v>20</v>
      </c>
      <c r="B26" s="52" t="s">
        <v>57</v>
      </c>
      <c r="C26" s="58">
        <f t="shared" ref="C26:D26" si="3">C24-C25</f>
        <v>15658.097560617674</v>
      </c>
      <c r="D26" s="58">
        <f t="shared" si="3"/>
        <v>606.47935478248542</v>
      </c>
      <c r="E26" s="54">
        <f>SUM(C26:D26)</f>
        <v>16264.576915400159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63">
        <v>21</v>
      </c>
      <c r="B27" s="52" t="s">
        <v>61</v>
      </c>
      <c r="C27" s="231">
        <f t="shared" ref="C27" si="4">C26/C7</f>
        <v>5.2433977129630722E-2</v>
      </c>
      <c r="D27" s="231">
        <f t="shared" ref="D27:E27" si="5">D26/D7</f>
        <v>4.1389901616082199E-2</v>
      </c>
      <c r="E27" s="231">
        <f t="shared" si="5"/>
        <v>5.1917416506261589E-2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63">
        <v>1</v>
      </c>
      <c r="B31" s="56" t="s">
        <v>66</v>
      </c>
      <c r="C31" s="61">
        <f>销量!C8</f>
        <v>60.931446999999999</v>
      </c>
      <c r="D31" s="61">
        <f>销量!D8</f>
        <v>1.749592111111111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63">
        <v>2</v>
      </c>
      <c r="B32" s="52" t="s">
        <v>147</v>
      </c>
      <c r="C32" s="54">
        <f>C9/C6</f>
        <v>59.721927349408645</v>
      </c>
      <c r="D32" s="54">
        <f>D9/D6</f>
        <v>1.7148618340029949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63">
        <v>3</v>
      </c>
      <c r="B33" s="56" t="s">
        <v>67</v>
      </c>
      <c r="C33" s="54">
        <f>材料成本!D16</f>
        <v>21.364574141090465</v>
      </c>
      <c r="D33" s="54">
        <f>材料成本!E16</f>
        <v>0.23523588014999997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63">
        <v>4</v>
      </c>
      <c r="B34" s="52" t="s">
        <v>69</v>
      </c>
      <c r="C34" s="62">
        <f>C32-C33</f>
        <v>38.35735320831818</v>
      </c>
      <c r="D34" s="62">
        <f>D32-D33</f>
        <v>1.4796259538529948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63">
        <v>1</v>
      </c>
      <c r="B36" s="52" t="s">
        <v>72</v>
      </c>
      <c r="C36" s="57">
        <f>'2023年'!C36</f>
        <v>3.1618396374672373</v>
      </c>
      <c r="D36" s="57">
        <f>'2023年'!D36</f>
        <v>9.0789402823653512E-2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63">
        <v>2</v>
      </c>
      <c r="B37" s="52" t="s">
        <v>73</v>
      </c>
      <c r="C37" s="57">
        <f>'2023年'!C37</f>
        <v>3.6497936753000002</v>
      </c>
      <c r="D37" s="57">
        <f>'2023年'!D37</f>
        <v>0.10480056745555555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63">
        <v>3</v>
      </c>
      <c r="B38" s="52" t="s">
        <v>74</v>
      </c>
      <c r="C38" s="57">
        <f>'2023年'!C38</f>
        <v>15.29</v>
      </c>
      <c r="D38" s="57">
        <f>'2023年'!D38</f>
        <v>0.84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63">
        <v>1</v>
      </c>
      <c r="B40" s="52" t="s">
        <v>78</v>
      </c>
      <c r="C40" s="58">
        <f>C34-C36-C37-C38</f>
        <v>16.255719895550943</v>
      </c>
      <c r="D40" s="58">
        <f>D34-D36-D37-D38</f>
        <v>0.44403598357378582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63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63">
        <v>1</v>
      </c>
      <c r="B43" s="59" t="s">
        <v>82</v>
      </c>
      <c r="C43" s="57">
        <f>'2023年'!C43</f>
        <v>4.6673488401999998</v>
      </c>
      <c r="D43" s="57">
        <f>'2023年'!D43</f>
        <v>0.1340187557111111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63">
        <v>2</v>
      </c>
      <c r="B44" s="59" t="s">
        <v>83</v>
      </c>
      <c r="C44" s="57">
        <f>'2023年'!C44</f>
        <v>0.88959912620000003</v>
      </c>
      <c r="D44" s="57">
        <f>'2023年'!D44</f>
        <v>2.5544044822222223E-2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63">
        <v>3</v>
      </c>
      <c r="B45" s="59" t="s">
        <v>84</v>
      </c>
      <c r="C45" s="57">
        <f>'2023年'!C45</f>
        <v>3.8935194632999997</v>
      </c>
      <c r="D45" s="57">
        <f>'2023年'!D45</f>
        <v>0.11179893589999999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63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63">
        <v>5</v>
      </c>
      <c r="B47" s="59" t="s">
        <v>87</v>
      </c>
      <c r="C47" s="63">
        <f>'2023年'!C47</f>
        <v>3.0465723499999999</v>
      </c>
      <c r="D47" s="63">
        <f>'2023年'!D47</f>
        <v>8.7479605555555562E-2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3.758680115850944</v>
      </c>
      <c r="D48" s="58">
        <f>D40-D43-D44-D45-D47-D46</f>
        <v>8.5194641584896924E-2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235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销量!C14</f>
        <v>4901</v>
      </c>
      <c r="D6" s="22">
        <f>销量!D14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298625.02174699999</v>
      </c>
      <c r="D7" s="54">
        <f>D6*销量!D8</f>
        <v>14652.833930555555</v>
      </c>
      <c r="E7" s="54">
        <f t="shared" ref="E7:E22" si="0">SUM(C7:D7)</f>
        <v>313277.85567755555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C7*(1-销量!$L$11)</f>
        <v>7391.3416372454831</v>
      </c>
      <c r="D8" s="54">
        <f>D7*(1-销量!$L$11)</f>
        <v>362.67591007934919</v>
      </c>
      <c r="E8" s="54">
        <f t="shared" si="0"/>
        <v>7754.0175473248319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291233.6801097545</v>
      </c>
      <c r="D9" s="54">
        <f>+D7-D8</f>
        <v>14290.158020476205</v>
      </c>
      <c r="E9" s="54">
        <f t="shared" si="0"/>
        <v>305523.83813023072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104184.23897615694</v>
      </c>
      <c r="D10" s="54">
        <f>D6*D33</f>
        <v>1960.2499937749685</v>
      </c>
      <c r="E10" s="54">
        <f t="shared" si="0"/>
        <v>106144.4889699319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15496.176063226931</v>
      </c>
      <c r="D11" s="54">
        <f>+D6*D36</f>
        <v>760.36124864809813</v>
      </c>
      <c r="E11" s="54">
        <f t="shared" si="0"/>
        <v>16256.537311875029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17887.638802645302</v>
      </c>
      <c r="D12" s="54">
        <f>+D6*D37</f>
        <v>877.70475244027773</v>
      </c>
      <c r="E12" s="54">
        <f t="shared" si="0"/>
        <v>18765.343555085579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74936.289999999994</v>
      </c>
      <c r="D13" s="54">
        <f>+D6*D38</f>
        <v>7035</v>
      </c>
      <c r="E13" s="54">
        <f t="shared" si="0"/>
        <v>81971.289999999994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108320.10486587223</v>
      </c>
      <c r="D14" s="54">
        <f>SUM(D11:D13)</f>
        <v>8673.0660010883767</v>
      </c>
      <c r="E14" s="54">
        <f t="shared" si="0"/>
        <v>116993.1708669606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78729.336267725346</v>
      </c>
      <c r="D15" s="54">
        <f>+D9-D10-D14</f>
        <v>3656.8420256128593</v>
      </c>
      <c r="E15" s="54">
        <f>+E9-E10-E14</f>
        <v>82386.17829333822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0.27033046534334682</v>
      </c>
      <c r="D16" s="232">
        <f>+D15/D9</f>
        <v>0.25589934137698211</v>
      </c>
      <c r="E16" s="232">
        <f>+E15/E9</f>
        <v>0.26965548350509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22874.6766658202</v>
      </c>
      <c r="D17" s="54">
        <f>D6*D43+D18</f>
        <v>1122.4070790805556</v>
      </c>
      <c r="E17" s="54">
        <f t="shared" si="0"/>
        <v>23997.083744900756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4359.9253175062004</v>
      </c>
      <c r="D19" s="54">
        <f>D6*D44</f>
        <v>213.93137538611111</v>
      </c>
      <c r="E19" s="54">
        <f t="shared" si="0"/>
        <v>4573.8566928923119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19082.138889633297</v>
      </c>
      <c r="D20" s="54">
        <f>D6*D45</f>
        <v>936.31608816249991</v>
      </c>
      <c r="E20" s="54">
        <f t="shared" si="0"/>
        <v>20018.454977795798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14931.25108735</v>
      </c>
      <c r="D22" s="54">
        <f>D6*D47</f>
        <v>732.64169652777787</v>
      </c>
      <c r="E22" s="54">
        <f t="shared" si="0"/>
        <v>15663.892783877778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61247.991960309693</v>
      </c>
      <c r="D23" s="58">
        <f>+D22+D21+D20+D19+D17</f>
        <v>3005.2962391569445</v>
      </c>
      <c r="E23" s="58">
        <f t="shared" ref="E23" si="1">+E22+E21+E20+E19+E17</f>
        <v>64253.288199466639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17481.344307415653</v>
      </c>
      <c r="D24" s="58">
        <f>+D15-D23</f>
        <v>651.54578645591482</v>
      </c>
      <c r="E24" s="58">
        <f t="shared" ref="E24" si="2">+E15-E23</f>
        <v>18132.890093871581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240</v>
      </c>
      <c r="C25" s="58">
        <f>IF(C24&lt;0,0,C24*0.15)</f>
        <v>2622.201646112348</v>
      </c>
      <c r="D25" s="58">
        <f>IF(D24&lt;0,0,D24*0.15)</f>
        <v>97.73186796838722</v>
      </c>
      <c r="E25" s="58">
        <f>IF(E24&lt;0,0,E24*0.15)</f>
        <v>2719.933514080737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:D26" si="3">C24-C25</f>
        <v>14859.142661303305</v>
      </c>
      <c r="D26" s="58">
        <f t="shared" si="3"/>
        <v>553.81391848752764</v>
      </c>
      <c r="E26" s="54">
        <f>SUM(C26:D26)</f>
        <v>15412.956579790833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4">C26/C7</f>
        <v>4.9758531868411934E-2</v>
      </c>
      <c r="D27" s="231">
        <f t="shared" ref="D27:E27" si="5">D26/D7</f>
        <v>3.7795686562219169E-2</v>
      </c>
      <c r="E27" s="231">
        <f t="shared" si="5"/>
        <v>4.9198997951693003E-2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60.931446999999999</v>
      </c>
      <c r="D31" s="61">
        <f>销量!D8</f>
        <v>1.749592111111111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59.4233177126616</v>
      </c>
      <c r="D32" s="54">
        <f>D9/D6</f>
        <v>1.7062875248329796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材料成本!D17</f>
        <v>21.257751270385011</v>
      </c>
      <c r="D33" s="54">
        <f>材料成本!E17</f>
        <v>0.23405970074924998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38.165566442276585</v>
      </c>
      <c r="D34" s="62">
        <f>D32-D33</f>
        <v>1.4722278240837297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3.1618396374672373</v>
      </c>
      <c r="D36" s="57">
        <f>'2023年'!D36</f>
        <v>9.0789402823653512E-2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3.6497936753000002</v>
      </c>
      <c r="D37" s="57">
        <f>'2023年'!D37</f>
        <v>0.10480056745555555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15.29</v>
      </c>
      <c r="D38" s="57">
        <f>'2023年'!D38</f>
        <v>0.84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16.063933129509348</v>
      </c>
      <c r="D40" s="58">
        <f>D34-D36-D37-D38</f>
        <v>0.43663785380452047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4.6673488401999998</v>
      </c>
      <c r="D43" s="57">
        <f>'2023年'!D43</f>
        <v>0.1340187557111111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0.88959912620000003</v>
      </c>
      <c r="D44" s="57">
        <f>'2023年'!D44</f>
        <v>2.5544044822222223E-2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3.8935194632999997</v>
      </c>
      <c r="D45" s="57">
        <f>'2023年'!D45</f>
        <v>0.11179893589999999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3.0465723499999999</v>
      </c>
      <c r="D47" s="63">
        <f>'2023年'!D47</f>
        <v>8.7479605555555562E-2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3.5668933498093489</v>
      </c>
      <c r="D48" s="58">
        <f>D40-D43-D44-D45-D47-D46</f>
        <v>7.7796511815631575E-2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 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 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2023-10-20T03:49:05Z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