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684" firstSheet="3" activeTab="3"/>
  </bookViews>
  <sheets>
    <sheet name="面罩价格核算" sheetId="22" state="hidden" r:id="rId1"/>
    <sheet name="河北核算内镜注塑价格表" sheetId="24" state="hidden" r:id="rId2"/>
    <sheet name="材料价格" sheetId="2" state="hidden" r:id="rId3"/>
    <sheet name="成本描述" sheetId="26" r:id="rId4"/>
    <sheet name="汇总表" sheetId="23" r:id="rId5"/>
    <sheet name="18D后视镜" sheetId="3" r:id="rId6"/>
    <sheet name="3GD后视镜" sheetId="1" r:id="rId7"/>
    <sheet name="BC311电动外镜-右（极地白）-单曲" sheetId="4" r:id="rId8"/>
    <sheet name="316MP外镜顶右(极地白)" sheetId="13" r:id="rId9"/>
    <sheet name="BC311电动外镜-右 （玛雅红）-单曲" sheetId="5" state="hidden" r:id="rId10"/>
    <sheet name="BC311电动外镜-右 （海贝金）-单曲" sheetId="6" state="hidden" r:id="rId11"/>
    <sheet name="BC311电动外镜-右 （宝石蓝）-单曲" sheetId="7" state="hidden" r:id="rId12"/>
    <sheet name="BC311电动外镜-右（月光银）-单曲" sheetId="8" state="hidden" r:id="rId13"/>
    <sheet name="BC311电动外镜-左（极地白）-单曲" sheetId="9" state="hidden" r:id="rId14"/>
    <sheet name="BC311电动外镜-左（玛雅红）-单曲" sheetId="10" state="hidden" r:id="rId15"/>
    <sheet name="BC311电动外镜-左（海贝金）-单曲" sheetId="11" state="hidden" r:id="rId16"/>
    <sheet name="BC311电动外镜-左（宝石蓝）-单曲" sheetId="12" state="hidden" r:id="rId17"/>
    <sheet name="BC311电动外镜-左（月光银）-单曲" sheetId="14" state="hidden" r:id="rId18"/>
    <sheet name="316MP外镜顶右(高亮黑)" sheetId="15" state="hidden" r:id="rId19"/>
    <sheet name="316MP外镜顶右(海贝金)" sheetId="16" state="hidden" r:id="rId20"/>
    <sheet name="316MP外镜顶右(太平洋蓝)" sheetId="17" state="hidden" r:id="rId21"/>
    <sheet name="316MP外镜顶左(极地白)" sheetId="18" state="hidden" r:id="rId22"/>
    <sheet name="316MP外镜顶左(高亮黑)" sheetId="19" state="hidden" r:id="rId23"/>
    <sheet name="316MP外镜顶左(海贝金)" sheetId="20" state="hidden" r:id="rId24"/>
    <sheet name="316MP外镜顶左(太平洋蓝)" sheetId="21" state="hidden" r:id="rId25"/>
    <sheet name="河北重新核算成本10-12" sheetId="25" r:id="rId26"/>
  </sheets>
  <definedNames>
    <definedName name="_xlnm._FilterDatabase" localSheetId="2" hidden="1">材料价格!$A$2:$Q$117</definedName>
    <definedName name="_xlnm._FilterDatabase" localSheetId="5" hidden="1">'18D后视镜'!$A$2:$K$14</definedName>
    <definedName name="_xlnm._FilterDatabase" localSheetId="6" hidden="1">'3GD后视镜'!$A$2:$K$14</definedName>
    <definedName name="_xlnm._FilterDatabase" localSheetId="7" hidden="1">'BC311电动外镜-右（极地白）-单曲'!$A$2:$J$23</definedName>
    <definedName name="_xlnm._FilterDatabase" localSheetId="8" hidden="1">'316MP外镜顶右(极地白)'!$A$2:$J$37</definedName>
  </definedNames>
  <calcPr calcId="144525"/>
</workbook>
</file>

<file path=xl/comments1.xml><?xml version="1.0" encoding="utf-8"?>
<comments xmlns="http://schemas.openxmlformats.org/spreadsheetml/2006/main">
  <authors>
    <author>sunpeilin</author>
  </authors>
  <commentList>
    <comment ref="S3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实际人工费包括宋连利、赵化胜、古帅和李泉林四个人的工资</t>
        </r>
      </text>
    </comment>
    <comment ref="Y3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计算依据：黄骅到成都的运费280元/箱，再除以每箱装载产品数量。</t>
        </r>
      </text>
    </comment>
  </commentList>
</comments>
</file>

<file path=xl/comments2.xml><?xml version="1.0" encoding="utf-8"?>
<comments xmlns="http://schemas.openxmlformats.org/spreadsheetml/2006/main">
  <authors>
    <author>sunpeilin</author>
  </authors>
  <commentList>
    <comment ref="O2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comments3.xml><?xml version="1.0" encoding="utf-8"?>
<comments xmlns="http://schemas.openxmlformats.org/spreadsheetml/2006/main">
  <authors>
    <author>Lenovo</author>
  </authors>
  <commentList>
    <comment ref="K12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778T</t>
        </r>
      </text>
    </comment>
    <comment ref="L12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941</t>
        </r>
      </text>
    </comment>
    <comment ref="K15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778T</t>
        </r>
      </text>
    </comment>
    <comment ref="L15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941</t>
        </r>
      </text>
    </comment>
  </commentList>
</comments>
</file>

<file path=xl/comments4.xml><?xml version="1.0" encoding="utf-8"?>
<comments xmlns="http://schemas.openxmlformats.org/spreadsheetml/2006/main">
  <authors>
    <author>Lenovo</author>
  </authors>
  <commentList>
    <comment ref="K12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778T</t>
        </r>
      </text>
    </comment>
    <comment ref="L12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941</t>
        </r>
      </text>
    </comment>
    <comment ref="K13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778T</t>
        </r>
      </text>
    </comment>
    <comment ref="L13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941</t>
        </r>
      </text>
    </comment>
    <comment ref="L22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757k</t>
        </r>
      </text>
    </comment>
    <comment ref="K35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778T</t>
        </r>
      </text>
    </comment>
    <comment ref="L35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941</t>
        </r>
      </text>
    </comment>
  </commentList>
</comments>
</file>

<file path=xl/sharedStrings.xml><?xml version="1.0" encoding="utf-8"?>
<sst xmlns="http://schemas.openxmlformats.org/spreadsheetml/2006/main" count="2733" uniqueCount="583">
  <si>
    <t>实际成本明细表（2022年5月-2023年4月）</t>
  </si>
  <si>
    <t>序</t>
  </si>
  <si>
    <t>QAD码</t>
  </si>
  <si>
    <t>QAD名称</t>
  </si>
  <si>
    <t>财务</t>
  </si>
  <si>
    <t>数量</t>
  </si>
  <si>
    <t>系统成本</t>
  </si>
  <si>
    <t>全年总材料费</t>
  </si>
  <si>
    <t>财务版
销售产值</t>
  </si>
  <si>
    <t>材料成本</t>
  </si>
  <si>
    <t>人工成本</t>
  </si>
  <si>
    <t>实际制造费用</t>
  </si>
  <si>
    <t>生产成本</t>
  </si>
  <si>
    <t>运费</t>
  </si>
  <si>
    <t>包装费</t>
  </si>
  <si>
    <t>单件</t>
  </si>
  <si>
    <t>建议未税</t>
  </si>
  <si>
    <t>原材料单位成本</t>
  </si>
  <si>
    <t>号</t>
  </si>
  <si>
    <t>单价</t>
  </si>
  <si>
    <t>生产</t>
  </si>
  <si>
    <t>销售</t>
  </si>
  <si>
    <t>塑件</t>
  </si>
  <si>
    <t>油漆</t>
  </si>
  <si>
    <t>料费</t>
  </si>
  <si>
    <t>合计</t>
  </si>
  <si>
    <t>工时定额</t>
  </si>
  <si>
    <t>系统工时费</t>
  </si>
  <si>
    <t>实际金额</t>
  </si>
  <si>
    <t>低值易耗</t>
  </si>
  <si>
    <t>燃动费</t>
  </si>
  <si>
    <t>设备备件</t>
  </si>
  <si>
    <t>金额</t>
  </si>
  <si>
    <t>成本单价</t>
  </si>
  <si>
    <t>销售价</t>
  </si>
  <si>
    <t>REM0000010</t>
  </si>
  <si>
    <t>BC316极地白L</t>
  </si>
  <si>
    <t>REM0000041</t>
  </si>
  <si>
    <t>BC316极地白R</t>
  </si>
  <si>
    <t>REM0003294</t>
  </si>
  <si>
    <t>BC316高亮黑L</t>
  </si>
  <si>
    <t>REM0003290</t>
  </si>
  <si>
    <t>BC316高亮黑R</t>
  </si>
  <si>
    <t>REM0010478</t>
  </si>
  <si>
    <t>BC316太平洋蓝L</t>
  </si>
  <si>
    <t>REM0010482</t>
  </si>
  <si>
    <t>BC316太平洋蓝R</t>
  </si>
  <si>
    <t>REM0000088</t>
  </si>
  <si>
    <t>BC311极地白L</t>
  </si>
  <si>
    <t>REM0000116</t>
  </si>
  <si>
    <t>BC311极地白R</t>
  </si>
  <si>
    <t>REM0000087</t>
  </si>
  <si>
    <t>BC311月光银L</t>
  </si>
  <si>
    <t>REM0000115</t>
  </si>
  <si>
    <t>BC311月光银R</t>
  </si>
  <si>
    <t>REM0000091</t>
  </si>
  <si>
    <t>BC311宝石蓝L</t>
  </si>
  <si>
    <t>REM0000119</t>
  </si>
  <si>
    <t>BC311宝石蓝R</t>
  </si>
  <si>
    <t>REM0000090</t>
  </si>
  <si>
    <t>BC311海贝金L</t>
  </si>
  <si>
    <t>REM0000118</t>
  </si>
  <si>
    <t>BC311海贝金R</t>
  </si>
  <si>
    <t>REM0000089</t>
  </si>
  <si>
    <t>BC311玛雅红L</t>
  </si>
  <si>
    <t>REM0000117</t>
  </si>
  <si>
    <t>BC311玛雅红R</t>
  </si>
  <si>
    <t>REM0001102</t>
  </si>
  <si>
    <t>B40L镜框左(钢琴黑）</t>
  </si>
  <si>
    <t>REM0010287</t>
  </si>
  <si>
    <t>B40L镜框左(哑光黑）</t>
  </si>
  <si>
    <t>REM0001118</t>
  </si>
  <si>
    <t>B40L镜框右(钢琴黑）</t>
  </si>
  <si>
    <t>REM0010288</t>
  </si>
  <si>
    <t>B40L镜框右(哑光黑）</t>
  </si>
  <si>
    <t>REM0001095</t>
  </si>
  <si>
    <t>B40L三角座左（钢琴黑）</t>
  </si>
  <si>
    <t>REM0010289</t>
  </si>
  <si>
    <t>B40L三角座左（哑光黑）</t>
  </si>
  <si>
    <t>REM0001112</t>
  </si>
  <si>
    <t>B40L三角座右（钢琴黑）</t>
  </si>
  <si>
    <t>REM0010290</t>
  </si>
  <si>
    <t>B40L三角座右（哑光黑）</t>
  </si>
  <si>
    <t>REM0001129</t>
  </si>
  <si>
    <t>B80C护罩左(钢琴黑）</t>
  </si>
  <si>
    <t>REM0001153</t>
  </si>
  <si>
    <t>B80C护罩右(钢琴黑）</t>
  </si>
  <si>
    <t>REM0000592</t>
  </si>
  <si>
    <t>濠乐大镜体L（亚光黑）</t>
  </si>
  <si>
    <t>REM0000596</t>
  </si>
  <si>
    <t>濠乐大镜体R（亚光黑）</t>
  </si>
  <si>
    <t>REM0000593</t>
  </si>
  <si>
    <t>濠乐小镜体L（亚光黑）</t>
  </si>
  <si>
    <t>REM0002782</t>
  </si>
  <si>
    <t>濠乐小镜体R（哑光黑）</t>
  </si>
  <si>
    <t>合计：</t>
  </si>
  <si>
    <t>河北工厂自制注塑件内部结算价核算明细表（未税、元）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</si>
  <si>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</si>
  <si>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</si>
  <si>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</si>
  <si>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</si>
  <si>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</si>
  <si>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</si>
  <si>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</si>
  <si>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</si>
  <si>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</si>
  <si>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</si>
  <si>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</si>
  <si>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</si>
  <si>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</si>
  <si>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</si>
  <si>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</si>
  <si>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目前内部交易单价</t>
  </si>
  <si>
    <t>包装/件</t>
  </si>
  <si>
    <t>运费/件</t>
  </si>
  <si>
    <t>内部结算指导价（未税）</t>
  </si>
  <si>
    <t>供货地点</t>
  </si>
  <si>
    <t>价格/原材料</t>
  </si>
  <si>
    <t>价格</t>
  </si>
  <si>
    <t>净重</t>
  </si>
  <si>
    <t>毛重</t>
  </si>
  <si>
    <t>REM0003405</t>
  </si>
  <si>
    <t>3GD卡框</t>
  </si>
  <si>
    <t>PC+ASA</t>
  </si>
  <si>
    <t>MA3200IIS/1350</t>
  </si>
  <si>
    <t>供成都</t>
  </si>
  <si>
    <t>RIM0000003</t>
  </si>
  <si>
    <t>3GD镜壳</t>
  </si>
  <si>
    <t>RIM0000008</t>
  </si>
  <si>
    <t>3GD球座</t>
  </si>
  <si>
    <t>POM-黑K300L0</t>
  </si>
  <si>
    <t>MA1600IIS/570</t>
  </si>
  <si>
    <t>RIM0000013</t>
  </si>
  <si>
    <t>18D镜壳</t>
  </si>
  <si>
    <t>REM0003404</t>
  </si>
  <si>
    <t>18D卡框</t>
  </si>
  <si>
    <t>RIM0000007</t>
  </si>
  <si>
    <t>3GD手柄</t>
  </si>
  <si>
    <t>RIM0000016</t>
  </si>
  <si>
    <t>18D手柄</t>
  </si>
  <si>
    <t>RIM0000015</t>
  </si>
  <si>
    <t>18D球座</t>
  </si>
  <si>
    <t>后视镜原材料价格</t>
  </si>
  <si>
    <t>子零件</t>
  </si>
  <si>
    <t>说明</t>
  </si>
  <si>
    <t>23年现执行价格</t>
  </si>
  <si>
    <t>又进镜杆</t>
  </si>
  <si>
    <t>供应商</t>
  </si>
  <si>
    <t>6月定价之前的内镜注塑件价格</t>
  </si>
  <si>
    <t>9月之前面罩价格</t>
  </si>
  <si>
    <t>差异</t>
  </si>
  <si>
    <t>备注</t>
  </si>
  <si>
    <t>BFA0000139</t>
  </si>
  <si>
    <t>半圆头螺钉</t>
  </si>
  <si>
    <t>上海坤达</t>
  </si>
  <si>
    <t/>
  </si>
  <si>
    <t>18D卡框单件</t>
  </si>
  <si>
    <t>河北光华</t>
  </si>
  <si>
    <t>RIM0000009</t>
  </si>
  <si>
    <t>球头弹卡</t>
  </si>
  <si>
    <t>上海绒彧</t>
  </si>
  <si>
    <t>RIM0000017</t>
  </si>
  <si>
    <t>18D镜杆</t>
  </si>
  <si>
    <t>宁波屹昌</t>
  </si>
  <si>
    <t>2021年10月前为4.35元/件，2021年10月至今为5.81元/件</t>
  </si>
  <si>
    <t>RIM0000018</t>
  </si>
  <si>
    <t>胶条</t>
  </si>
  <si>
    <t>黄骅汇铭</t>
  </si>
  <si>
    <t>RIM0000019</t>
  </si>
  <si>
    <t>18D安装弹片</t>
  </si>
  <si>
    <t>RIM0000021</t>
  </si>
  <si>
    <t>昼夜调节弹片</t>
  </si>
  <si>
    <t>上海中鹏岳博</t>
  </si>
  <si>
    <t>RIM0000103</t>
  </si>
  <si>
    <t>18D内镜镜片</t>
  </si>
  <si>
    <t>中山华胜</t>
  </si>
  <si>
    <t>2019年采购价格为4.3元/件，2020年-2021年9月采购价为4元/件，2021年10月-2023年采购价格为4.3元/件，2023年采购价格为4.2元/件</t>
  </si>
  <si>
    <t>BFA0000534</t>
  </si>
  <si>
    <t>BC316内六角花型沉头螺钉</t>
  </si>
  <si>
    <t>阿诺德</t>
  </si>
  <si>
    <t>BFA0000535</t>
  </si>
  <si>
    <t>BC316内六角花型盘头螺钉</t>
  </si>
  <si>
    <t>BFA0000536</t>
  </si>
  <si>
    <t>BMM0000001</t>
  </si>
  <si>
    <t>BC316电动机芯</t>
  </si>
  <si>
    <t>宁波精成</t>
  </si>
  <si>
    <t>BSP0000071</t>
  </si>
  <si>
    <t>BC311弹簧</t>
  </si>
  <si>
    <t>海兴中盛</t>
  </si>
  <si>
    <t>REM0000100</t>
  </si>
  <si>
    <t>BC311转轴</t>
  </si>
  <si>
    <t>2021年10月前为1.66元/件，2021年10月至今为1.84元/件</t>
  </si>
  <si>
    <t>REM0000101</t>
  </si>
  <si>
    <t>BC311磨擦片</t>
  </si>
  <si>
    <t>成都康鸿</t>
  </si>
  <si>
    <t>REM0000102</t>
  </si>
  <si>
    <t>BC311线束合件</t>
  </si>
  <si>
    <t>上海发之源/上海博迩森</t>
  </si>
  <si>
    <t>REM0000103</t>
  </si>
  <si>
    <t>BC311插接器1</t>
  </si>
  <si>
    <t>REM0000114</t>
  </si>
  <si>
    <t>BC311卡框-右</t>
  </si>
  <si>
    <t>BC311面罩右（月光银）</t>
  </si>
  <si>
    <t>REM0000122</t>
  </si>
  <si>
    <t>BC311下镜壳合件右</t>
  </si>
  <si>
    <t>长春鸿德</t>
  </si>
  <si>
    <t>REM0000123</t>
  </si>
  <si>
    <t>BC311基板-右</t>
  </si>
  <si>
    <t>REM0000124</t>
  </si>
  <si>
    <t>BC311三角护罩-右</t>
  </si>
  <si>
    <t>REM0000125</t>
  </si>
  <si>
    <t>BC311三角座-右</t>
  </si>
  <si>
    <t>REM0000126</t>
  </si>
  <si>
    <t>BC311防啸垫-右</t>
  </si>
  <si>
    <t>REM0000127</t>
  </si>
  <si>
    <t>BC311三角垫合件-右</t>
  </si>
  <si>
    <t>芜湖卓人</t>
  </si>
  <si>
    <t>REM0000111</t>
  </si>
  <si>
    <t>BC311镜片右</t>
  </si>
  <si>
    <t>江苏福美</t>
  </si>
  <si>
    <t>REM0000112</t>
  </si>
  <si>
    <t>BC311加热片右</t>
  </si>
  <si>
    <t>长春夸克/宝曼电子</t>
  </si>
  <si>
    <t>REM0000113</t>
  </si>
  <si>
    <t>BC311镜托板-右</t>
  </si>
  <si>
    <t>BC311面罩右（宝石蓝）</t>
  </si>
  <si>
    <t>BC311面罩右（海贝金）</t>
  </si>
  <si>
    <t>BC311面罩右（玛雅红）</t>
  </si>
  <si>
    <t>BC311面罩右（极地白）</t>
  </si>
  <si>
    <t>REM0000086</t>
  </si>
  <si>
    <t>BC311卡框-左</t>
  </si>
  <si>
    <t>BC311面罩左（极地白）</t>
  </si>
  <si>
    <t>REM0000094</t>
  </si>
  <si>
    <t>BC311下镜壳合件左</t>
  </si>
  <si>
    <t>REM0000095</t>
  </si>
  <si>
    <t>BC311基板-左</t>
  </si>
  <si>
    <t>REM0000096</t>
  </si>
  <si>
    <t>BC311三角护罩-左</t>
  </si>
  <si>
    <t>REM0000097</t>
  </si>
  <si>
    <t>BC311三角座-左</t>
  </si>
  <si>
    <t>REM0000098</t>
  </si>
  <si>
    <t>BC311防啸垫-左</t>
  </si>
  <si>
    <t>REM0000099</t>
  </si>
  <si>
    <t>BC311三角垫合件-左</t>
  </si>
  <si>
    <t>REM0000084</t>
  </si>
  <si>
    <t>BC311加热片左</t>
  </si>
  <si>
    <t>REM0003052</t>
  </si>
  <si>
    <t>BC311单曲率镜片 -左</t>
  </si>
  <si>
    <t>REM0003053</t>
  </si>
  <si>
    <t>BC311单曲率镜托板-左</t>
  </si>
  <si>
    <t>BC311面罩左（玛雅红）</t>
  </si>
  <si>
    <t>BC311面罩左（海贝金）</t>
  </si>
  <si>
    <t>BC311面罩左（宝石蓝）</t>
  </si>
  <si>
    <t>BC311面罩左（月光银）</t>
  </si>
  <si>
    <t>BCL0000035</t>
  </si>
  <si>
    <t>BC316线束扎扣</t>
  </si>
  <si>
    <t>上海博迩森</t>
  </si>
  <si>
    <t>BEC0000052</t>
  </si>
  <si>
    <t>BC316车身插接器</t>
  </si>
  <si>
    <t>BEC0010148</t>
  </si>
  <si>
    <t>外后视镜顶配线束合件</t>
  </si>
  <si>
    <t>BSP0000107</t>
  </si>
  <si>
    <t>BC316-1弹簧</t>
  </si>
  <si>
    <t>上海努辰</t>
  </si>
  <si>
    <t>REM0000027</t>
  </si>
  <si>
    <t>BC316磨擦片</t>
  </si>
  <si>
    <t>REM0000047</t>
  </si>
  <si>
    <t>BC316卡框-右</t>
  </si>
  <si>
    <t>REM0000051</t>
  </si>
  <si>
    <t>BC316三角护罩-右</t>
  </si>
  <si>
    <t>REM0000053</t>
  </si>
  <si>
    <t>BC316防啸垫-右</t>
  </si>
  <si>
    <t>REM0000017</t>
  </si>
  <si>
    <t>BC316阻尼片</t>
  </si>
  <si>
    <t>REM0000045</t>
  </si>
  <si>
    <t>BC316镜片右</t>
  </si>
  <si>
    <t>REM0000046</t>
  </si>
  <si>
    <t>BC316镜托板-右</t>
  </si>
  <si>
    <t>REM0002228</t>
  </si>
  <si>
    <t>BC316发热片-右</t>
  </si>
  <si>
    <t>REM0002232</t>
  </si>
  <si>
    <t>BC316高配三角座-右</t>
  </si>
  <si>
    <t>无锡汇源</t>
  </si>
  <si>
    <t>REM0002233</t>
  </si>
  <si>
    <t>BC316高配转轴</t>
  </si>
  <si>
    <t>REM0002235</t>
  </si>
  <si>
    <t>BC316线束密封塞</t>
  </si>
  <si>
    <t>BC316面罩-右（极地白）</t>
  </si>
  <si>
    <t>REM0000055</t>
  </si>
  <si>
    <t>BC316转向灯总成右</t>
  </si>
  <si>
    <t>江苏海德莱特</t>
  </si>
  <si>
    <t>BFA0000538</t>
  </si>
  <si>
    <t>BMM0000039</t>
  </si>
  <si>
    <t>316电折机芯-Gen5DST右</t>
  </si>
  <si>
    <t>麦格纳（太仓）</t>
  </si>
  <si>
    <t>BMM0000040</t>
  </si>
  <si>
    <t>316电折机芯-配套底座右</t>
  </si>
  <si>
    <t>REM0002239</t>
  </si>
  <si>
    <t>BC316高配基板-右</t>
  </si>
  <si>
    <t>REM0002783</t>
  </si>
  <si>
    <t>BC316外后视镜电折机芯线</t>
  </si>
  <si>
    <t>REM0003421</t>
  </si>
  <si>
    <t>316MP摄像头线束插接器</t>
  </si>
  <si>
    <t>REM0010436</t>
  </si>
  <si>
    <t>316外后视镜三角密封垫-右</t>
  </si>
  <si>
    <t>力登维</t>
  </si>
  <si>
    <t>BEC0010146</t>
  </si>
  <si>
    <t>BC316外后视镜logo灯-右</t>
  </si>
  <si>
    <t>BEC0010149</t>
  </si>
  <si>
    <t>BC316摄像头（MP）</t>
  </si>
  <si>
    <t>江苏日盈</t>
  </si>
  <si>
    <t>BFA0010078</t>
  </si>
  <si>
    <t>REM0000283</t>
  </si>
  <si>
    <t>BC316摄像头支架-右</t>
  </si>
  <si>
    <t>REM0010473</t>
  </si>
  <si>
    <t>MP外后视镜顶配下镜壳-右</t>
  </si>
  <si>
    <t>REM0010475</t>
  </si>
  <si>
    <t>外后视镜摄像头转换片-右</t>
  </si>
  <si>
    <t>BC316面罩-右(高亮黑)</t>
  </si>
  <si>
    <t>REM0010484</t>
  </si>
  <si>
    <t>BC316面罩-右(海贝金)</t>
  </si>
  <si>
    <t>BC316面罩-右(太平洋蓝)</t>
  </si>
  <si>
    <t>REM0000018</t>
  </si>
  <si>
    <t>BC316卡框-左</t>
  </si>
  <si>
    <t>REM0000022</t>
  </si>
  <si>
    <t>BC316三角护罩-左</t>
  </si>
  <si>
    <t>REM0000024</t>
  </si>
  <si>
    <t>BC316防啸垫-左</t>
  </si>
  <si>
    <t>REM0002231</t>
  </si>
  <si>
    <t>BC316高配三角座-左</t>
  </si>
  <si>
    <t>BC316面罩-左（极地白）</t>
  </si>
  <si>
    <t>REM0000031</t>
  </si>
  <si>
    <t>BC316转向灯总成左</t>
  </si>
  <si>
    <t>REM0002227</t>
  </si>
  <si>
    <t>BC316发热片-左</t>
  </si>
  <si>
    <t>REM0003060</t>
  </si>
  <si>
    <t>BC316单曲镜片 -左</t>
  </si>
  <si>
    <t>REM0003061</t>
  </si>
  <si>
    <t>BC316单曲镜托板-左</t>
  </si>
  <si>
    <t>BMM0000037</t>
  </si>
  <si>
    <t>316电折机芯-Gen5D ST左</t>
  </si>
  <si>
    <t>BMM0000038</t>
  </si>
  <si>
    <t>316电折机芯-配套底座左</t>
  </si>
  <si>
    <t>REM0002238</t>
  </si>
  <si>
    <t>BC316高配基板-左</t>
  </si>
  <si>
    <t>REM0010435</t>
  </si>
  <si>
    <t>316外后视镜三角密封垫-左</t>
  </si>
  <si>
    <t>BEC0010145</t>
  </si>
  <si>
    <t>BC316外后视镜logo灯-左</t>
  </si>
  <si>
    <t>REM0000266</t>
  </si>
  <si>
    <t>BC316摄像头支架-左</t>
  </si>
  <si>
    <t>REM0010472</t>
  </si>
  <si>
    <t>MP外后视镜顶配下镜壳-左</t>
  </si>
  <si>
    <t>REM0010474</t>
  </si>
  <si>
    <t>外后视镜摄像头转换片-左</t>
  </si>
  <si>
    <t>BC316面罩-左(高亮黑)</t>
  </si>
  <si>
    <t>REM0010480</t>
  </si>
  <si>
    <t>BC316面罩-左(海贝金)</t>
  </si>
  <si>
    <t>BC316面罩-左(太平洋蓝)</t>
  </si>
  <si>
    <t>REM0002234</t>
  </si>
  <si>
    <t>BC316高配线束合件</t>
  </si>
  <si>
    <t>REM0010470</t>
  </si>
  <si>
    <t>MP外后视镜高配下镜壳-左</t>
  </si>
  <si>
    <t>BFA0000138</t>
  </si>
  <si>
    <t>浙江万福</t>
  </si>
  <si>
    <t>3GD卡框单件</t>
  </si>
  <si>
    <t>RIM0000004</t>
  </si>
  <si>
    <t>橡胶柱</t>
  </si>
  <si>
    <t>RIM0000005</t>
  </si>
  <si>
    <t>3GD镜杆</t>
  </si>
  <si>
    <t>2021年10月前为4.52元/件，2021年10月至今为6.44元/件</t>
  </si>
  <si>
    <t>RIM0000006</t>
  </si>
  <si>
    <t>3GD安装弹片</t>
  </si>
  <si>
    <t>上海鸿扬</t>
  </si>
  <si>
    <t>RIM0000010</t>
  </si>
  <si>
    <t>手柄弹簧</t>
  </si>
  <si>
    <t>RIM0000011</t>
  </si>
  <si>
    <t>3GD镜片</t>
  </si>
  <si>
    <t>后视镜成本明细表</t>
  </si>
  <si>
    <t>零件号</t>
  </si>
  <si>
    <t>描述</t>
  </si>
  <si>
    <t>现销售价格</t>
  </si>
  <si>
    <t>现状</t>
  </si>
  <si>
    <t>河北利润空间</t>
  </si>
  <si>
    <t>降本后（零部件降本原料更换）</t>
  </si>
  <si>
    <t>过程费用</t>
  </si>
  <si>
    <t>降本后包含过程费用</t>
  </si>
  <si>
    <t>持平销价</t>
  </si>
  <si>
    <t>提价目标</t>
  </si>
  <si>
    <t>调价后附加值</t>
  </si>
  <si>
    <t>销量占比</t>
  </si>
  <si>
    <t>风险</t>
  </si>
  <si>
    <t>竞争对手价格</t>
  </si>
  <si>
    <t>扭亏方案</t>
  </si>
  <si>
    <t>23年现执行价格（材料）</t>
  </si>
  <si>
    <t>执行价格附加值</t>
  </si>
  <si>
    <t>实际附加值</t>
  </si>
  <si>
    <t>降价材料成本</t>
  </si>
  <si>
    <t>降价目标附加值</t>
  </si>
  <si>
    <t>减掉河北利润后附加值</t>
  </si>
  <si>
    <t>排序</t>
  </si>
  <si>
    <t>运费成本</t>
  </si>
  <si>
    <t>降价后成本小计</t>
  </si>
  <si>
    <t>附加值</t>
  </si>
  <si>
    <t>目标降价附加值5%</t>
  </si>
  <si>
    <t>增加</t>
  </si>
  <si>
    <t>增长率</t>
  </si>
  <si>
    <t>目标降价附加值10%</t>
  </si>
  <si>
    <t>RIM0000012</t>
  </si>
  <si>
    <t>18D后视镜</t>
  </si>
  <si>
    <t>干巷直接供货</t>
  </si>
  <si>
    <t>干巷16.59</t>
  </si>
  <si>
    <t>1、天津18D镜杆继续降价现在降本1.2元；目标2.5元。  
2、镜片开发B点目标价格3.8元降本0.4元。</t>
  </si>
  <si>
    <t>RIM0000001</t>
  </si>
  <si>
    <t>3GD后视镜</t>
  </si>
  <si>
    <t>干巷19.63</t>
  </si>
  <si>
    <t>REM0000105</t>
  </si>
  <si>
    <t>BC311电动外镜-右（极地白）-单曲</t>
  </si>
  <si>
    <t>短期同意，客户开发B点。或者转移给干巷生产（干巷正在开发速腾后视镜）</t>
  </si>
  <si>
    <t>麦格纳速腾后视镜最低价格系统价格98/93，基板和镜座为铝制，311为塑料，镜片为双曲。干巷已经在开发。</t>
  </si>
  <si>
    <t>1、线束开发C点，目标降本2元；       
2、面罩油漆更换供应商降本；   
3、注塑件降价；</t>
  </si>
  <si>
    <t>REM0000106</t>
  </si>
  <si>
    <t>BC311电动外镜-右 （玛雅红）-单曲</t>
  </si>
  <si>
    <t>REM0000107</t>
  </si>
  <si>
    <t>BC311电动外镜-右 （海贝金）-单曲</t>
  </si>
  <si>
    <t>REM0000108</t>
  </si>
  <si>
    <t>BC311电动外镜-右 （宝石蓝）-单曲</t>
  </si>
  <si>
    <t>REM0000104</t>
  </si>
  <si>
    <t>BC311电动外镜-右（月光银）-单曲</t>
  </si>
  <si>
    <t>REM0003055</t>
  </si>
  <si>
    <t>BC311电动外镜-左（极地白）-单曲</t>
  </si>
  <si>
    <t>REM0003056</t>
  </si>
  <si>
    <t>BC311电动外镜-左（玛雅红）-单曲</t>
  </si>
  <si>
    <t>REM0003057</t>
  </si>
  <si>
    <t>BC311电动外镜-左（海贝金）-单曲</t>
  </si>
  <si>
    <t>REM0003054</t>
  </si>
  <si>
    <t>BC311电动外镜-左（月光银）-单曲</t>
  </si>
  <si>
    <t>REM0003058</t>
  </si>
  <si>
    <t>BC311电动外镜-左（宝石蓝）-单曲</t>
  </si>
  <si>
    <t>REM0010465</t>
  </si>
  <si>
    <t>316MP外镜顶右(极地白)</t>
  </si>
  <si>
    <t>提涨价会直接由华翔供货</t>
  </si>
  <si>
    <t>华翔与咱价格一致</t>
  </si>
  <si>
    <t>1、线束开发C点，目标降本3元；       
2、面罩油漆更换供应商降本；   
3、注塑件降价；
4、麦格纳折叠机芯开发B点。</t>
  </si>
  <si>
    <t>REM0010467</t>
  </si>
  <si>
    <t>316MP外镜顶右(高亮黑)</t>
  </si>
  <si>
    <t>REM0010469</t>
  </si>
  <si>
    <t>316MP外镜顶右(海贝金)</t>
  </si>
  <si>
    <t>REM0010468</t>
  </si>
  <si>
    <t>316MP外镜顶右(太平洋蓝)</t>
  </si>
  <si>
    <t>REM0010459</t>
  </si>
  <si>
    <t>316MP外镜顶左(极地白)</t>
  </si>
  <si>
    <t>REM0010461</t>
  </si>
  <si>
    <t>316MP外镜顶左(高亮黑)</t>
  </si>
  <si>
    <t>REM0010464</t>
  </si>
  <si>
    <t>316MP外镜顶左(海贝金)</t>
  </si>
  <si>
    <t>REM0010463</t>
  </si>
  <si>
    <t>316MP外镜顶左(太平洋蓝)</t>
  </si>
  <si>
    <t>管理费用：10%（20年100%份额）</t>
  </si>
  <si>
    <t>销售价格</t>
  </si>
  <si>
    <t>降本后</t>
  </si>
  <si>
    <t>现状包含制造费用</t>
  </si>
  <si>
    <t>降本后包含制造费用</t>
  </si>
  <si>
    <t>降价材料成本目标</t>
  </si>
  <si>
    <t>23年执行价格成本小计</t>
  </si>
  <si>
    <t>附加值1</t>
  </si>
  <si>
    <t>降价目标成本小计</t>
  </si>
  <si>
    <t>附加值2</t>
  </si>
  <si>
    <t>短期同意，客户开发B点</t>
  </si>
  <si>
    <t>干巷16</t>
  </si>
  <si>
    <t>干巷18</t>
  </si>
  <si>
    <t>直接由华翔供货</t>
  </si>
  <si>
    <t>每件数量</t>
  </si>
  <si>
    <t>材料属性</t>
  </si>
  <si>
    <t>单位</t>
  </si>
  <si>
    <t>单价（又进镜杆）</t>
  </si>
  <si>
    <t>认可材料</t>
  </si>
  <si>
    <t>现用材料</t>
  </si>
  <si>
    <t>现用材料重量（KG）</t>
  </si>
  <si>
    <t>降本目标</t>
  </si>
  <si>
    <t>标准件</t>
  </si>
  <si>
    <t>ea</t>
  </si>
  <si>
    <t>塑料</t>
  </si>
  <si>
    <t xml:space="preserve">PC+ASA / PC880M </t>
  </si>
  <si>
    <t>供应商变更，降本</t>
  </si>
  <si>
    <t>金属</t>
  </si>
  <si>
    <t>宝理m90-44</t>
  </si>
  <si>
    <t>铝</t>
  </si>
  <si>
    <t>橡胶</t>
  </si>
  <si>
    <t>玻璃</t>
  </si>
  <si>
    <t>Ea</t>
  </si>
  <si>
    <t>现用材料重量（KG）（左、右）</t>
  </si>
  <si>
    <t>现用料价格</t>
  </si>
  <si>
    <t>新原料价格</t>
  </si>
  <si>
    <t>可将成本</t>
  </si>
  <si>
    <t>功能件</t>
  </si>
  <si>
    <t>POM-K300LOBBK</t>
  </si>
  <si>
    <t>CX20</t>
  </si>
  <si>
    <t>成都21年开始使用CX20</t>
  </si>
  <si>
    <t>线束</t>
  </si>
  <si>
    <t>ASA-778T本领</t>
  </si>
  <si>
    <t>ASA(LI941-V94285)LG</t>
  </si>
  <si>
    <t>0.0737、0.0785</t>
  </si>
  <si>
    <t>成都20年开始使用LG的料</t>
  </si>
  <si>
    <t>PA66</t>
  </si>
  <si>
    <t>PA6</t>
  </si>
  <si>
    <t>0.1709、0.1723</t>
  </si>
  <si>
    <t>0.1086、0.1096</t>
  </si>
  <si>
    <t>0.2353、0.2309</t>
  </si>
  <si>
    <t>PP-GF30-TPE</t>
  </si>
  <si>
    <t>0.01954、0.01954</t>
  </si>
  <si>
    <t>ABS-HH106本领</t>
  </si>
  <si>
    <t>ABS(XR401-A9001)LG</t>
  </si>
  <si>
    <t>0.0182、0.0196</t>
  </si>
  <si>
    <t>ABS-HH106</t>
  </si>
  <si>
    <t>0.11885、0.11765</t>
  </si>
  <si>
    <t>0.1129、0.1183</t>
  </si>
  <si>
    <t>0.0226、0.0226</t>
  </si>
  <si>
    <t>0.0277、0.0277</t>
  </si>
  <si>
    <t>PA6（BC316认可）</t>
  </si>
  <si>
    <t>0.2418、0.242</t>
  </si>
  <si>
    <t>0.0088、0.0088</t>
  </si>
  <si>
    <t>0.115、0.116</t>
  </si>
  <si>
    <t>0.014、0.014</t>
  </si>
  <si>
    <t>客户</t>
  </si>
  <si>
    <t>项目</t>
  </si>
  <si>
    <t>油漆成本</t>
  </si>
  <si>
    <t>注塑件成本</t>
  </si>
  <si>
    <t>注塑件损耗</t>
  </si>
  <si>
    <t>能耗</t>
  </si>
  <si>
    <t>辅料成本</t>
  </si>
  <si>
    <t>设备折旧</t>
  </si>
  <si>
    <t>一线管理摊销</t>
  </si>
  <si>
    <t>销售成本</t>
  </si>
  <si>
    <t>运输包装</t>
  </si>
  <si>
    <t>合计成本</t>
  </si>
  <si>
    <t>利润空间</t>
  </si>
  <si>
    <t>大众捷达</t>
  </si>
  <si>
    <t>BC311极地白</t>
  </si>
  <si>
    <t>BC316极地白</t>
  </si>
  <si>
    <t>大众宝莱</t>
  </si>
  <si>
    <t>面罩极地白</t>
  </si>
  <si>
    <t>产能(pcs/H)</t>
  </si>
  <si>
    <t>产能</t>
  </si>
  <si>
    <t>合格率</t>
  </si>
  <si>
    <t>产出</t>
  </si>
  <si>
    <t>油漆类别</t>
  </si>
  <si>
    <t>底漆</t>
  </si>
  <si>
    <t>固化剂</t>
  </si>
  <si>
    <t>稀释剂</t>
  </si>
  <si>
    <t>色漆</t>
  </si>
  <si>
    <t>清漆</t>
  </si>
  <si>
    <r>
      <rPr>
        <sz val="11"/>
        <color theme="1"/>
        <rFont val="宋体"/>
        <charset val="134"/>
        <scheme val="minor"/>
      </rPr>
      <t>油漆单耗（g</t>
    </r>
    <r>
      <rPr>
        <sz val="11"/>
        <color theme="1"/>
        <rFont val="宋体"/>
        <charset val="134"/>
      </rPr>
      <t>/</t>
    </r>
    <r>
      <rPr>
        <sz val="11"/>
        <color theme="1"/>
        <rFont val="宋体"/>
        <charset val="134"/>
        <scheme val="minor"/>
      </rPr>
      <t>pcs）</t>
    </r>
  </si>
  <si>
    <r>
      <rPr>
        <sz val="11"/>
        <color theme="1"/>
        <rFont val="宋体"/>
        <charset val="134"/>
        <scheme val="minor"/>
      </rPr>
      <t>油漆价格（元</t>
    </r>
    <r>
      <rPr>
        <sz val="11"/>
        <color theme="1"/>
        <rFont val="宋体"/>
        <charset val="134"/>
      </rPr>
      <t>/</t>
    </r>
    <r>
      <rPr>
        <sz val="11"/>
        <color theme="1"/>
        <rFont val="宋体"/>
        <charset val="134"/>
        <scheme val="minor"/>
      </rPr>
      <t>g）</t>
    </r>
  </si>
  <si>
    <r>
      <rPr>
        <sz val="11"/>
        <color theme="1"/>
        <rFont val="宋体"/>
        <charset val="134"/>
        <scheme val="minor"/>
      </rPr>
      <t>油漆成本（元</t>
    </r>
    <r>
      <rPr>
        <sz val="11"/>
        <color theme="1"/>
        <rFont val="宋体"/>
        <charset val="134"/>
      </rPr>
      <t>/pcs</t>
    </r>
    <r>
      <rPr>
        <sz val="11"/>
        <color theme="1"/>
        <rFont val="宋体"/>
        <charset val="134"/>
        <scheme val="minor"/>
      </rPr>
      <t>）</t>
    </r>
  </si>
  <si>
    <t>大众宝莱面罩极地白</t>
  </si>
  <si>
    <t>类别</t>
  </si>
  <si>
    <t>功率</t>
  </si>
  <si>
    <t>运行比例</t>
  </si>
  <si>
    <t>运行功率</t>
  </si>
  <si>
    <t>单价(元）</t>
  </si>
  <si>
    <t>每小时费用</t>
  </si>
  <si>
    <t>合计(元）</t>
  </si>
  <si>
    <t>电总功率KW/H</t>
  </si>
  <si>
    <t>天然气m³/h</t>
  </si>
  <si>
    <t>压缩空气总量（m³）</t>
  </si>
  <si>
    <t>水(m³/h)</t>
  </si>
  <si>
    <t>设备损耗</t>
  </si>
  <si>
    <t>2000万元/15年/270天/2班=2469元/班/12H=206元/H；</t>
  </si>
  <si>
    <t>管理车本摊销</t>
  </si>
  <si>
    <t>管理成本（包含各部门摊销共23人）</t>
  </si>
  <si>
    <t>每天合计</t>
  </si>
  <si>
    <t>小时合计</t>
  </si>
  <si>
    <t>喷涂ST（min）</t>
  </si>
  <si>
    <t>打磨ST</t>
  </si>
  <si>
    <t>小时工资</t>
  </si>
  <si>
    <t>单件成本</t>
  </si>
  <si>
    <t>运输包装成本</t>
  </si>
  <si>
    <t>运费（6.8米）</t>
  </si>
  <si>
    <t>每车装箱数</t>
  </si>
  <si>
    <t>数量/箱</t>
  </si>
  <si>
    <t>围板箱费用</t>
  </si>
  <si>
    <t>费用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</si>
</sst>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_ "/>
    <numFmt numFmtId="179" formatCode="0.000_ "/>
    <numFmt numFmtId="180" formatCode="0.000_);[Red]\(0.000\)"/>
    <numFmt numFmtId="181" formatCode="0.00_);[Red]\(0.00\)"/>
    <numFmt numFmtId="182" formatCode="_ * #,##0.00000_ ;_ * \-#,##0.00000_ ;_ * &quot;-&quot;??_ ;_ @_ "/>
  </numFmts>
  <fonts count="3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5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B050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4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1" fillId="0" borderId="44" applyNumberFormat="0" applyFill="0" applyAlignment="0" applyProtection="0">
      <alignment vertical="center"/>
    </xf>
    <xf numFmtId="0" fontId="22" fillId="0" borderId="4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46" applyNumberFormat="0" applyAlignment="0" applyProtection="0">
      <alignment vertical="center"/>
    </xf>
    <xf numFmtId="0" fontId="24" fillId="16" borderId="47" applyNumberFormat="0" applyAlignment="0" applyProtection="0">
      <alignment vertical="center"/>
    </xf>
    <xf numFmtId="0" fontId="25" fillId="16" borderId="46" applyNumberFormat="0" applyAlignment="0" applyProtection="0">
      <alignment vertical="center"/>
    </xf>
    <xf numFmtId="0" fontId="26" fillId="17" borderId="48" applyNumberFormat="0" applyAlignment="0" applyProtection="0">
      <alignment vertical="center"/>
    </xf>
    <xf numFmtId="0" fontId="27" fillId="0" borderId="49" applyNumberFormat="0" applyFill="0" applyAlignment="0" applyProtection="0">
      <alignment vertical="center"/>
    </xf>
    <xf numFmtId="0" fontId="28" fillId="0" borderId="50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08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/>
    <xf numFmtId="0" fontId="0" fillId="0" borderId="1" xfId="0" applyFill="1" applyBorder="1" applyAlignment="1"/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Fill="1" applyBorder="1" applyAlignment="1"/>
    <xf numFmtId="177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vertical="center"/>
    </xf>
    <xf numFmtId="9" fontId="0" fillId="5" borderId="1" xfId="0" applyNumberFormat="1" applyFont="1" applyFill="1" applyBorder="1" applyAlignment="1">
      <alignment horizontal="center" vertical="center"/>
    </xf>
    <xf numFmtId="178" fontId="0" fillId="5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178" fontId="0" fillId="6" borderId="1" xfId="0" applyNumberForma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 vertical="center"/>
    </xf>
    <xf numFmtId="178" fontId="0" fillId="7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8" borderId="1" xfId="0" applyNumberFormat="1" applyFont="1" applyFill="1" applyBorder="1" applyAlignment="1"/>
    <xf numFmtId="0" fontId="0" fillId="8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/>
    <xf numFmtId="0" fontId="0" fillId="8" borderId="1" xfId="0" applyFill="1" applyBorder="1" applyAlignment="1"/>
    <xf numFmtId="0" fontId="0" fillId="9" borderId="1" xfId="0" applyFill="1" applyBorder="1" applyAlignment="1">
      <alignment vertical="center"/>
    </xf>
    <xf numFmtId="179" fontId="0" fillId="0" borderId="1" xfId="0" applyNumberForma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1" fillId="0" borderId="2" xfId="0" applyFont="1" applyBorder="1">
      <alignment vertical="center"/>
    </xf>
    <xf numFmtId="0" fontId="1" fillId="0" borderId="1" xfId="49" applyBorder="1">
      <alignment vertical="center"/>
    </xf>
    <xf numFmtId="0" fontId="0" fillId="10" borderId="0" xfId="0" applyFill="1">
      <alignment vertical="center"/>
    </xf>
    <xf numFmtId="0" fontId="0" fillId="0" borderId="0" xfId="0" applyAlignment="1">
      <alignment vertical="center" wrapText="1"/>
    </xf>
    <xf numFmtId="0" fontId="0" fillId="2" borderId="1" xfId="0" applyFill="1" applyBorder="1">
      <alignment vertical="center"/>
    </xf>
    <xf numFmtId="0" fontId="1" fillId="10" borderId="1" xfId="0" applyFont="1" applyFill="1" applyBorder="1">
      <alignment vertical="center"/>
    </xf>
    <xf numFmtId="0" fontId="0" fillId="10" borderId="1" xfId="0" applyFill="1" applyBorder="1">
      <alignment vertical="center"/>
    </xf>
    <xf numFmtId="0" fontId="2" fillId="0" borderId="0" xfId="0" applyFont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0" fillId="0" borderId="1" xfId="0" applyNumberFormat="1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>
      <alignment vertical="center"/>
    </xf>
    <xf numFmtId="177" fontId="0" fillId="0" borderId="0" xfId="0" applyNumberFormat="1">
      <alignment vertical="center"/>
    </xf>
    <xf numFmtId="177" fontId="0" fillId="11" borderId="0" xfId="0" applyNumberFormat="1" applyFill="1">
      <alignment vertical="center"/>
    </xf>
    <xf numFmtId="9" fontId="0" fillId="0" borderId="0" xfId="3">
      <alignment vertical="center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 wrapText="1"/>
    </xf>
    <xf numFmtId="177" fontId="3" fillId="0" borderId="10" xfId="0" applyNumberFormat="1" applyFont="1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7" xfId="0" applyBorder="1">
      <alignment vertical="center"/>
    </xf>
    <xf numFmtId="177" fontId="0" fillId="0" borderId="7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177" fontId="0" fillId="0" borderId="10" xfId="0" applyNumberFormat="1" applyBorder="1">
      <alignment vertical="center"/>
    </xf>
    <xf numFmtId="0" fontId="0" fillId="0" borderId="13" xfId="0" applyBorder="1">
      <alignment vertical="center"/>
    </xf>
    <xf numFmtId="177" fontId="0" fillId="0" borderId="1" xfId="0" applyNumberFormat="1" applyBorder="1">
      <alignment vertical="center"/>
    </xf>
    <xf numFmtId="177" fontId="5" fillId="11" borderId="0" xfId="0" applyNumberFormat="1" applyFont="1" applyFill="1" applyAlignment="1">
      <alignment horizontal="center" vertical="center"/>
    </xf>
    <xf numFmtId="9" fontId="5" fillId="0" borderId="0" xfId="3" applyFont="1" applyAlignment="1">
      <alignment horizontal="center" vertical="center"/>
    </xf>
    <xf numFmtId="177" fontId="2" fillId="11" borderId="7" xfId="0" applyNumberFormat="1" applyFont="1" applyFill="1" applyBorder="1" applyAlignment="1">
      <alignment horizontal="center" vertical="center"/>
    </xf>
    <xf numFmtId="9" fontId="2" fillId="0" borderId="7" xfId="3" applyFont="1" applyBorder="1" applyAlignment="1">
      <alignment horizontal="center" vertical="center"/>
    </xf>
    <xf numFmtId="9" fontId="2" fillId="0" borderId="7" xfId="3" applyNumberFormat="1" applyFont="1" applyBorder="1" applyAlignment="1">
      <alignment horizontal="center" vertical="center"/>
    </xf>
    <xf numFmtId="177" fontId="3" fillId="11" borderId="10" xfId="0" applyNumberFormat="1" applyFont="1" applyFill="1" applyBorder="1" applyAlignment="1">
      <alignment horizontal="center" vertical="center" wrapText="1"/>
    </xf>
    <xf numFmtId="9" fontId="3" fillId="0" borderId="10" xfId="3" applyFont="1" applyBorder="1" applyAlignment="1">
      <alignment horizontal="center" vertical="center" wrapText="1"/>
    </xf>
    <xf numFmtId="177" fontId="0" fillId="11" borderId="7" xfId="0" applyNumberFormat="1" applyFill="1" applyBorder="1">
      <alignment vertical="center"/>
    </xf>
    <xf numFmtId="9" fontId="0" fillId="0" borderId="7" xfId="3" applyBorder="1">
      <alignment vertical="center"/>
    </xf>
    <xf numFmtId="177" fontId="0" fillId="11" borderId="10" xfId="0" applyNumberFormat="1" applyFill="1" applyBorder="1">
      <alignment vertical="center"/>
    </xf>
    <xf numFmtId="9" fontId="0" fillId="0" borderId="10" xfId="3" applyBorder="1">
      <alignment vertical="center"/>
    </xf>
    <xf numFmtId="177" fontId="6" fillId="11" borderId="7" xfId="0" applyNumberFormat="1" applyFont="1" applyFill="1" applyBorder="1">
      <alignment vertical="center"/>
    </xf>
    <xf numFmtId="177" fontId="7" fillId="0" borderId="7" xfId="0" applyNumberFormat="1" applyFont="1" applyBorder="1">
      <alignment vertical="center"/>
    </xf>
    <xf numFmtId="177" fontId="0" fillId="11" borderId="1" xfId="0" applyNumberFormat="1" applyFill="1" applyBorder="1">
      <alignment vertical="center"/>
    </xf>
    <xf numFmtId="9" fontId="0" fillId="0" borderId="1" xfId="3" applyBorder="1">
      <alignment vertical="center"/>
    </xf>
    <xf numFmtId="9" fontId="3" fillId="0" borderId="7" xfId="3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0" fillId="0" borderId="7" xfId="3" applyNumberFormat="1" applyFont="1" applyFill="1" applyBorder="1" applyAlignment="1" applyProtection="1">
      <alignment vertical="center"/>
    </xf>
    <xf numFmtId="0" fontId="3" fillId="0" borderId="7" xfId="3" applyNumberFormat="1" applyFont="1" applyFill="1" applyBorder="1" applyAlignment="1" applyProtection="1">
      <alignment horizontal="center" vertical="center" wrapText="1"/>
    </xf>
    <xf numFmtId="0" fontId="0" fillId="0" borderId="16" xfId="0" applyBorder="1">
      <alignment vertical="center"/>
    </xf>
    <xf numFmtId="0" fontId="0" fillId="0" borderId="10" xfId="3" applyNumberFormat="1" applyFont="1" applyFill="1" applyBorder="1" applyAlignment="1" applyProtection="1">
      <alignment vertical="center"/>
    </xf>
    <xf numFmtId="0" fontId="3" fillId="0" borderId="10" xfId="3" applyNumberFormat="1" applyFont="1" applyFill="1" applyBorder="1" applyAlignment="1" applyProtection="1">
      <alignment horizontal="center" vertical="center" wrapText="1"/>
    </xf>
    <xf numFmtId="0" fontId="0" fillId="0" borderId="17" xfId="0" applyBorder="1">
      <alignment vertical="center"/>
    </xf>
    <xf numFmtId="176" fontId="0" fillId="0" borderId="7" xfId="3" applyNumberFormat="1" applyBorder="1" applyAlignment="1">
      <alignment horizontal="center" vertical="center"/>
    </xf>
    <xf numFmtId="176" fontId="3" fillId="0" borderId="7" xfId="3" applyNumberFormat="1" applyFont="1" applyBorder="1" applyAlignment="1">
      <alignment horizontal="center" vertical="center" wrapText="1"/>
    </xf>
    <xf numFmtId="176" fontId="0" fillId="0" borderId="1" xfId="3" applyNumberFormat="1" applyBorder="1" applyAlignment="1">
      <alignment horizontal="center" vertical="center"/>
    </xf>
    <xf numFmtId="176" fontId="3" fillId="0" borderId="1" xfId="3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76" fontId="0" fillId="0" borderId="10" xfId="3" applyNumberFormat="1" applyBorder="1" applyAlignment="1">
      <alignment horizontal="center" vertical="center"/>
    </xf>
    <xf numFmtId="176" fontId="3" fillId="0" borderId="10" xfId="3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12" borderId="0" xfId="0" applyFill="1">
      <alignment vertical="center"/>
    </xf>
    <xf numFmtId="177" fontId="0" fillId="13" borderId="0" xfId="0" applyNumberFormat="1" applyFill="1">
      <alignment vertical="center"/>
    </xf>
    <xf numFmtId="176" fontId="0" fillId="0" borderId="0" xfId="3" applyNumberForma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177" fontId="2" fillId="0" borderId="11" xfId="0" applyNumberFormat="1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 wrapText="1"/>
    </xf>
    <xf numFmtId="177" fontId="2" fillId="0" borderId="22" xfId="0" applyNumberFormat="1" applyFont="1" applyBorder="1" applyAlignment="1">
      <alignment horizontal="center" vertical="center" wrapText="1"/>
    </xf>
    <xf numFmtId="177" fontId="8" fillId="0" borderId="11" xfId="0" applyNumberFormat="1" applyFont="1" applyBorder="1" applyAlignment="1">
      <alignment horizontal="center" vertical="center" wrapText="1"/>
    </xf>
    <xf numFmtId="0" fontId="3" fillId="0" borderId="23" xfId="0" applyFont="1" applyBorder="1">
      <alignment vertical="center"/>
    </xf>
    <xf numFmtId="0" fontId="3" fillId="0" borderId="24" xfId="0" applyFont="1" applyBorder="1" applyAlignment="1">
      <alignment horizontal="center" vertical="center" wrapText="1"/>
    </xf>
    <xf numFmtId="177" fontId="3" fillId="0" borderId="12" xfId="0" applyNumberFormat="1" applyFont="1" applyBorder="1" applyAlignment="1">
      <alignment horizontal="center" vertical="center" wrapText="1"/>
    </xf>
    <xf numFmtId="177" fontId="3" fillId="0" borderId="17" xfId="0" applyNumberFormat="1" applyFont="1" applyBorder="1" applyAlignment="1">
      <alignment horizontal="center" vertical="center" wrapText="1"/>
    </xf>
    <xf numFmtId="177" fontId="3" fillId="0" borderId="25" xfId="0" applyNumberFormat="1" applyFont="1" applyBorder="1" applyAlignment="1">
      <alignment vertical="center" wrapText="1"/>
    </xf>
    <xf numFmtId="177" fontId="3" fillId="0" borderId="26" xfId="0" applyNumberFormat="1" applyFont="1" applyBorder="1" applyAlignment="1">
      <alignment vertical="center" wrapText="1"/>
    </xf>
    <xf numFmtId="0" fontId="9" fillId="0" borderId="11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22" xfId="0" applyFont="1" applyBorder="1">
      <alignment vertical="center"/>
    </xf>
    <xf numFmtId="177" fontId="9" fillId="0" borderId="11" xfId="0" applyNumberFormat="1" applyFont="1" applyBorder="1">
      <alignment vertical="center"/>
    </xf>
    <xf numFmtId="177" fontId="9" fillId="0" borderId="16" xfId="0" applyNumberFormat="1" applyFont="1" applyBorder="1">
      <alignment vertical="center"/>
    </xf>
    <xf numFmtId="177" fontId="9" fillId="0" borderId="21" xfId="0" applyNumberFormat="1" applyFont="1" applyBorder="1">
      <alignment vertical="center"/>
    </xf>
    <xf numFmtId="177" fontId="9" fillId="0" borderId="22" xfId="0" applyNumberFormat="1" applyFont="1" applyBorder="1">
      <alignment vertical="center"/>
    </xf>
    <xf numFmtId="0" fontId="9" fillId="0" borderId="12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26" xfId="0" applyFont="1" applyBorder="1">
      <alignment vertical="center"/>
    </xf>
    <xf numFmtId="177" fontId="9" fillId="0" borderId="12" xfId="0" applyNumberFormat="1" applyFont="1" applyBorder="1">
      <alignment vertical="center"/>
    </xf>
    <xf numFmtId="177" fontId="9" fillId="0" borderId="17" xfId="0" applyNumberFormat="1" applyFont="1" applyBorder="1">
      <alignment vertical="center"/>
    </xf>
    <xf numFmtId="177" fontId="9" fillId="0" borderId="25" xfId="0" applyNumberFormat="1" applyFont="1" applyBorder="1">
      <alignment vertical="center"/>
    </xf>
    <xf numFmtId="177" fontId="9" fillId="0" borderId="26" xfId="0" applyNumberFormat="1" applyFont="1" applyBorder="1">
      <alignment vertical="center"/>
    </xf>
    <xf numFmtId="0" fontId="9" fillId="12" borderId="11" xfId="0" applyFont="1" applyFill="1" applyBorder="1">
      <alignment vertical="center"/>
    </xf>
    <xf numFmtId="0" fontId="9" fillId="12" borderId="7" xfId="0" applyFont="1" applyFill="1" applyBorder="1">
      <alignment vertical="center"/>
    </xf>
    <xf numFmtId="0" fontId="9" fillId="12" borderId="22" xfId="0" applyFont="1" applyFill="1" applyBorder="1">
      <alignment vertical="center"/>
    </xf>
    <xf numFmtId="177" fontId="9" fillId="12" borderId="11" xfId="0" applyNumberFormat="1" applyFont="1" applyFill="1" applyBorder="1">
      <alignment vertical="center"/>
    </xf>
    <xf numFmtId="177" fontId="9" fillId="12" borderId="16" xfId="0" applyNumberFormat="1" applyFont="1" applyFill="1" applyBorder="1">
      <alignment vertical="center"/>
    </xf>
    <xf numFmtId="177" fontId="9" fillId="12" borderId="21" xfId="0" applyNumberFormat="1" applyFont="1" applyFill="1" applyBorder="1">
      <alignment vertical="center"/>
    </xf>
    <xf numFmtId="177" fontId="9" fillId="12" borderId="22" xfId="0" applyNumberFormat="1" applyFont="1" applyFill="1" applyBorder="1">
      <alignment vertical="center"/>
    </xf>
    <xf numFmtId="0" fontId="9" fillId="12" borderId="13" xfId="0" applyFont="1" applyFill="1" applyBorder="1">
      <alignment vertical="center"/>
    </xf>
    <xf numFmtId="0" fontId="9" fillId="12" borderId="1" xfId="0" applyFont="1" applyFill="1" applyBorder="1">
      <alignment vertical="center"/>
    </xf>
    <xf numFmtId="0" fontId="9" fillId="12" borderId="27" xfId="0" applyFont="1" applyFill="1" applyBorder="1">
      <alignment vertical="center"/>
    </xf>
    <xf numFmtId="177" fontId="9" fillId="12" borderId="13" xfId="0" applyNumberFormat="1" applyFont="1" applyFill="1" applyBorder="1">
      <alignment vertical="center"/>
    </xf>
    <xf numFmtId="177" fontId="9" fillId="12" borderId="28" xfId="0" applyNumberFormat="1" applyFont="1" applyFill="1" applyBorder="1">
      <alignment vertical="center"/>
    </xf>
    <xf numFmtId="177" fontId="9" fillId="12" borderId="29" xfId="0" applyNumberFormat="1" applyFont="1" applyFill="1" applyBorder="1">
      <alignment vertical="center"/>
    </xf>
    <xf numFmtId="177" fontId="9" fillId="12" borderId="27" xfId="0" applyNumberFormat="1" applyFont="1" applyFill="1" applyBorder="1">
      <alignment vertical="center"/>
    </xf>
    <xf numFmtId="0" fontId="9" fillId="12" borderId="12" xfId="0" applyFont="1" applyFill="1" applyBorder="1">
      <alignment vertical="center"/>
    </xf>
    <xf numFmtId="0" fontId="9" fillId="12" borderId="10" xfId="0" applyFont="1" applyFill="1" applyBorder="1">
      <alignment vertical="center"/>
    </xf>
    <xf numFmtId="0" fontId="9" fillId="12" borderId="26" xfId="0" applyFont="1" applyFill="1" applyBorder="1">
      <alignment vertical="center"/>
    </xf>
    <xf numFmtId="177" fontId="9" fillId="12" borderId="12" xfId="0" applyNumberFormat="1" applyFont="1" applyFill="1" applyBorder="1">
      <alignment vertical="center"/>
    </xf>
    <xf numFmtId="177" fontId="9" fillId="12" borderId="17" xfId="0" applyNumberFormat="1" applyFont="1" applyFill="1" applyBorder="1">
      <alignment vertical="center"/>
    </xf>
    <xf numFmtId="177" fontId="9" fillId="12" borderId="25" xfId="0" applyNumberFormat="1" applyFont="1" applyFill="1" applyBorder="1">
      <alignment vertical="center"/>
    </xf>
    <xf numFmtId="177" fontId="9" fillId="12" borderId="26" xfId="0" applyNumberFormat="1" applyFont="1" applyFill="1" applyBorder="1">
      <alignment vertical="center"/>
    </xf>
    <xf numFmtId="0" fontId="9" fillId="0" borderId="13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27" xfId="0" applyFont="1" applyBorder="1">
      <alignment vertical="center"/>
    </xf>
    <xf numFmtId="177" fontId="9" fillId="0" borderId="13" xfId="0" applyNumberFormat="1" applyFont="1" applyBorder="1">
      <alignment vertical="center"/>
    </xf>
    <xf numFmtId="177" fontId="9" fillId="0" borderId="28" xfId="0" applyNumberFormat="1" applyFont="1" applyBorder="1">
      <alignment vertical="center"/>
    </xf>
    <xf numFmtId="177" fontId="9" fillId="0" borderId="29" xfId="0" applyNumberFormat="1" applyFont="1" applyBorder="1">
      <alignment vertical="center"/>
    </xf>
    <xf numFmtId="177" fontId="9" fillId="0" borderId="27" xfId="0" applyNumberFormat="1" applyFont="1" applyBorder="1">
      <alignment vertical="center"/>
    </xf>
    <xf numFmtId="177" fontId="5" fillId="13" borderId="0" xfId="0" applyNumberFormat="1" applyFont="1" applyFill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 wrapText="1"/>
    </xf>
    <xf numFmtId="177" fontId="8" fillId="13" borderId="16" xfId="0" applyNumberFormat="1" applyFont="1" applyFill="1" applyBorder="1" applyAlignment="1">
      <alignment horizontal="center" vertical="center" wrapText="1"/>
    </xf>
    <xf numFmtId="177" fontId="3" fillId="13" borderId="6" xfId="0" applyNumberFormat="1" applyFont="1" applyFill="1" applyBorder="1" applyAlignment="1">
      <alignment horizontal="center" vertical="center" wrapText="1"/>
    </xf>
    <xf numFmtId="177" fontId="3" fillId="13" borderId="17" xfId="0" applyNumberFormat="1" applyFont="1" applyFill="1" applyBorder="1" applyAlignment="1">
      <alignment horizontal="center" vertical="center" wrapText="1"/>
    </xf>
    <xf numFmtId="177" fontId="3" fillId="13" borderId="9" xfId="0" applyNumberFormat="1" applyFont="1" applyFill="1" applyBorder="1" applyAlignment="1">
      <alignment horizontal="center" vertical="center" wrapText="1"/>
    </xf>
    <xf numFmtId="177" fontId="9" fillId="0" borderId="7" xfId="0" applyNumberFormat="1" applyFont="1" applyBorder="1">
      <alignment vertical="center"/>
    </xf>
    <xf numFmtId="177" fontId="9" fillId="13" borderId="28" xfId="0" applyNumberFormat="1" applyFont="1" applyFill="1" applyBorder="1">
      <alignment vertical="center"/>
    </xf>
    <xf numFmtId="177" fontId="9" fillId="13" borderId="7" xfId="0" applyNumberFormat="1" applyFont="1" applyFill="1" applyBorder="1">
      <alignment vertical="center"/>
    </xf>
    <xf numFmtId="177" fontId="9" fillId="0" borderId="10" xfId="0" applyNumberFormat="1" applyFont="1" applyBorder="1">
      <alignment vertical="center"/>
    </xf>
    <xf numFmtId="177" fontId="9" fillId="13" borderId="10" xfId="0" applyNumberFormat="1" applyFont="1" applyFill="1" applyBorder="1">
      <alignment vertical="center"/>
    </xf>
    <xf numFmtId="177" fontId="9" fillId="12" borderId="7" xfId="0" applyNumberFormat="1" applyFont="1" applyFill="1" applyBorder="1">
      <alignment vertical="center"/>
    </xf>
    <xf numFmtId="177" fontId="9" fillId="13" borderId="16" xfId="0" applyNumberFormat="1" applyFont="1" applyFill="1" applyBorder="1">
      <alignment vertical="center"/>
    </xf>
    <xf numFmtId="177" fontId="10" fillId="13" borderId="7" xfId="0" applyNumberFormat="1" applyFont="1" applyFill="1" applyBorder="1">
      <alignment vertical="center"/>
    </xf>
    <xf numFmtId="177" fontId="9" fillId="12" borderId="1" xfId="0" applyNumberFormat="1" applyFont="1" applyFill="1" applyBorder="1">
      <alignment vertical="center"/>
    </xf>
    <xf numFmtId="177" fontId="9" fillId="13" borderId="1" xfId="0" applyNumberFormat="1" applyFont="1" applyFill="1" applyBorder="1">
      <alignment vertical="center"/>
    </xf>
    <xf numFmtId="177" fontId="9" fillId="12" borderId="10" xfId="0" applyNumberFormat="1" applyFont="1" applyFill="1" applyBorder="1">
      <alignment vertical="center"/>
    </xf>
    <xf numFmtId="177" fontId="9" fillId="13" borderId="17" xfId="0" applyNumberFormat="1" applyFont="1" applyFill="1" applyBorder="1">
      <alignment vertical="center"/>
    </xf>
    <xf numFmtId="177" fontId="9" fillId="0" borderId="1" xfId="0" applyNumberFormat="1" applyFont="1" applyBorder="1">
      <alignment vertical="center"/>
    </xf>
    <xf numFmtId="176" fontId="5" fillId="0" borderId="0" xfId="3" applyNumberFormat="1" applyFont="1" applyAlignment="1">
      <alignment horizontal="center" vertical="center"/>
    </xf>
    <xf numFmtId="9" fontId="9" fillId="0" borderId="7" xfId="3" applyFont="1" applyBorder="1">
      <alignment vertical="center"/>
    </xf>
    <xf numFmtId="0" fontId="9" fillId="0" borderId="7" xfId="3" applyNumberFormat="1" applyFont="1" applyFill="1" applyBorder="1" applyAlignment="1" applyProtection="1">
      <alignment vertical="center"/>
    </xf>
    <xf numFmtId="176" fontId="9" fillId="0" borderId="7" xfId="3" applyNumberFormat="1" applyFont="1" applyFill="1" applyBorder="1" applyAlignment="1" applyProtection="1">
      <alignment vertical="center"/>
    </xf>
    <xf numFmtId="9" fontId="9" fillId="0" borderId="10" xfId="3" applyFont="1" applyBorder="1">
      <alignment vertical="center"/>
    </xf>
    <xf numFmtId="0" fontId="9" fillId="0" borderId="10" xfId="3" applyNumberFormat="1" applyFont="1" applyFill="1" applyBorder="1" applyAlignment="1" applyProtection="1">
      <alignment vertical="center"/>
    </xf>
    <xf numFmtId="176" fontId="9" fillId="0" borderId="10" xfId="3" applyNumberFormat="1" applyFont="1" applyFill="1" applyBorder="1" applyAlignment="1" applyProtection="1">
      <alignment vertical="center"/>
    </xf>
    <xf numFmtId="9" fontId="9" fillId="12" borderId="7" xfId="3" applyFont="1" applyFill="1" applyBorder="1">
      <alignment vertical="center"/>
    </xf>
    <xf numFmtId="177" fontId="11" fillId="12" borderId="7" xfId="0" applyNumberFormat="1" applyFont="1" applyFill="1" applyBorder="1">
      <alignment vertical="center"/>
    </xf>
    <xf numFmtId="176" fontId="9" fillId="12" borderId="7" xfId="3" applyNumberFormat="1" applyFont="1" applyFill="1" applyBorder="1" applyAlignment="1">
      <alignment horizontal="center" vertical="center"/>
    </xf>
    <xf numFmtId="9" fontId="9" fillId="12" borderId="1" xfId="3" applyFont="1" applyFill="1" applyBorder="1">
      <alignment vertical="center"/>
    </xf>
    <xf numFmtId="176" fontId="9" fillId="12" borderId="1" xfId="3" applyNumberFormat="1" applyFont="1" applyFill="1" applyBorder="1" applyAlignment="1">
      <alignment horizontal="center" vertical="center"/>
    </xf>
    <xf numFmtId="9" fontId="9" fillId="12" borderId="10" xfId="3" applyFont="1" applyFill="1" applyBorder="1">
      <alignment vertical="center"/>
    </xf>
    <xf numFmtId="176" fontId="9" fillId="12" borderId="10" xfId="3" applyNumberFormat="1" applyFont="1" applyFill="1" applyBorder="1" applyAlignment="1">
      <alignment horizontal="center" vertical="center"/>
    </xf>
    <xf numFmtId="176" fontId="9" fillId="0" borderId="7" xfId="3" applyNumberFormat="1" applyFont="1" applyBorder="1" applyAlignment="1">
      <alignment horizontal="center" vertical="center"/>
    </xf>
    <xf numFmtId="9" fontId="9" fillId="0" borderId="1" xfId="3" applyFont="1" applyBorder="1">
      <alignment vertical="center"/>
    </xf>
    <xf numFmtId="176" fontId="9" fillId="0" borderId="1" xfId="3" applyNumberFormat="1" applyFont="1" applyBorder="1" applyAlignment="1">
      <alignment horizontal="center" vertical="center"/>
    </xf>
    <xf numFmtId="176" fontId="9" fillId="0" borderId="10" xfId="3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4" fillId="0" borderId="31" xfId="0" applyFont="1" applyBorder="1" applyAlignment="1">
      <alignment horizontal="center" vertical="center" wrapText="1"/>
    </xf>
    <xf numFmtId="0" fontId="8" fillId="0" borderId="7" xfId="3" applyNumberFormat="1" applyFont="1" applyFill="1" applyBorder="1" applyAlignment="1" applyProtection="1">
      <alignment horizontal="center" vertical="center" wrapText="1"/>
    </xf>
    <xf numFmtId="0" fontId="9" fillId="0" borderId="22" xfId="0" applyFont="1" applyBorder="1">
      <alignment vertical="center"/>
    </xf>
    <xf numFmtId="0" fontId="3" fillId="0" borderId="32" xfId="0" applyFont="1" applyBorder="1" applyAlignment="1">
      <alignment horizontal="left" vertical="center" wrapText="1"/>
    </xf>
    <xf numFmtId="0" fontId="8" fillId="0" borderId="10" xfId="3" applyNumberFormat="1" applyFont="1" applyFill="1" applyBorder="1" applyAlignment="1" applyProtection="1">
      <alignment horizontal="center" vertical="center" wrapText="1"/>
    </xf>
    <xf numFmtId="0" fontId="9" fillId="0" borderId="26" xfId="0" applyFont="1" applyBorder="1">
      <alignment vertical="center"/>
    </xf>
    <xf numFmtId="0" fontId="3" fillId="0" borderId="33" xfId="0" applyFont="1" applyBorder="1" applyAlignment="1">
      <alignment horizontal="left" vertical="center" wrapText="1"/>
    </xf>
    <xf numFmtId="9" fontId="9" fillId="12" borderId="7" xfId="3" applyFont="1" applyFill="1" applyBorder="1" applyAlignment="1">
      <alignment horizontal="center" vertical="center"/>
    </xf>
    <xf numFmtId="176" fontId="8" fillId="12" borderId="7" xfId="3" applyNumberFormat="1" applyFont="1" applyFill="1" applyBorder="1" applyAlignment="1">
      <alignment horizontal="center" vertical="center" wrapText="1"/>
    </xf>
    <xf numFmtId="0" fontId="8" fillId="12" borderId="20" xfId="0" applyFont="1" applyFill="1" applyBorder="1" applyAlignment="1">
      <alignment horizontal="center" vertical="center" wrapText="1"/>
    </xf>
    <xf numFmtId="0" fontId="4" fillId="12" borderId="32" xfId="0" applyFont="1" applyFill="1" applyBorder="1" applyAlignment="1">
      <alignment horizontal="left" vertical="center" wrapText="1"/>
    </xf>
    <xf numFmtId="9" fontId="9" fillId="12" borderId="1" xfId="3" applyFont="1" applyFill="1" applyBorder="1" applyAlignment="1">
      <alignment horizontal="center" vertical="center"/>
    </xf>
    <xf numFmtId="176" fontId="8" fillId="12" borderId="1" xfId="3" applyNumberFormat="1" applyFont="1" applyFill="1" applyBorder="1" applyAlignment="1">
      <alignment horizontal="center" vertical="center" wrapText="1"/>
    </xf>
    <xf numFmtId="0" fontId="8" fillId="12" borderId="34" xfId="0" applyFont="1" applyFill="1" applyBorder="1" applyAlignment="1">
      <alignment horizontal="center" vertical="center" wrapText="1"/>
    </xf>
    <xf numFmtId="0" fontId="4" fillId="12" borderId="35" xfId="0" applyFont="1" applyFill="1" applyBorder="1" applyAlignment="1">
      <alignment horizontal="left" vertical="center" wrapText="1"/>
    </xf>
    <xf numFmtId="176" fontId="8" fillId="12" borderId="10" xfId="3" applyNumberFormat="1" applyFont="1" applyFill="1" applyBorder="1" applyAlignment="1">
      <alignment horizontal="center" vertical="center" wrapText="1"/>
    </xf>
    <xf numFmtId="0" fontId="8" fillId="12" borderId="24" xfId="0" applyFont="1" applyFill="1" applyBorder="1" applyAlignment="1">
      <alignment horizontal="center" vertical="center" wrapText="1"/>
    </xf>
    <xf numFmtId="0" fontId="4" fillId="12" borderId="33" xfId="0" applyFont="1" applyFill="1" applyBorder="1" applyAlignment="1">
      <alignment horizontal="left" vertical="center" wrapText="1"/>
    </xf>
    <xf numFmtId="9" fontId="9" fillId="0" borderId="7" xfId="3" applyFont="1" applyBorder="1" applyAlignment="1">
      <alignment horizontal="center" vertical="center"/>
    </xf>
    <xf numFmtId="176" fontId="8" fillId="0" borderId="7" xfId="3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 wrapText="1"/>
    </xf>
    <xf numFmtId="9" fontId="9" fillId="0" borderId="1" xfId="3" applyFont="1" applyBorder="1" applyAlignment="1">
      <alignment horizontal="center" vertical="center"/>
    </xf>
    <xf numFmtId="176" fontId="8" fillId="0" borderId="1" xfId="3" applyNumberFormat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left" vertical="center"/>
    </xf>
    <xf numFmtId="176" fontId="8" fillId="0" borderId="10" xfId="3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left"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177" fontId="1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" fillId="0" borderId="1" xfId="49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77" fontId="1" fillId="0" borderId="1" xfId="0" applyNumberFormat="1" applyFont="1" applyBorder="1" applyAlignment="1">
      <alignment vertical="center" wrapText="1"/>
    </xf>
    <xf numFmtId="177" fontId="1" fillId="0" borderId="1" xfId="0" applyNumberFormat="1" applyFont="1" applyBorder="1">
      <alignment vertical="center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80" fontId="0" fillId="7" borderId="0" xfId="0" applyNumberFormat="1" applyFill="1">
      <alignment vertical="center"/>
    </xf>
    <xf numFmtId="180" fontId="0" fillId="0" borderId="0" xfId="0" applyNumberFormat="1">
      <alignment vertical="center"/>
    </xf>
    <xf numFmtId="181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8" fontId="0" fillId="0" borderId="0" xfId="0" applyNumberFormat="1">
      <alignment vertical="center"/>
    </xf>
    <xf numFmtId="182" fontId="0" fillId="0" borderId="0" xfId="1" applyNumberFormat="1" applyFont="1">
      <alignment vertical="center"/>
    </xf>
    <xf numFmtId="43" fontId="0" fillId="0" borderId="0" xfId="1" applyFont="1">
      <alignment vertical="center"/>
    </xf>
    <xf numFmtId="0" fontId="13" fillId="0" borderId="37" xfId="0" applyFont="1" applyBorder="1" applyAlignment="1">
      <alignment horizontal="center" vertical="center"/>
    </xf>
    <xf numFmtId="0" fontId="13" fillId="7" borderId="3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7" borderId="1" xfId="0" applyNumberFormat="1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 wrapText="1"/>
    </xf>
    <xf numFmtId="181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80" fontId="0" fillId="7" borderId="1" xfId="0" applyNumberFormat="1" applyFill="1" applyBorder="1">
      <alignment vertical="center"/>
    </xf>
    <xf numFmtId="180" fontId="0" fillId="0" borderId="1" xfId="0" applyNumberFormat="1" applyBorder="1">
      <alignment vertical="center"/>
    </xf>
    <xf numFmtId="181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shrinkToFit="1"/>
    </xf>
    <xf numFmtId="178" fontId="0" fillId="0" borderId="1" xfId="0" applyNumberFormat="1" applyBorder="1">
      <alignment vertical="center"/>
    </xf>
    <xf numFmtId="182" fontId="0" fillId="0" borderId="1" xfId="1" applyNumberFormat="1" applyFont="1" applyBorder="1" applyAlignment="1">
      <alignment horizontal="center" vertical="center"/>
    </xf>
    <xf numFmtId="181" fontId="0" fillId="2" borderId="1" xfId="0" applyNumberForma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182" fontId="0" fillId="0" borderId="1" xfId="1" applyNumberFormat="1" applyFont="1" applyBorder="1">
      <alignment vertical="center"/>
    </xf>
    <xf numFmtId="181" fontId="0" fillId="2" borderId="1" xfId="0" applyNumberFormat="1" applyFill="1" applyBorder="1">
      <alignment vertical="center"/>
    </xf>
    <xf numFmtId="43" fontId="14" fillId="0" borderId="1" xfId="1" applyFont="1" applyBorder="1" applyAlignment="1">
      <alignment horizontal="center" vertical="center" wrapText="1"/>
    </xf>
    <xf numFmtId="43" fontId="0" fillId="2" borderId="1" xfId="1" applyFont="1" applyFill="1" applyBorder="1">
      <alignment vertical="center"/>
    </xf>
    <xf numFmtId="0" fontId="0" fillId="0" borderId="37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81" fontId="0" fillId="0" borderId="38" xfId="0" applyNumberFormat="1" applyBorder="1" applyAlignment="1">
      <alignment horizontal="center" vertical="center"/>
    </xf>
    <xf numFmtId="181" fontId="0" fillId="0" borderId="39" xfId="0" applyNumberFormat="1" applyBorder="1" applyAlignment="1">
      <alignment horizontal="center" vertical="center"/>
    </xf>
    <xf numFmtId="181" fontId="0" fillId="0" borderId="40" xfId="0" applyNumberFormat="1" applyBorder="1" applyAlignment="1">
      <alignment horizontal="center" vertical="center"/>
    </xf>
    <xf numFmtId="181" fontId="0" fillId="0" borderId="2" xfId="0" applyNumberFormat="1" applyBorder="1" applyAlignment="1">
      <alignment horizontal="center" vertical="center" wrapText="1"/>
    </xf>
    <xf numFmtId="181" fontId="0" fillId="0" borderId="4" xfId="0" applyNumberFormat="1" applyBorder="1" applyAlignment="1">
      <alignment horizontal="center" vertical="center"/>
    </xf>
    <xf numFmtId="177" fontId="0" fillId="0" borderId="27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7" fontId="0" fillId="2" borderId="2" xfId="0" applyNumberFormat="1" applyFill="1" applyBorder="1">
      <alignment vertical="center"/>
    </xf>
    <xf numFmtId="0" fontId="0" fillId="0" borderId="34" xfId="0" applyBorder="1" applyAlignment="1">
      <alignment horizontal="center" vertical="center" wrapText="1"/>
    </xf>
    <xf numFmtId="181" fontId="0" fillId="0" borderId="27" xfId="0" applyNumberFormat="1" applyBorder="1" applyAlignment="1">
      <alignment horizontal="center" vertical="center"/>
    </xf>
    <xf numFmtId="181" fontId="0" fillId="0" borderId="42" xfId="0" applyNumberFormat="1" applyBorder="1" applyAlignment="1">
      <alignment horizontal="center" vertical="center"/>
    </xf>
    <xf numFmtId="177" fontId="0" fillId="2" borderId="4" xfId="0" applyNumberFormat="1" applyFill="1" applyBorder="1" applyAlignment="1">
      <alignment horizontal="center" vertical="center"/>
    </xf>
    <xf numFmtId="181" fontId="0" fillId="0" borderId="4" xfId="0" applyNumberFormat="1" applyBorder="1">
      <alignment vertical="center"/>
    </xf>
    <xf numFmtId="177" fontId="0" fillId="2" borderId="4" xfId="0" applyNumberForma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933450</xdr:colOff>
      <xdr:row>17</xdr:row>
      <xdr:rowOff>19050</xdr:rowOff>
    </xdr:from>
    <xdr:to>
      <xdr:col>5</xdr:col>
      <xdr:colOff>0</xdr:colOff>
      <xdr:row>19</xdr:row>
      <xdr:rowOff>161925</xdr:rowOff>
    </xdr:to>
    <xdr:cxnSp>
      <xdr:nvCxnSpPr>
        <xdr:cNvPr id="2" name="直接连接符 1"/>
        <xdr:cNvCxnSpPr/>
      </xdr:nvCxnSpPr>
      <xdr:spPr>
        <a:xfrm flipV="1">
          <a:off x="3403600" y="3128010"/>
          <a:ext cx="763270" cy="5086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14</xdr:row>
      <xdr:rowOff>19050</xdr:rowOff>
    </xdr:from>
    <xdr:to>
      <xdr:col>5</xdr:col>
      <xdr:colOff>0</xdr:colOff>
      <xdr:row>16</xdr:row>
      <xdr:rowOff>161925</xdr:rowOff>
    </xdr:to>
    <xdr:cxnSp>
      <xdr:nvCxnSpPr>
        <xdr:cNvPr id="3" name="直接连接符 2"/>
        <xdr:cNvCxnSpPr/>
      </xdr:nvCxnSpPr>
      <xdr:spPr>
        <a:xfrm flipV="1">
          <a:off x="3432175" y="2579370"/>
          <a:ext cx="734695" cy="5086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781050</xdr:colOff>
      <xdr:row>20</xdr:row>
      <xdr:rowOff>19050</xdr:rowOff>
    </xdr:from>
    <xdr:to>
      <xdr:col>5</xdr:col>
      <xdr:colOff>0</xdr:colOff>
      <xdr:row>23</xdr:row>
      <xdr:rowOff>38100</xdr:rowOff>
    </xdr:to>
    <xdr:cxnSp>
      <xdr:nvCxnSpPr>
        <xdr:cNvPr id="4" name="直接连接符 3"/>
        <xdr:cNvCxnSpPr/>
      </xdr:nvCxnSpPr>
      <xdr:spPr>
        <a:xfrm flipV="1">
          <a:off x="3403600" y="3676650"/>
          <a:ext cx="763270" cy="5676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6"/>
  <sheetViews>
    <sheetView workbookViewId="0">
      <selection activeCell="F15" sqref="F15"/>
    </sheetView>
  </sheetViews>
  <sheetFormatPr defaultColWidth="9" defaultRowHeight="14.4"/>
  <cols>
    <col min="1" max="1" width="3.25925925925926" style="251" customWidth="1"/>
    <col min="2" max="2" width="11.3611111111111" customWidth="1"/>
    <col min="3" max="3" width="24.3611111111111" customWidth="1"/>
    <col min="4" max="4" width="6.25925925925926" customWidth="1"/>
    <col min="5" max="5" width="7.44444444444444" style="257" customWidth="1"/>
    <col min="6" max="6" width="7.44444444444444" customWidth="1"/>
    <col min="7" max="8" width="6.25925925925926" customWidth="1"/>
    <col min="9" max="9" width="7.09259259259259" customWidth="1"/>
    <col min="10" max="10" width="11.6388888888889" style="255" customWidth="1"/>
    <col min="11" max="14" width="12.7314814814815" style="255" customWidth="1"/>
    <col min="15" max="16" width="12.4444444444444" style="59" customWidth="1"/>
    <col min="17" max="17" width="9" style="59" customWidth="1"/>
    <col min="18" max="18" width="12.7314814814815" style="59" customWidth="1"/>
    <col min="19" max="19" width="13.9074074074074" style="59" customWidth="1"/>
    <col min="20" max="21" width="11.3611111111111" style="59" customWidth="1"/>
    <col min="22" max="22" width="10.2592592592593" style="59" customWidth="1"/>
    <col min="23" max="23" width="11.6388888888889" style="59" customWidth="1"/>
    <col min="24" max="24" width="11.2592592592593" customWidth="1"/>
    <col min="25" max="25" width="5.25925925925926" customWidth="1"/>
    <col min="26" max="26" width="11.6388888888889" style="255" customWidth="1"/>
    <col min="27" max="27" width="7.09259259259259" style="255" customWidth="1"/>
    <col min="28" max="28" width="9" style="255"/>
    <col min="29" max="29" width="9" style="59"/>
  </cols>
  <sheetData>
    <row r="1" spans="1:28">
      <c r="A1" s="288" t="s">
        <v>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</row>
    <row r="2" spans="1:30">
      <c r="A2" s="262" t="s">
        <v>1</v>
      </c>
      <c r="B2" s="263" t="s">
        <v>2</v>
      </c>
      <c r="C2" s="264" t="s">
        <v>3</v>
      </c>
      <c r="D2" s="289" t="s">
        <v>4</v>
      </c>
      <c r="E2" s="264" t="s">
        <v>5</v>
      </c>
      <c r="F2" s="264"/>
      <c r="G2" s="264" t="s">
        <v>6</v>
      </c>
      <c r="H2" s="264"/>
      <c r="I2" s="264"/>
      <c r="J2" s="292" t="s">
        <v>7</v>
      </c>
      <c r="K2" s="293"/>
      <c r="L2" s="294"/>
      <c r="M2" s="295" t="s">
        <v>8</v>
      </c>
      <c r="N2" s="270" t="s">
        <v>9</v>
      </c>
      <c r="O2" s="270"/>
      <c r="P2" s="270"/>
      <c r="Q2" s="297" t="s">
        <v>10</v>
      </c>
      <c r="R2" s="298"/>
      <c r="S2" s="299"/>
      <c r="T2" s="270" t="s">
        <v>11</v>
      </c>
      <c r="U2" s="270"/>
      <c r="V2" s="270"/>
      <c r="W2" s="270"/>
      <c r="X2" s="262" t="s">
        <v>12</v>
      </c>
      <c r="Y2" s="264" t="s">
        <v>13</v>
      </c>
      <c r="Z2" s="300"/>
      <c r="AA2" s="262" t="s">
        <v>14</v>
      </c>
      <c r="AB2" s="292" t="s">
        <v>15</v>
      </c>
      <c r="AC2" s="301" t="s">
        <v>16</v>
      </c>
      <c r="AD2" s="302" t="s">
        <v>17</v>
      </c>
    </row>
    <row r="3" spans="1:30">
      <c r="A3" s="269" t="s">
        <v>18</v>
      </c>
      <c r="B3" s="263"/>
      <c r="C3" s="264"/>
      <c r="D3" s="290" t="s">
        <v>19</v>
      </c>
      <c r="E3" s="291" t="s">
        <v>20</v>
      </c>
      <c r="F3" s="264" t="s">
        <v>21</v>
      </c>
      <c r="G3" s="264" t="s">
        <v>22</v>
      </c>
      <c r="H3" s="264" t="s">
        <v>23</v>
      </c>
      <c r="I3" s="264" t="s">
        <v>24</v>
      </c>
      <c r="J3" s="268" t="s">
        <v>22</v>
      </c>
      <c r="K3" s="268" t="s">
        <v>23</v>
      </c>
      <c r="L3" s="268" t="s">
        <v>25</v>
      </c>
      <c r="M3" s="296"/>
      <c r="N3" s="268" t="s">
        <v>22</v>
      </c>
      <c r="O3" s="270" t="s">
        <v>23</v>
      </c>
      <c r="P3" s="270" t="s">
        <v>25</v>
      </c>
      <c r="Q3" s="270" t="s">
        <v>26</v>
      </c>
      <c r="R3" s="270" t="s">
        <v>27</v>
      </c>
      <c r="S3" s="270" t="s">
        <v>28</v>
      </c>
      <c r="T3" s="270" t="s">
        <v>29</v>
      </c>
      <c r="U3" s="270" t="s">
        <v>30</v>
      </c>
      <c r="V3" s="270" t="s">
        <v>31</v>
      </c>
      <c r="W3" s="270" t="s">
        <v>25</v>
      </c>
      <c r="X3" s="269" t="s">
        <v>25</v>
      </c>
      <c r="Y3" s="264" t="s">
        <v>19</v>
      </c>
      <c r="Z3" s="303" t="s">
        <v>32</v>
      </c>
      <c r="AA3" s="269"/>
      <c r="AB3" s="304" t="s">
        <v>33</v>
      </c>
      <c r="AC3" s="305" t="s">
        <v>34</v>
      </c>
      <c r="AD3" s="302"/>
    </row>
    <row r="4" spans="1:30">
      <c r="A4" s="269">
        <v>1</v>
      </c>
      <c r="B4" s="39" t="s">
        <v>35</v>
      </c>
      <c r="C4" s="39" t="s">
        <v>36</v>
      </c>
      <c r="D4" s="44">
        <v>13.76</v>
      </c>
      <c r="E4" s="279">
        <f t="shared" ref="E4:E9" si="0">F4/34575*38795</f>
        <v>7258.56413593637</v>
      </c>
      <c r="F4" s="39">
        <v>6469</v>
      </c>
      <c r="G4" s="39">
        <v>3.85</v>
      </c>
      <c r="H4" s="39">
        <v>5.79</v>
      </c>
      <c r="I4" s="39">
        <f t="shared" ref="I4:I33" si="1">G4+H4</f>
        <v>9.64</v>
      </c>
      <c r="J4" s="273">
        <f t="shared" ref="J4:J33" si="2">E4*G4</f>
        <v>27945.471923355</v>
      </c>
      <c r="K4" s="273">
        <f t="shared" ref="K4:K33" si="3">E4*H4</f>
        <v>42027.0863470716</v>
      </c>
      <c r="L4" s="273">
        <f t="shared" ref="L4:L33" si="4">E4*I4</f>
        <v>69972.5582704266</v>
      </c>
      <c r="M4" s="273">
        <f t="shared" ref="M4:M33" si="5">D4*F4</f>
        <v>89013.44</v>
      </c>
      <c r="N4" s="273">
        <f t="shared" ref="N4:N33" si="6">J4/605362.13*1010423.81</f>
        <v>46644.4278783088</v>
      </c>
      <c r="O4" s="80">
        <f t="shared" ref="O4:O33" si="7">K4/1637906.72*1158421.84</f>
        <v>29723.9727400432</v>
      </c>
      <c r="P4" s="80">
        <f t="shared" ref="P4:P34" si="8">N4+O4</f>
        <v>76368.400618352</v>
      </c>
      <c r="Q4" s="80">
        <v>3.192</v>
      </c>
      <c r="R4" s="80">
        <f t="shared" ref="R4:R33" si="9">E4*Q4</f>
        <v>23169.3367219089</v>
      </c>
      <c r="S4" s="80">
        <f t="shared" ref="S4:S33" si="10">R4/927394.81*1570944.72</f>
        <v>39247.3052433676</v>
      </c>
      <c r="T4" s="80">
        <f t="shared" ref="T4:T33" si="11">P4/2168845.65*165013.75</f>
        <v>5810.38865884098</v>
      </c>
      <c r="U4" s="80">
        <f t="shared" ref="U4:U33" si="12">P4/2168845.65*478399.8</f>
        <v>16845.1948538336</v>
      </c>
      <c r="V4" s="80">
        <f t="shared" ref="V4:V33" si="13">P4/2168845.65*73703</f>
        <v>2595.19631135318</v>
      </c>
      <c r="W4" s="80">
        <f t="shared" ref="W4:W34" si="14">SUM(T4:V4)</f>
        <v>25250.7798240278</v>
      </c>
      <c r="X4" s="80">
        <f t="shared" ref="X4:X34" si="15">P4+S4+W4</f>
        <v>140866.485685747</v>
      </c>
      <c r="Y4" s="39">
        <v>1.94360086767896</v>
      </c>
      <c r="Z4" s="273">
        <f t="shared" ref="Z4:Z19" si="16">F4*Y4</f>
        <v>12573.1540130152</v>
      </c>
      <c r="AA4" s="306">
        <v>0.76</v>
      </c>
      <c r="AB4" s="306">
        <f t="shared" ref="AB4:AB33" si="17">X4/F4+Y4+AA4</f>
        <v>24.4792208531091</v>
      </c>
      <c r="AC4" s="307">
        <f t="shared" ref="AC4:AC33" si="18">X4/F4*1.05+Y4+AA4</f>
        <v>25.5680018523806</v>
      </c>
      <c r="AD4">
        <f t="shared" ref="AD4:AD33" si="19">L4/F4</f>
        <v>10.8165958062184</v>
      </c>
    </row>
    <row r="5" spans="1:30">
      <c r="A5" s="264">
        <v>2</v>
      </c>
      <c r="B5" s="39" t="s">
        <v>37</v>
      </c>
      <c r="C5" s="39" t="s">
        <v>38</v>
      </c>
      <c r="D5" s="44">
        <v>13.76</v>
      </c>
      <c r="E5" s="279">
        <f t="shared" si="0"/>
        <v>8562.39031091829</v>
      </c>
      <c r="F5" s="39">
        <v>7631</v>
      </c>
      <c r="G5" s="39">
        <v>3.85</v>
      </c>
      <c r="H5" s="39">
        <v>5.79</v>
      </c>
      <c r="I5" s="39">
        <f t="shared" si="1"/>
        <v>9.64</v>
      </c>
      <c r="J5" s="273">
        <f t="shared" si="2"/>
        <v>32965.2026970354</v>
      </c>
      <c r="K5" s="273">
        <f t="shared" si="3"/>
        <v>49576.2399002169</v>
      </c>
      <c r="L5" s="273">
        <f t="shared" si="4"/>
        <v>82541.4425972524</v>
      </c>
      <c r="M5" s="273">
        <f t="shared" si="5"/>
        <v>105002.56</v>
      </c>
      <c r="N5" s="273">
        <f t="shared" si="6"/>
        <v>55022.9755973682</v>
      </c>
      <c r="O5" s="80">
        <f t="shared" si="7"/>
        <v>35063.1683381156</v>
      </c>
      <c r="P5" s="80">
        <f t="shared" si="8"/>
        <v>90086.1439354837</v>
      </c>
      <c r="Q5" s="80">
        <v>3.192</v>
      </c>
      <c r="R5" s="80">
        <f t="shared" si="9"/>
        <v>27331.1498724512</v>
      </c>
      <c r="S5" s="80">
        <f t="shared" si="10"/>
        <v>46297.1380912255</v>
      </c>
      <c r="T5" s="80">
        <f t="shared" si="11"/>
        <v>6854.08499854931</v>
      </c>
      <c r="U5" s="80">
        <f t="shared" si="12"/>
        <v>19871.0282778798</v>
      </c>
      <c r="V5" s="80">
        <f t="shared" si="13"/>
        <v>3061.3608056788</v>
      </c>
      <c r="W5" s="80">
        <f t="shared" si="14"/>
        <v>29786.4740821079</v>
      </c>
      <c r="X5" s="80">
        <f t="shared" si="15"/>
        <v>166169.756108817</v>
      </c>
      <c r="Y5" s="39">
        <v>1.94360086767896</v>
      </c>
      <c r="Z5" s="273">
        <f t="shared" si="16"/>
        <v>14831.6182212581</v>
      </c>
      <c r="AA5" s="306">
        <v>0.76</v>
      </c>
      <c r="AB5" s="306">
        <f t="shared" si="17"/>
        <v>24.4792208531091</v>
      </c>
      <c r="AC5" s="307">
        <f t="shared" si="18"/>
        <v>25.5680018523806</v>
      </c>
      <c r="AD5">
        <f t="shared" si="19"/>
        <v>10.8165958062184</v>
      </c>
    </row>
    <row r="6" spans="1:30">
      <c r="A6" s="264">
        <v>3</v>
      </c>
      <c r="B6" s="39" t="s">
        <v>39</v>
      </c>
      <c r="C6" s="39" t="s">
        <v>40</v>
      </c>
      <c r="D6" s="44">
        <v>20.09</v>
      </c>
      <c r="E6" s="279">
        <f t="shared" si="0"/>
        <v>10233.1279826464</v>
      </c>
      <c r="F6" s="39">
        <v>9120</v>
      </c>
      <c r="G6" s="39">
        <v>3.85</v>
      </c>
      <c r="H6" s="39">
        <v>10.22</v>
      </c>
      <c r="I6" s="39">
        <f t="shared" si="1"/>
        <v>14.07</v>
      </c>
      <c r="J6" s="273">
        <f t="shared" si="2"/>
        <v>39397.5427331887</v>
      </c>
      <c r="K6" s="273">
        <f t="shared" si="3"/>
        <v>104582.567982646</v>
      </c>
      <c r="L6" s="273">
        <f t="shared" si="4"/>
        <v>143980.110715835</v>
      </c>
      <c r="M6" s="273">
        <f t="shared" si="5"/>
        <v>183220.8</v>
      </c>
      <c r="N6" s="273">
        <f t="shared" si="6"/>
        <v>65759.3418225656</v>
      </c>
      <c r="O6" s="80">
        <f t="shared" si="7"/>
        <v>73966.807361522</v>
      </c>
      <c r="P6" s="80">
        <f t="shared" si="8"/>
        <v>139726.149184088</v>
      </c>
      <c r="Q6" s="80">
        <v>3.192</v>
      </c>
      <c r="R6" s="80">
        <f t="shared" si="9"/>
        <v>32664.1445206074</v>
      </c>
      <c r="S6" s="80">
        <f t="shared" si="10"/>
        <v>55330.8739866305</v>
      </c>
      <c r="T6" s="80">
        <f t="shared" si="11"/>
        <v>10630.8790807339</v>
      </c>
      <c r="U6" s="80">
        <f t="shared" si="12"/>
        <v>30820.5251141028</v>
      </c>
      <c r="V6" s="80">
        <f t="shared" si="13"/>
        <v>4748.25692336142</v>
      </c>
      <c r="W6" s="80">
        <f t="shared" si="14"/>
        <v>46199.6611181982</v>
      </c>
      <c r="X6" s="80">
        <f t="shared" si="15"/>
        <v>241256.684288916</v>
      </c>
      <c r="Y6" s="39">
        <v>1.94360086767896</v>
      </c>
      <c r="Z6" s="273">
        <f t="shared" si="16"/>
        <v>17725.6399132321</v>
      </c>
      <c r="AA6" s="306">
        <v>0.76</v>
      </c>
      <c r="AB6" s="306">
        <f t="shared" si="17"/>
        <v>29.1571846712882</v>
      </c>
      <c r="AC6" s="307">
        <f t="shared" si="18"/>
        <v>30.4798638614687</v>
      </c>
      <c r="AD6">
        <f t="shared" si="19"/>
        <v>15.7872928416486</v>
      </c>
    </row>
    <row r="7" spans="1:30">
      <c r="A7" s="264">
        <v>4</v>
      </c>
      <c r="B7" s="39" t="s">
        <v>41</v>
      </c>
      <c r="C7" s="39" t="s">
        <v>42</v>
      </c>
      <c r="D7" s="44">
        <v>20.09</v>
      </c>
      <c r="E7" s="279">
        <f t="shared" si="0"/>
        <v>12570.3654374548</v>
      </c>
      <c r="F7" s="39">
        <v>11203</v>
      </c>
      <c r="G7" s="39">
        <v>3.85</v>
      </c>
      <c r="H7" s="39">
        <v>10.22</v>
      </c>
      <c r="I7" s="39">
        <f t="shared" si="1"/>
        <v>14.07</v>
      </c>
      <c r="J7" s="273">
        <f t="shared" si="2"/>
        <v>48395.906934201</v>
      </c>
      <c r="K7" s="273">
        <f t="shared" si="3"/>
        <v>128469.134770788</v>
      </c>
      <c r="L7" s="273">
        <f t="shared" si="4"/>
        <v>176865.041704989</v>
      </c>
      <c r="M7" s="273">
        <f t="shared" si="5"/>
        <v>225068.27</v>
      </c>
      <c r="N7" s="273">
        <f t="shared" si="6"/>
        <v>80778.7178112063</v>
      </c>
      <c r="O7" s="80">
        <f t="shared" si="7"/>
        <v>90860.7612797293</v>
      </c>
      <c r="P7" s="80">
        <f t="shared" si="8"/>
        <v>171639.479090936</v>
      </c>
      <c r="Q7" s="80">
        <v>3.192</v>
      </c>
      <c r="R7" s="80">
        <f t="shared" si="9"/>
        <v>40124.6064763558</v>
      </c>
      <c r="S7" s="80">
        <f t="shared" si="10"/>
        <v>67968.3970693225</v>
      </c>
      <c r="T7" s="80">
        <f t="shared" si="11"/>
        <v>13058.962537441</v>
      </c>
      <c r="U7" s="80">
        <f t="shared" si="12"/>
        <v>37859.9060146156</v>
      </c>
      <c r="V7" s="80">
        <f t="shared" si="13"/>
        <v>5832.75463951952</v>
      </c>
      <c r="W7" s="80">
        <f t="shared" si="14"/>
        <v>56751.6231915761</v>
      </c>
      <c r="X7" s="80">
        <f t="shared" si="15"/>
        <v>296359.499351834</v>
      </c>
      <c r="Y7" s="39">
        <v>1.94360086767896</v>
      </c>
      <c r="Z7" s="273">
        <f t="shared" si="16"/>
        <v>21774.1605206074</v>
      </c>
      <c r="AA7" s="306">
        <v>0.76</v>
      </c>
      <c r="AB7" s="306">
        <f t="shared" si="17"/>
        <v>29.1571846712882</v>
      </c>
      <c r="AC7" s="307">
        <f t="shared" si="18"/>
        <v>30.4798638614687</v>
      </c>
      <c r="AD7">
        <f t="shared" si="19"/>
        <v>15.7872928416486</v>
      </c>
    </row>
    <row r="8" spans="1:30">
      <c r="A8" s="264">
        <v>5</v>
      </c>
      <c r="B8" s="39" t="s">
        <v>43</v>
      </c>
      <c r="C8" s="39" t="s">
        <v>44</v>
      </c>
      <c r="D8" s="44">
        <v>19.02</v>
      </c>
      <c r="E8" s="279">
        <f t="shared" si="0"/>
        <v>116.693564714389</v>
      </c>
      <c r="F8" s="39">
        <v>104</v>
      </c>
      <c r="G8" s="39">
        <v>3.85</v>
      </c>
      <c r="H8" s="39">
        <v>9.46</v>
      </c>
      <c r="I8" s="39">
        <f t="shared" si="1"/>
        <v>13.31</v>
      </c>
      <c r="J8" s="273">
        <f t="shared" si="2"/>
        <v>449.270224150398</v>
      </c>
      <c r="K8" s="273">
        <f t="shared" si="3"/>
        <v>1103.92112219812</v>
      </c>
      <c r="L8" s="273">
        <f t="shared" si="4"/>
        <v>1553.19134634852</v>
      </c>
      <c r="M8" s="273">
        <f t="shared" si="5"/>
        <v>1978.08</v>
      </c>
      <c r="N8" s="273">
        <f t="shared" si="6"/>
        <v>749.887231309958</v>
      </c>
      <c r="O8" s="80">
        <f t="shared" si="7"/>
        <v>780.756511940809</v>
      </c>
      <c r="P8" s="80">
        <f t="shared" si="8"/>
        <v>1530.64374325077</v>
      </c>
      <c r="Q8" s="80">
        <v>3.192</v>
      </c>
      <c r="R8" s="80">
        <f t="shared" si="9"/>
        <v>372.48585856833</v>
      </c>
      <c r="S8" s="80">
        <f t="shared" si="10"/>
        <v>630.966106865084</v>
      </c>
      <c r="T8" s="80">
        <f t="shared" si="11"/>
        <v>116.45700282445</v>
      </c>
      <c r="U8" s="80">
        <f t="shared" si="12"/>
        <v>337.626451491566</v>
      </c>
      <c r="V8" s="80">
        <f t="shared" si="13"/>
        <v>52.0152440579675</v>
      </c>
      <c r="W8" s="80">
        <f t="shared" si="14"/>
        <v>506.098698373983</v>
      </c>
      <c r="X8" s="80">
        <f t="shared" si="15"/>
        <v>2667.70854848983</v>
      </c>
      <c r="Y8" s="39">
        <v>1.94360086767896</v>
      </c>
      <c r="Z8" s="273">
        <f t="shared" si="16"/>
        <v>202.134490238612</v>
      </c>
      <c r="AA8" s="306">
        <v>0.76</v>
      </c>
      <c r="AB8" s="306">
        <f t="shared" si="17"/>
        <v>28.3546446031581</v>
      </c>
      <c r="AC8" s="307">
        <f t="shared" si="18"/>
        <v>29.6371967899321</v>
      </c>
      <c r="AD8">
        <f t="shared" si="19"/>
        <v>14.9345321764281</v>
      </c>
    </row>
    <row r="9" spans="1:30">
      <c r="A9" s="264">
        <v>6</v>
      </c>
      <c r="B9" s="39" t="s">
        <v>45</v>
      </c>
      <c r="C9" s="39" t="s">
        <v>46</v>
      </c>
      <c r="D9" s="44">
        <v>19.02</v>
      </c>
      <c r="E9" s="279">
        <f t="shared" si="0"/>
        <v>53.858568329718</v>
      </c>
      <c r="F9" s="39">
        <v>48</v>
      </c>
      <c r="G9" s="39">
        <v>3.85</v>
      </c>
      <c r="H9" s="39">
        <v>9.46</v>
      </c>
      <c r="I9" s="39">
        <f t="shared" si="1"/>
        <v>13.31</v>
      </c>
      <c r="J9" s="273">
        <f t="shared" si="2"/>
        <v>207.355488069414</v>
      </c>
      <c r="K9" s="273">
        <f t="shared" si="3"/>
        <v>509.502056399132</v>
      </c>
      <c r="L9" s="273">
        <f t="shared" si="4"/>
        <v>716.857544468547</v>
      </c>
      <c r="M9" s="273">
        <f t="shared" si="5"/>
        <v>912.96</v>
      </c>
      <c r="N9" s="273">
        <f t="shared" si="6"/>
        <v>346.101799066134</v>
      </c>
      <c r="O9" s="80">
        <f t="shared" si="7"/>
        <v>360.349159357296</v>
      </c>
      <c r="P9" s="80">
        <f t="shared" si="8"/>
        <v>706.450958423431</v>
      </c>
      <c r="Q9" s="80">
        <v>3.192</v>
      </c>
      <c r="R9" s="80">
        <f t="shared" si="9"/>
        <v>171.91655010846</v>
      </c>
      <c r="S9" s="80">
        <f t="shared" si="10"/>
        <v>291.215126245423</v>
      </c>
      <c r="T9" s="80">
        <f t="shared" si="11"/>
        <v>53.7493859189769</v>
      </c>
      <c r="U9" s="80">
        <f t="shared" si="12"/>
        <v>155.827592996107</v>
      </c>
      <c r="V9" s="80">
        <f t="shared" si="13"/>
        <v>24.0070357190619</v>
      </c>
      <c r="W9" s="80">
        <f t="shared" si="14"/>
        <v>233.584014634146</v>
      </c>
      <c r="X9" s="80">
        <f t="shared" si="15"/>
        <v>1231.250099303</v>
      </c>
      <c r="Y9" s="39">
        <v>1.94360086767896</v>
      </c>
      <c r="Z9" s="273">
        <f t="shared" si="16"/>
        <v>93.2928416485901</v>
      </c>
      <c r="AA9" s="306">
        <v>0.76</v>
      </c>
      <c r="AB9" s="306">
        <f t="shared" si="17"/>
        <v>28.3546446031581</v>
      </c>
      <c r="AC9" s="307">
        <f t="shared" si="18"/>
        <v>29.6371967899321</v>
      </c>
      <c r="AD9">
        <f t="shared" si="19"/>
        <v>14.9345321764281</v>
      </c>
    </row>
    <row r="10" spans="1:30">
      <c r="A10" s="264">
        <v>7</v>
      </c>
      <c r="B10" s="39" t="s">
        <v>47</v>
      </c>
      <c r="C10" s="39" t="s">
        <v>48</v>
      </c>
      <c r="D10" s="44">
        <v>11.58</v>
      </c>
      <c r="E10" s="279">
        <f t="shared" ref="E10:E19" si="20">F10/116476*108513</f>
        <v>44837.6804148494</v>
      </c>
      <c r="F10" s="39">
        <v>48128</v>
      </c>
      <c r="G10" s="39">
        <v>2.32</v>
      </c>
      <c r="H10" s="39">
        <v>5.79</v>
      </c>
      <c r="I10" s="39">
        <f t="shared" si="1"/>
        <v>8.11</v>
      </c>
      <c r="J10" s="273">
        <f t="shared" si="2"/>
        <v>104023.418562451</v>
      </c>
      <c r="K10" s="273">
        <f t="shared" si="3"/>
        <v>259610.169601978</v>
      </c>
      <c r="L10" s="273">
        <f t="shared" si="4"/>
        <v>363633.588164429</v>
      </c>
      <c r="M10" s="273">
        <f t="shared" si="5"/>
        <v>557322.24</v>
      </c>
      <c r="N10" s="273">
        <f t="shared" si="6"/>
        <v>173627.872812421</v>
      </c>
      <c r="O10" s="80">
        <f t="shared" si="7"/>
        <v>183611.243962071</v>
      </c>
      <c r="P10" s="80">
        <f t="shared" si="8"/>
        <v>357239.116774492</v>
      </c>
      <c r="Q10" s="80">
        <v>3.136</v>
      </c>
      <c r="R10" s="80">
        <f t="shared" si="9"/>
        <v>140610.965780968</v>
      </c>
      <c r="S10" s="80">
        <f t="shared" si="10"/>
        <v>238185.562271706</v>
      </c>
      <c r="T10" s="80">
        <f t="shared" si="11"/>
        <v>27180.0652598984</v>
      </c>
      <c r="U10" s="80">
        <f t="shared" si="12"/>
        <v>78799.1169482685</v>
      </c>
      <c r="V10" s="80">
        <f t="shared" si="13"/>
        <v>12139.9116731199</v>
      </c>
      <c r="W10" s="80">
        <f t="shared" si="14"/>
        <v>118119.093881287</v>
      </c>
      <c r="X10" s="80">
        <f t="shared" si="15"/>
        <v>713543.772927485</v>
      </c>
      <c r="Y10" s="39">
        <v>0.97359112606889</v>
      </c>
      <c r="Z10" s="273">
        <f t="shared" si="16"/>
        <v>46856.9937154435</v>
      </c>
      <c r="AA10" s="306">
        <v>0.38</v>
      </c>
      <c r="AB10" s="306">
        <f t="shared" si="17"/>
        <v>16.1795505037178</v>
      </c>
      <c r="AC10" s="307">
        <f t="shared" si="18"/>
        <v>16.9208484726002</v>
      </c>
      <c r="AD10">
        <f t="shared" si="19"/>
        <v>7.55555161578351</v>
      </c>
    </row>
    <row r="11" spans="1:30">
      <c r="A11" s="264">
        <v>8</v>
      </c>
      <c r="B11" s="39" t="s">
        <v>49</v>
      </c>
      <c r="C11" s="39" t="s">
        <v>50</v>
      </c>
      <c r="D11" s="44">
        <v>11.58</v>
      </c>
      <c r="E11" s="279">
        <f t="shared" si="20"/>
        <v>46479.2194958618</v>
      </c>
      <c r="F11" s="39">
        <v>49890</v>
      </c>
      <c r="G11" s="39">
        <v>2.32</v>
      </c>
      <c r="H11" s="39">
        <v>5.79</v>
      </c>
      <c r="I11" s="39">
        <f t="shared" si="1"/>
        <v>8.11</v>
      </c>
      <c r="J11" s="273">
        <f t="shared" si="2"/>
        <v>107831.789230399</v>
      </c>
      <c r="K11" s="273">
        <f t="shared" si="3"/>
        <v>269114.68088104</v>
      </c>
      <c r="L11" s="273">
        <f t="shared" si="4"/>
        <v>376946.470111439</v>
      </c>
      <c r="M11" s="273">
        <f t="shared" si="5"/>
        <v>577726.2</v>
      </c>
      <c r="N11" s="273">
        <f t="shared" si="6"/>
        <v>179984.511606792</v>
      </c>
      <c r="O11" s="80">
        <f t="shared" si="7"/>
        <v>190333.381010383</v>
      </c>
      <c r="P11" s="80">
        <f t="shared" si="8"/>
        <v>370317.892617175</v>
      </c>
      <c r="Q11" s="80">
        <v>3.136</v>
      </c>
      <c r="R11" s="80">
        <f t="shared" si="9"/>
        <v>145758.832339023</v>
      </c>
      <c r="S11" s="80">
        <f t="shared" si="10"/>
        <v>246905.703576617</v>
      </c>
      <c r="T11" s="80">
        <f t="shared" si="11"/>
        <v>28175.1466052263</v>
      </c>
      <c r="U11" s="80">
        <f t="shared" si="12"/>
        <v>81684.0081563563</v>
      </c>
      <c r="V11" s="80">
        <f t="shared" si="13"/>
        <v>12584.3623955276</v>
      </c>
      <c r="W11" s="80">
        <f t="shared" si="14"/>
        <v>122443.51715711</v>
      </c>
      <c r="X11" s="80">
        <f t="shared" si="15"/>
        <v>739667.113350902</v>
      </c>
      <c r="Y11" s="39">
        <v>0.97359112606889</v>
      </c>
      <c r="Z11" s="273">
        <f t="shared" si="16"/>
        <v>48572.4612795769</v>
      </c>
      <c r="AA11" s="306">
        <v>0.38</v>
      </c>
      <c r="AB11" s="306">
        <f t="shared" si="17"/>
        <v>16.1795505037178</v>
      </c>
      <c r="AC11" s="307">
        <f t="shared" si="18"/>
        <v>16.9208484726002</v>
      </c>
      <c r="AD11">
        <f t="shared" si="19"/>
        <v>7.55555161578351</v>
      </c>
    </row>
    <row r="12" spans="1:30">
      <c r="A12" s="264">
        <v>9</v>
      </c>
      <c r="B12" s="39" t="s">
        <v>51</v>
      </c>
      <c r="C12" s="39" t="s">
        <v>52</v>
      </c>
      <c r="D12" s="44">
        <v>12.66</v>
      </c>
      <c r="E12" s="279">
        <f t="shared" si="20"/>
        <v>3784.29724578454</v>
      </c>
      <c r="F12" s="39">
        <v>4062</v>
      </c>
      <c r="G12" s="39">
        <v>2.32</v>
      </c>
      <c r="H12" s="39">
        <v>6.54</v>
      </c>
      <c r="I12" s="39">
        <f t="shared" si="1"/>
        <v>8.86</v>
      </c>
      <c r="J12" s="273">
        <f t="shared" si="2"/>
        <v>8779.56961022013</v>
      </c>
      <c r="K12" s="273">
        <f t="shared" si="3"/>
        <v>24749.3039874309</v>
      </c>
      <c r="L12" s="273">
        <f t="shared" si="4"/>
        <v>33528.873597651</v>
      </c>
      <c r="M12" s="273">
        <f t="shared" si="5"/>
        <v>51424.92</v>
      </c>
      <c r="N12" s="273">
        <f t="shared" si="6"/>
        <v>14654.1809209619</v>
      </c>
      <c r="O12" s="80">
        <f t="shared" si="7"/>
        <v>17504.1312876713</v>
      </c>
      <c r="P12" s="80">
        <f t="shared" si="8"/>
        <v>32158.3122086331</v>
      </c>
      <c r="Q12" s="80">
        <v>3.136</v>
      </c>
      <c r="R12" s="80">
        <f t="shared" si="9"/>
        <v>11867.5561627803</v>
      </c>
      <c r="S12" s="80">
        <f t="shared" si="10"/>
        <v>20102.845618926</v>
      </c>
      <c r="T12" s="80">
        <f t="shared" si="11"/>
        <v>2446.7226108125</v>
      </c>
      <c r="U12" s="80">
        <f t="shared" si="12"/>
        <v>7093.41862522474</v>
      </c>
      <c r="V12" s="80">
        <f t="shared" si="13"/>
        <v>1092.82285012439</v>
      </c>
      <c r="W12" s="80">
        <f t="shared" si="14"/>
        <v>10632.9640861616</v>
      </c>
      <c r="X12" s="80">
        <f t="shared" si="15"/>
        <v>62894.1219137208</v>
      </c>
      <c r="Y12" s="39">
        <v>0.97359112606889</v>
      </c>
      <c r="Z12" s="273">
        <f t="shared" si="16"/>
        <v>3954.72715409183</v>
      </c>
      <c r="AA12" s="306">
        <v>0.38</v>
      </c>
      <c r="AB12" s="306">
        <f t="shared" si="17"/>
        <v>16.8371268015294</v>
      </c>
      <c r="AC12" s="307">
        <f t="shared" si="18"/>
        <v>17.6113035853025</v>
      </c>
      <c r="AD12">
        <f t="shared" si="19"/>
        <v>8.25427710429616</v>
      </c>
    </row>
    <row r="13" spans="1:30">
      <c r="A13" s="264">
        <v>10</v>
      </c>
      <c r="B13" s="39" t="s">
        <v>53</v>
      </c>
      <c r="C13" s="39" t="s">
        <v>54</v>
      </c>
      <c r="D13" s="44">
        <v>12.66</v>
      </c>
      <c r="E13" s="279">
        <f t="shared" si="20"/>
        <v>3983.66691850682</v>
      </c>
      <c r="F13" s="39">
        <v>4276</v>
      </c>
      <c r="G13" s="39">
        <v>2.32</v>
      </c>
      <c r="H13" s="39">
        <v>6.54</v>
      </c>
      <c r="I13" s="39">
        <f t="shared" si="1"/>
        <v>8.86</v>
      </c>
      <c r="J13" s="273">
        <f t="shared" si="2"/>
        <v>9242.10725093581</v>
      </c>
      <c r="K13" s="273">
        <f t="shared" si="3"/>
        <v>26053.1816470346</v>
      </c>
      <c r="L13" s="273">
        <f t="shared" si="4"/>
        <v>35295.2888979704</v>
      </c>
      <c r="M13" s="273">
        <f t="shared" si="5"/>
        <v>54134.16</v>
      </c>
      <c r="N13" s="273">
        <f t="shared" si="6"/>
        <v>15426.213101436</v>
      </c>
      <c r="O13" s="80">
        <f t="shared" si="7"/>
        <v>18426.308563782</v>
      </c>
      <c r="P13" s="80">
        <f t="shared" si="8"/>
        <v>33852.521665218</v>
      </c>
      <c r="Q13" s="80">
        <v>3.136</v>
      </c>
      <c r="R13" s="80">
        <f t="shared" si="9"/>
        <v>12492.7794564374</v>
      </c>
      <c r="S13" s="80">
        <f t="shared" si="10"/>
        <v>21161.932020317</v>
      </c>
      <c r="T13" s="80">
        <f t="shared" si="11"/>
        <v>2575.62429439544</v>
      </c>
      <c r="U13" s="80">
        <f t="shared" si="12"/>
        <v>7467.12408701649</v>
      </c>
      <c r="V13" s="80">
        <f t="shared" si="13"/>
        <v>1150.39648132248</v>
      </c>
      <c r="W13" s="80">
        <f t="shared" si="14"/>
        <v>11193.1448627344</v>
      </c>
      <c r="X13" s="80">
        <f t="shared" si="15"/>
        <v>66207.5985482693</v>
      </c>
      <c r="Y13" s="39">
        <v>0.97359112606889</v>
      </c>
      <c r="Z13" s="273">
        <f t="shared" si="16"/>
        <v>4163.07565507057</v>
      </c>
      <c r="AA13" s="306">
        <v>0.38</v>
      </c>
      <c r="AB13" s="306">
        <f t="shared" si="17"/>
        <v>16.8371268015294</v>
      </c>
      <c r="AC13" s="307">
        <f t="shared" si="18"/>
        <v>17.6113035853025</v>
      </c>
      <c r="AD13">
        <f t="shared" si="19"/>
        <v>8.25427710429616</v>
      </c>
    </row>
    <row r="14" spans="1:30">
      <c r="A14" s="264">
        <v>11</v>
      </c>
      <c r="B14" s="39" t="s">
        <v>55</v>
      </c>
      <c r="C14" s="39" t="s">
        <v>56</v>
      </c>
      <c r="D14" s="44">
        <v>13.67</v>
      </c>
      <c r="E14" s="279">
        <f t="shared" si="20"/>
        <v>1045.29333081493</v>
      </c>
      <c r="F14" s="39">
        <v>1122</v>
      </c>
      <c r="G14" s="39">
        <v>2.32</v>
      </c>
      <c r="H14" s="39">
        <v>7.26</v>
      </c>
      <c r="I14" s="39">
        <f t="shared" si="1"/>
        <v>9.58</v>
      </c>
      <c r="J14" s="273">
        <f t="shared" si="2"/>
        <v>2425.08052749064</v>
      </c>
      <c r="K14" s="273">
        <f t="shared" si="3"/>
        <v>7588.8295817164</v>
      </c>
      <c r="L14" s="273">
        <f t="shared" si="4"/>
        <v>10013.910109207</v>
      </c>
      <c r="M14" s="273">
        <f t="shared" si="5"/>
        <v>15337.74</v>
      </c>
      <c r="N14" s="273">
        <f t="shared" si="6"/>
        <v>4047.75750697174</v>
      </c>
      <c r="O14" s="80">
        <f t="shared" si="7"/>
        <v>5367.25676752724</v>
      </c>
      <c r="P14" s="80">
        <f t="shared" si="8"/>
        <v>9415.01427449899</v>
      </c>
      <c r="Q14" s="80">
        <v>3.136</v>
      </c>
      <c r="R14" s="80">
        <f t="shared" si="9"/>
        <v>3278.03988543563</v>
      </c>
      <c r="S14" s="80">
        <f t="shared" si="10"/>
        <v>5552.78010448916</v>
      </c>
      <c r="T14" s="80">
        <f t="shared" si="11"/>
        <v>716.328896774469</v>
      </c>
      <c r="U14" s="80">
        <f t="shared" si="12"/>
        <v>2076.7457314989</v>
      </c>
      <c r="V14" s="80">
        <f t="shared" si="13"/>
        <v>319.946602504147</v>
      </c>
      <c r="W14" s="80">
        <f t="shared" si="14"/>
        <v>3113.02123077752</v>
      </c>
      <c r="X14" s="80">
        <f t="shared" si="15"/>
        <v>18080.8156097657</v>
      </c>
      <c r="Y14" s="39">
        <v>0.97359112606889</v>
      </c>
      <c r="Z14" s="273">
        <f t="shared" si="16"/>
        <v>1092.36924344929</v>
      </c>
      <c r="AA14" s="306">
        <v>0.38</v>
      </c>
      <c r="AB14" s="306">
        <f t="shared" si="17"/>
        <v>17.4684000474287</v>
      </c>
      <c r="AC14" s="307">
        <f t="shared" si="18"/>
        <v>18.2741404934966</v>
      </c>
      <c r="AD14">
        <f t="shared" si="19"/>
        <v>8.92505357326831</v>
      </c>
    </row>
    <row r="15" spans="1:30">
      <c r="A15" s="264">
        <v>12</v>
      </c>
      <c r="B15" s="39" t="s">
        <v>57</v>
      </c>
      <c r="C15" s="39" t="s">
        <v>58</v>
      </c>
      <c r="D15" s="44">
        <v>13.67</v>
      </c>
      <c r="E15" s="279">
        <f t="shared" si="20"/>
        <v>1394.65607507126</v>
      </c>
      <c r="F15" s="39">
        <v>1497</v>
      </c>
      <c r="G15" s="39">
        <v>2.32</v>
      </c>
      <c r="H15" s="39">
        <v>7.26</v>
      </c>
      <c r="I15" s="39">
        <f t="shared" si="1"/>
        <v>9.58</v>
      </c>
      <c r="J15" s="273">
        <f t="shared" si="2"/>
        <v>3235.60209416532</v>
      </c>
      <c r="K15" s="273">
        <f t="shared" si="3"/>
        <v>10125.2031050173</v>
      </c>
      <c r="L15" s="273">
        <f t="shared" si="4"/>
        <v>13360.8051991827</v>
      </c>
      <c r="M15" s="273">
        <f t="shared" si="5"/>
        <v>20463.99</v>
      </c>
      <c r="N15" s="273">
        <f t="shared" si="6"/>
        <v>5400.61763630722</v>
      </c>
      <c r="O15" s="80">
        <f t="shared" si="7"/>
        <v>7161.12600801095</v>
      </c>
      <c r="P15" s="80">
        <f t="shared" si="8"/>
        <v>12561.7436443182</v>
      </c>
      <c r="Q15" s="80">
        <v>3.136</v>
      </c>
      <c r="R15" s="80">
        <f t="shared" si="9"/>
        <v>4373.64145142347</v>
      </c>
      <c r="S15" s="80">
        <f t="shared" si="10"/>
        <v>7408.6558078612</v>
      </c>
      <c r="T15" s="80">
        <f t="shared" si="11"/>
        <v>955.743635001231</v>
      </c>
      <c r="U15" s="80">
        <f t="shared" si="12"/>
        <v>2770.84524068971</v>
      </c>
      <c r="V15" s="80">
        <f t="shared" si="13"/>
        <v>426.880627405266</v>
      </c>
      <c r="W15" s="80">
        <f t="shared" si="14"/>
        <v>4153.46950309621</v>
      </c>
      <c r="X15" s="80">
        <f t="shared" si="15"/>
        <v>24123.8689552756</v>
      </c>
      <c r="Y15" s="39">
        <v>0.97359112606889</v>
      </c>
      <c r="Z15" s="273">
        <f t="shared" si="16"/>
        <v>1457.46591572513</v>
      </c>
      <c r="AA15" s="306">
        <v>0.38</v>
      </c>
      <c r="AB15" s="306">
        <f t="shared" si="17"/>
        <v>17.4684000474287</v>
      </c>
      <c r="AC15" s="307">
        <f t="shared" si="18"/>
        <v>18.2741404934966</v>
      </c>
      <c r="AD15">
        <f t="shared" si="19"/>
        <v>8.92505357326831</v>
      </c>
    </row>
    <row r="16" spans="1:30">
      <c r="A16" s="264">
        <v>13</v>
      </c>
      <c r="B16" s="39" t="s">
        <v>59</v>
      </c>
      <c r="C16" s="39" t="s">
        <v>60</v>
      </c>
      <c r="D16" s="44">
        <v>12.45</v>
      </c>
      <c r="E16" s="279">
        <f t="shared" si="20"/>
        <v>2194.92966791442</v>
      </c>
      <c r="F16" s="39">
        <v>2356</v>
      </c>
      <c r="G16" s="39">
        <v>2.32</v>
      </c>
      <c r="H16" s="39">
        <v>6.4</v>
      </c>
      <c r="I16" s="39">
        <f t="shared" si="1"/>
        <v>8.72</v>
      </c>
      <c r="J16" s="273">
        <f t="shared" si="2"/>
        <v>5092.23682956145</v>
      </c>
      <c r="K16" s="273">
        <f t="shared" si="3"/>
        <v>14047.5498746523</v>
      </c>
      <c r="L16" s="273">
        <f t="shared" si="4"/>
        <v>19139.7867042137</v>
      </c>
      <c r="M16" s="273">
        <f t="shared" si="5"/>
        <v>29332.2</v>
      </c>
      <c r="N16" s="273">
        <f t="shared" si="6"/>
        <v>8499.56923923835</v>
      </c>
      <c r="O16" s="80">
        <f t="shared" si="7"/>
        <v>9935.23524543966</v>
      </c>
      <c r="P16" s="80">
        <f t="shared" si="8"/>
        <v>18434.804484678</v>
      </c>
      <c r="Q16" s="80">
        <v>3.136</v>
      </c>
      <c r="R16" s="80">
        <f t="shared" si="9"/>
        <v>6883.29943857962</v>
      </c>
      <c r="S16" s="80">
        <f t="shared" si="10"/>
        <v>11659.8484190521</v>
      </c>
      <c r="T16" s="80">
        <f t="shared" si="11"/>
        <v>1402.58769384236</v>
      </c>
      <c r="U16" s="80">
        <f t="shared" si="12"/>
        <v>4066.31369941382</v>
      </c>
      <c r="V16" s="80">
        <f t="shared" si="13"/>
        <v>626.462466305163</v>
      </c>
      <c r="W16" s="80">
        <f t="shared" si="14"/>
        <v>6095.36385956134</v>
      </c>
      <c r="X16" s="80">
        <f t="shared" si="15"/>
        <v>36190.0167632914</v>
      </c>
      <c r="Y16" s="39">
        <v>0.97359112606889</v>
      </c>
      <c r="Z16" s="273">
        <f t="shared" si="16"/>
        <v>2293.7806930183</v>
      </c>
      <c r="AA16" s="306">
        <v>0.38</v>
      </c>
      <c r="AB16" s="306">
        <f t="shared" si="17"/>
        <v>16.7143792259379</v>
      </c>
      <c r="AC16" s="307">
        <f t="shared" si="18"/>
        <v>17.4824186309314</v>
      </c>
      <c r="AD16">
        <f t="shared" si="19"/>
        <v>8.12384834644047</v>
      </c>
    </row>
    <row r="17" spans="1:30">
      <c r="A17" s="264">
        <v>14</v>
      </c>
      <c r="B17" s="39" t="s">
        <v>61</v>
      </c>
      <c r="C17" s="39" t="s">
        <v>62</v>
      </c>
      <c r="D17" s="44">
        <v>12.45</v>
      </c>
      <c r="E17" s="279">
        <f t="shared" si="20"/>
        <v>1661.10339469075</v>
      </c>
      <c r="F17" s="39">
        <v>1783</v>
      </c>
      <c r="G17" s="39">
        <v>2.32</v>
      </c>
      <c r="H17" s="39">
        <v>6.4</v>
      </c>
      <c r="I17" s="39">
        <f t="shared" si="1"/>
        <v>8.72</v>
      </c>
      <c r="J17" s="273">
        <f t="shared" si="2"/>
        <v>3853.75987568254</v>
      </c>
      <c r="K17" s="273">
        <f t="shared" si="3"/>
        <v>10631.0617260208</v>
      </c>
      <c r="L17" s="273">
        <f t="shared" si="4"/>
        <v>14484.8216017034</v>
      </c>
      <c r="M17" s="273">
        <f t="shared" si="5"/>
        <v>22198.35</v>
      </c>
      <c r="N17" s="273">
        <f t="shared" si="6"/>
        <v>6432.39896161374</v>
      </c>
      <c r="O17" s="80">
        <f t="shared" si="7"/>
        <v>7518.89832029666</v>
      </c>
      <c r="P17" s="80">
        <f t="shared" si="8"/>
        <v>13951.2972819104</v>
      </c>
      <c r="Q17" s="80">
        <v>3.136</v>
      </c>
      <c r="R17" s="80">
        <f t="shared" si="9"/>
        <v>5209.2202457502</v>
      </c>
      <c r="S17" s="80">
        <f t="shared" si="10"/>
        <v>8824.07034429961</v>
      </c>
      <c r="T17" s="80">
        <f t="shared" si="11"/>
        <v>1061.4659839223</v>
      </c>
      <c r="U17" s="80">
        <f t="shared" si="12"/>
        <v>3077.35030817268</v>
      </c>
      <c r="V17" s="80">
        <f t="shared" si="13"/>
        <v>474.101263761505</v>
      </c>
      <c r="W17" s="80">
        <f t="shared" si="14"/>
        <v>4612.91755585648</v>
      </c>
      <c r="X17" s="80">
        <f t="shared" si="15"/>
        <v>27388.2851820665</v>
      </c>
      <c r="Y17" s="39">
        <v>0.97359112606889</v>
      </c>
      <c r="Z17" s="273">
        <f t="shared" si="16"/>
        <v>1735.91297778083</v>
      </c>
      <c r="AA17" s="306">
        <v>0.38</v>
      </c>
      <c r="AB17" s="306">
        <f t="shared" si="17"/>
        <v>16.7143792259379</v>
      </c>
      <c r="AC17" s="307">
        <f t="shared" si="18"/>
        <v>17.4824186309314</v>
      </c>
      <c r="AD17">
        <f t="shared" si="19"/>
        <v>8.12384834644047</v>
      </c>
    </row>
    <row r="18" spans="1:30">
      <c r="A18" s="264">
        <v>15</v>
      </c>
      <c r="B18" s="39" t="s">
        <v>63</v>
      </c>
      <c r="C18" s="39" t="s">
        <v>64</v>
      </c>
      <c r="D18" s="44">
        <v>14.93</v>
      </c>
      <c r="E18" s="279">
        <f t="shared" si="20"/>
        <v>1713.27489783303</v>
      </c>
      <c r="F18" s="39">
        <v>1839</v>
      </c>
      <c r="G18" s="39">
        <v>2.32</v>
      </c>
      <c r="H18" s="39">
        <v>8.13</v>
      </c>
      <c r="I18" s="39">
        <f t="shared" si="1"/>
        <v>10.45</v>
      </c>
      <c r="J18" s="273">
        <f t="shared" si="2"/>
        <v>3974.79776297263</v>
      </c>
      <c r="K18" s="273">
        <f t="shared" si="3"/>
        <v>13928.9249193825</v>
      </c>
      <c r="L18" s="273">
        <f t="shared" si="4"/>
        <v>17903.7226823552</v>
      </c>
      <c r="M18" s="273">
        <f t="shared" si="5"/>
        <v>27456.27</v>
      </c>
      <c r="N18" s="273">
        <f t="shared" si="6"/>
        <v>6634.42607426117</v>
      </c>
      <c r="O18" s="80">
        <f t="shared" si="7"/>
        <v>9851.33685411155</v>
      </c>
      <c r="P18" s="80">
        <f t="shared" si="8"/>
        <v>16485.7629283727</v>
      </c>
      <c r="Q18" s="80">
        <v>3.136</v>
      </c>
      <c r="R18" s="80">
        <f t="shared" si="9"/>
        <v>5372.83007960438</v>
      </c>
      <c r="S18" s="80">
        <f t="shared" si="10"/>
        <v>9101.21444933651</v>
      </c>
      <c r="T18" s="80">
        <f t="shared" si="11"/>
        <v>1254.29744731801</v>
      </c>
      <c r="U18" s="80">
        <f t="shared" si="12"/>
        <v>3636.39786343529</v>
      </c>
      <c r="V18" s="80">
        <f t="shared" si="13"/>
        <v>560.228979461888</v>
      </c>
      <c r="W18" s="80">
        <f t="shared" si="14"/>
        <v>5450.92429021519</v>
      </c>
      <c r="X18" s="80">
        <f t="shared" si="15"/>
        <v>31037.9016679244</v>
      </c>
      <c r="Y18" s="39">
        <v>0.97359112606889</v>
      </c>
      <c r="Z18" s="273">
        <f t="shared" si="16"/>
        <v>1790.43408084069</v>
      </c>
      <c r="AA18" s="306">
        <v>0.38</v>
      </c>
      <c r="AB18" s="306">
        <f t="shared" si="17"/>
        <v>18.2311885528902</v>
      </c>
      <c r="AC18" s="307">
        <f t="shared" si="18"/>
        <v>19.0750684242313</v>
      </c>
      <c r="AD18">
        <f t="shared" si="19"/>
        <v>9.73557513994299</v>
      </c>
    </row>
    <row r="19" spans="1:30">
      <c r="A19" s="264">
        <v>16</v>
      </c>
      <c r="B19" s="39" t="s">
        <v>65</v>
      </c>
      <c r="C19" s="39" t="s">
        <v>66</v>
      </c>
      <c r="D19" s="44">
        <v>14.93</v>
      </c>
      <c r="E19" s="279">
        <f t="shared" si="20"/>
        <v>1418.87855867303</v>
      </c>
      <c r="F19" s="39">
        <v>1523</v>
      </c>
      <c r="G19" s="39">
        <v>2.32</v>
      </c>
      <c r="H19" s="39">
        <v>8.13</v>
      </c>
      <c r="I19" s="39">
        <f t="shared" si="1"/>
        <v>10.45</v>
      </c>
      <c r="J19" s="273">
        <f t="shared" si="2"/>
        <v>3291.79825612143</v>
      </c>
      <c r="K19" s="273">
        <f t="shared" si="3"/>
        <v>11535.4826820117</v>
      </c>
      <c r="L19" s="273">
        <f t="shared" si="4"/>
        <v>14827.2809381332</v>
      </c>
      <c r="M19" s="273">
        <f t="shared" si="5"/>
        <v>22738.39</v>
      </c>
      <c r="N19" s="273">
        <f t="shared" si="6"/>
        <v>5494.41593860781</v>
      </c>
      <c r="O19" s="80">
        <f t="shared" si="7"/>
        <v>8158.55684002822</v>
      </c>
      <c r="P19" s="80">
        <f t="shared" si="8"/>
        <v>13652.972778636</v>
      </c>
      <c r="Q19" s="80">
        <v>3.136</v>
      </c>
      <c r="R19" s="80">
        <f t="shared" si="9"/>
        <v>4449.60315999863</v>
      </c>
      <c r="S19" s="80">
        <f t="shared" si="10"/>
        <v>7537.32985662833</v>
      </c>
      <c r="T19" s="80">
        <f t="shared" si="11"/>
        <v>1038.76835903498</v>
      </c>
      <c r="U19" s="80">
        <f t="shared" si="12"/>
        <v>3011.54646330177</v>
      </c>
      <c r="V19" s="80">
        <f t="shared" si="13"/>
        <v>463.963423447773</v>
      </c>
      <c r="W19" s="80">
        <f t="shared" si="14"/>
        <v>4514.27824578452</v>
      </c>
      <c r="X19" s="80">
        <f t="shared" si="15"/>
        <v>25704.5808810489</v>
      </c>
      <c r="Y19" s="39">
        <v>0.97359112606889</v>
      </c>
      <c r="Z19" s="273">
        <f t="shared" si="16"/>
        <v>1482.77928500292</v>
      </c>
      <c r="AA19" s="306">
        <v>0.38</v>
      </c>
      <c r="AB19" s="306">
        <f t="shared" si="17"/>
        <v>18.2311885528902</v>
      </c>
      <c r="AC19" s="307">
        <f t="shared" si="18"/>
        <v>19.0750684242313</v>
      </c>
      <c r="AD19">
        <f t="shared" si="19"/>
        <v>9.73557513994299</v>
      </c>
    </row>
    <row r="20" spans="1:30">
      <c r="A20" s="264">
        <v>17</v>
      </c>
      <c r="B20" s="39" t="s">
        <v>67</v>
      </c>
      <c r="C20" s="39" t="s">
        <v>68</v>
      </c>
      <c r="D20" s="44">
        <v>9.05</v>
      </c>
      <c r="E20" s="279">
        <f>F20/25715*28338</f>
        <v>28234.4117441182</v>
      </c>
      <c r="F20" s="39">
        <v>25621</v>
      </c>
      <c r="G20" s="39">
        <v>1.05</v>
      </c>
      <c r="H20" s="39">
        <v>5.28</v>
      </c>
      <c r="I20" s="39">
        <f t="shared" si="1"/>
        <v>6.33</v>
      </c>
      <c r="J20" s="273">
        <f t="shared" si="2"/>
        <v>29646.1323313241</v>
      </c>
      <c r="K20" s="273">
        <f t="shared" si="3"/>
        <v>149077.694008944</v>
      </c>
      <c r="L20" s="273">
        <f t="shared" si="4"/>
        <v>178723.826340268</v>
      </c>
      <c r="M20" s="273">
        <f t="shared" si="5"/>
        <v>231870.05</v>
      </c>
      <c r="N20" s="273">
        <f t="shared" si="6"/>
        <v>49483.0391553907</v>
      </c>
      <c r="O20" s="80">
        <f t="shared" si="7"/>
        <v>105436.319717156</v>
      </c>
      <c r="P20" s="80">
        <f t="shared" si="8"/>
        <v>154919.358872547</v>
      </c>
      <c r="Q20" s="80">
        <v>3.64</v>
      </c>
      <c r="R20" s="80">
        <f t="shared" si="9"/>
        <v>102773.25874859</v>
      </c>
      <c r="S20" s="80">
        <f t="shared" si="10"/>
        <v>174091.019754889</v>
      </c>
      <c r="T20" s="80">
        <f t="shared" si="11"/>
        <v>11786.8343259718</v>
      </c>
      <c r="U20" s="80">
        <f t="shared" si="12"/>
        <v>34171.8140711187</v>
      </c>
      <c r="V20" s="80">
        <f t="shared" si="13"/>
        <v>5264.56159154678</v>
      </c>
      <c r="W20" s="80">
        <f t="shared" si="14"/>
        <v>51223.2099886373</v>
      </c>
      <c r="X20" s="80">
        <f t="shared" si="15"/>
        <v>380233.588616073</v>
      </c>
      <c r="Y20" s="39"/>
      <c r="Z20" s="273"/>
      <c r="AA20" s="306"/>
      <c r="AB20" s="306">
        <f t="shared" si="17"/>
        <v>14.8407005431511</v>
      </c>
      <c r="AC20" s="307">
        <f t="shared" si="18"/>
        <v>15.5827355703086</v>
      </c>
      <c r="AD20">
        <f t="shared" si="19"/>
        <v>6.97567723118802</v>
      </c>
    </row>
    <row r="21" spans="1:30">
      <c r="A21" s="264">
        <v>23</v>
      </c>
      <c r="B21" s="39" t="s">
        <v>69</v>
      </c>
      <c r="C21" s="39" t="s">
        <v>70</v>
      </c>
      <c r="D21" s="44">
        <v>3.44</v>
      </c>
      <c r="E21" s="279">
        <f>F21/25715*28338</f>
        <v>103.588255881781</v>
      </c>
      <c r="F21" s="39">
        <v>94</v>
      </c>
      <c r="G21" s="39">
        <v>1.05</v>
      </c>
      <c r="H21" s="39">
        <v>1.36</v>
      </c>
      <c r="I21" s="39">
        <f t="shared" si="1"/>
        <v>2.41</v>
      </c>
      <c r="J21" s="273">
        <f t="shared" si="2"/>
        <v>108.76766867587</v>
      </c>
      <c r="K21" s="273">
        <f t="shared" si="3"/>
        <v>140.880027999222</v>
      </c>
      <c r="L21" s="273">
        <f t="shared" si="4"/>
        <v>249.647696675092</v>
      </c>
      <c r="M21" s="273">
        <f t="shared" si="5"/>
        <v>323.36</v>
      </c>
      <c r="N21" s="273">
        <f t="shared" si="6"/>
        <v>181.546609445639</v>
      </c>
      <c r="O21" s="80">
        <f t="shared" si="7"/>
        <v>99.638458809248</v>
      </c>
      <c r="P21" s="80">
        <f t="shared" si="8"/>
        <v>281.185068254887</v>
      </c>
      <c r="Q21" s="80">
        <f>18.48/2</f>
        <v>9.24</v>
      </c>
      <c r="R21" s="80">
        <f t="shared" si="9"/>
        <v>957.155484347657</v>
      </c>
      <c r="S21" s="80">
        <f t="shared" si="10"/>
        <v>1621.35730989803</v>
      </c>
      <c r="T21" s="80">
        <f t="shared" si="11"/>
        <v>21.3935936643278</v>
      </c>
      <c r="U21" s="80">
        <f t="shared" si="12"/>
        <v>62.0232612754736</v>
      </c>
      <c r="V21" s="80">
        <f t="shared" si="13"/>
        <v>9.55539786134157</v>
      </c>
      <c r="W21" s="80">
        <f t="shared" si="14"/>
        <v>92.972252801143</v>
      </c>
      <c r="X21" s="80">
        <f t="shared" si="15"/>
        <v>1995.51463095406</v>
      </c>
      <c r="Y21" s="39"/>
      <c r="Z21" s="273"/>
      <c r="AA21" s="306"/>
      <c r="AB21" s="306">
        <f t="shared" si="17"/>
        <v>21.2288790527028</v>
      </c>
      <c r="AC21" s="307">
        <f t="shared" si="18"/>
        <v>22.2903230053379</v>
      </c>
      <c r="AD21">
        <f t="shared" si="19"/>
        <v>2.65582656037332</v>
      </c>
    </row>
    <row r="22" spans="1:30">
      <c r="A22" s="264">
        <v>18</v>
      </c>
      <c r="B22" s="39" t="s">
        <v>71</v>
      </c>
      <c r="C22" s="39" t="s">
        <v>72</v>
      </c>
      <c r="D22" s="44">
        <v>9.05</v>
      </c>
      <c r="E22" s="279">
        <f>F22/27305*30844</f>
        <v>30741.2054934994</v>
      </c>
      <c r="F22" s="39">
        <v>27214</v>
      </c>
      <c r="G22" s="39">
        <v>1.05</v>
      </c>
      <c r="H22" s="39">
        <v>5.28</v>
      </c>
      <c r="I22" s="39">
        <f t="shared" si="1"/>
        <v>6.33</v>
      </c>
      <c r="J22" s="273">
        <f t="shared" si="2"/>
        <v>32278.2657681743</v>
      </c>
      <c r="K22" s="273">
        <f t="shared" si="3"/>
        <v>162313.565005677</v>
      </c>
      <c r="L22" s="273">
        <f t="shared" si="4"/>
        <v>194591.830773851</v>
      </c>
      <c r="M22" s="273">
        <f t="shared" si="5"/>
        <v>246286.7</v>
      </c>
      <c r="N22" s="273">
        <f t="shared" si="6"/>
        <v>53876.3934203669</v>
      </c>
      <c r="O22" s="80">
        <f t="shared" si="7"/>
        <v>114797.48897473</v>
      </c>
      <c r="P22" s="80">
        <f t="shared" si="8"/>
        <v>168673.882395096</v>
      </c>
      <c r="Q22" s="80">
        <v>3.64</v>
      </c>
      <c r="R22" s="80">
        <f t="shared" si="9"/>
        <v>111897.987996338</v>
      </c>
      <c r="S22" s="80">
        <f t="shared" si="10"/>
        <v>189547.700209224</v>
      </c>
      <c r="T22" s="80">
        <f t="shared" si="11"/>
        <v>12833.329038917</v>
      </c>
      <c r="U22" s="80">
        <f t="shared" si="12"/>
        <v>37205.7604021004</v>
      </c>
      <c r="V22" s="80">
        <f t="shared" si="13"/>
        <v>5731.97597264047</v>
      </c>
      <c r="W22" s="80">
        <f t="shared" si="14"/>
        <v>55771.0654136579</v>
      </c>
      <c r="X22" s="80">
        <f t="shared" si="15"/>
        <v>413992.648017978</v>
      </c>
      <c r="Y22" s="39"/>
      <c r="Z22" s="273"/>
      <c r="AA22" s="306"/>
      <c r="AB22" s="306">
        <f t="shared" si="17"/>
        <v>15.2124879847864</v>
      </c>
      <c r="AC22" s="307">
        <f t="shared" si="18"/>
        <v>15.9731123840258</v>
      </c>
      <c r="AD22">
        <f t="shared" si="19"/>
        <v>7.15043105658304</v>
      </c>
    </row>
    <row r="23" spans="1:30">
      <c r="A23" s="264">
        <v>24</v>
      </c>
      <c r="B23" s="39" t="s">
        <v>73</v>
      </c>
      <c r="C23" s="39" t="s">
        <v>74</v>
      </c>
      <c r="D23" s="44">
        <v>16.42</v>
      </c>
      <c r="E23" s="279">
        <f>F23/27305*30844</f>
        <v>102.794506500641</v>
      </c>
      <c r="F23" s="39">
        <v>91</v>
      </c>
      <c r="G23" s="39">
        <v>1.05</v>
      </c>
      <c r="H23" s="39">
        <v>1.36</v>
      </c>
      <c r="I23" s="39">
        <f t="shared" si="1"/>
        <v>2.41</v>
      </c>
      <c r="J23" s="273">
        <f t="shared" si="2"/>
        <v>107.934231825673</v>
      </c>
      <c r="K23" s="273">
        <f t="shared" si="3"/>
        <v>139.800528840872</v>
      </c>
      <c r="L23" s="273">
        <f t="shared" si="4"/>
        <v>247.734760666545</v>
      </c>
      <c r="M23" s="273">
        <f t="shared" si="5"/>
        <v>1494.22</v>
      </c>
      <c r="N23" s="273">
        <f t="shared" si="6"/>
        <v>180.15550089121</v>
      </c>
      <c r="O23" s="80">
        <f t="shared" si="7"/>
        <v>98.8749749148203</v>
      </c>
      <c r="P23" s="80">
        <f t="shared" si="8"/>
        <v>279.03047580603</v>
      </c>
      <c r="Q23" s="80">
        <v>9.24</v>
      </c>
      <c r="R23" s="80">
        <f t="shared" si="9"/>
        <v>949.821240065922</v>
      </c>
      <c r="S23" s="80">
        <f t="shared" si="10"/>
        <v>1608.93359110497</v>
      </c>
      <c r="T23" s="80">
        <f t="shared" si="11"/>
        <v>21.2296643502673</v>
      </c>
      <c r="U23" s="80">
        <f t="shared" si="12"/>
        <v>61.5480054191545</v>
      </c>
      <c r="V23" s="80">
        <f t="shared" si="13"/>
        <v>9.4821792220815</v>
      </c>
      <c r="W23" s="80">
        <f t="shared" si="14"/>
        <v>92.2598489915033</v>
      </c>
      <c r="X23" s="80">
        <f t="shared" si="15"/>
        <v>1980.2239159025</v>
      </c>
      <c r="Y23" s="39"/>
      <c r="Z23" s="273"/>
      <c r="AA23" s="306"/>
      <c r="AB23" s="306">
        <f t="shared" si="17"/>
        <v>21.760702372555</v>
      </c>
      <c r="AC23" s="307">
        <f t="shared" si="18"/>
        <v>22.8487374911827</v>
      </c>
      <c r="AD23">
        <f t="shared" si="19"/>
        <v>2.72236000732467</v>
      </c>
    </row>
    <row r="24" spans="1:30">
      <c r="A24" s="264">
        <v>19</v>
      </c>
      <c r="B24" s="39" t="s">
        <v>75</v>
      </c>
      <c r="C24" s="39" t="s">
        <v>76</v>
      </c>
      <c r="D24" s="44">
        <v>9.98</v>
      </c>
      <c r="E24" s="279">
        <f>F24/27122*31115</f>
        <v>31009.4554236413</v>
      </c>
      <c r="F24" s="39">
        <v>27030</v>
      </c>
      <c r="G24" s="39">
        <v>1.7</v>
      </c>
      <c r="H24" s="39">
        <v>5.28</v>
      </c>
      <c r="I24" s="39">
        <f t="shared" si="1"/>
        <v>6.98</v>
      </c>
      <c r="J24" s="273">
        <f t="shared" si="2"/>
        <v>52716.0742201902</v>
      </c>
      <c r="K24" s="273">
        <f t="shared" si="3"/>
        <v>163729.924636826</v>
      </c>
      <c r="L24" s="273">
        <f t="shared" si="4"/>
        <v>216445.998857016</v>
      </c>
      <c r="M24" s="273">
        <f t="shared" si="5"/>
        <v>269759.4</v>
      </c>
      <c r="N24" s="273">
        <f t="shared" si="6"/>
        <v>87989.6080744387</v>
      </c>
      <c r="O24" s="80">
        <f t="shared" si="7"/>
        <v>115799.219970752</v>
      </c>
      <c r="P24" s="80">
        <f t="shared" si="8"/>
        <v>203788.828045191</v>
      </c>
      <c r="Q24" s="80">
        <v>3.64</v>
      </c>
      <c r="R24" s="80">
        <f t="shared" si="9"/>
        <v>112874.417742054</v>
      </c>
      <c r="S24" s="80">
        <f t="shared" si="10"/>
        <v>191201.706827489</v>
      </c>
      <c r="T24" s="80">
        <f t="shared" si="11"/>
        <v>15505.0031909104</v>
      </c>
      <c r="U24" s="80">
        <f t="shared" si="12"/>
        <v>44951.3475424375</v>
      </c>
      <c r="V24" s="80">
        <f t="shared" si="13"/>
        <v>6925.27289501432</v>
      </c>
      <c r="W24" s="80">
        <f t="shared" si="14"/>
        <v>67381.6236283623</v>
      </c>
      <c r="X24" s="80">
        <f t="shared" si="15"/>
        <v>462372.158501042</v>
      </c>
      <c r="Y24" s="39"/>
      <c r="Z24" s="273"/>
      <c r="AA24" s="306"/>
      <c r="AB24" s="306">
        <f t="shared" si="17"/>
        <v>17.1058882168347</v>
      </c>
      <c r="AC24" s="307">
        <f t="shared" si="18"/>
        <v>17.9611826276764</v>
      </c>
      <c r="AD24">
        <f t="shared" si="19"/>
        <v>8.00762111938648</v>
      </c>
    </row>
    <row r="25" spans="1:30">
      <c r="A25" s="264">
        <v>25</v>
      </c>
      <c r="B25" s="39" t="s">
        <v>77</v>
      </c>
      <c r="C25" s="39" t="s">
        <v>78</v>
      </c>
      <c r="D25" s="44">
        <v>4.37</v>
      </c>
      <c r="E25" s="279">
        <f>F25/27122*31115</f>
        <v>105.544576358676</v>
      </c>
      <c r="F25" s="39">
        <v>92</v>
      </c>
      <c r="G25" s="39">
        <v>1.7</v>
      </c>
      <c r="H25" s="39">
        <v>1.36</v>
      </c>
      <c r="I25" s="39">
        <f t="shared" si="1"/>
        <v>3.06</v>
      </c>
      <c r="J25" s="273">
        <f t="shared" si="2"/>
        <v>179.425779809749</v>
      </c>
      <c r="K25" s="273">
        <f t="shared" si="3"/>
        <v>143.540623847799</v>
      </c>
      <c r="L25" s="273">
        <f t="shared" si="4"/>
        <v>322.966403657547</v>
      </c>
      <c r="M25" s="273">
        <f t="shared" si="5"/>
        <v>402.04</v>
      </c>
      <c r="N25" s="273">
        <f t="shared" si="6"/>
        <v>299.483682680295</v>
      </c>
      <c r="O25" s="80">
        <f t="shared" si="7"/>
        <v>101.520185223072</v>
      </c>
      <c r="P25" s="80">
        <f t="shared" si="8"/>
        <v>401.003867903367</v>
      </c>
      <c r="Q25" s="80">
        <v>9.24</v>
      </c>
      <c r="R25" s="80">
        <f t="shared" si="9"/>
        <v>975.231885554163</v>
      </c>
      <c r="S25" s="80">
        <f t="shared" si="10"/>
        <v>1651.97752334516</v>
      </c>
      <c r="T25" s="80">
        <f t="shared" si="11"/>
        <v>30.5098484104847</v>
      </c>
      <c r="U25" s="80">
        <f t="shared" si="12"/>
        <v>88.4526615364248</v>
      </c>
      <c r="V25" s="80">
        <f t="shared" si="13"/>
        <v>13.6271514185815</v>
      </c>
      <c r="W25" s="80">
        <f t="shared" si="14"/>
        <v>132.589661365491</v>
      </c>
      <c r="X25" s="80">
        <f t="shared" si="15"/>
        <v>2185.57105261402</v>
      </c>
      <c r="Y25" s="39"/>
      <c r="Z25" s="273"/>
      <c r="AA25" s="306"/>
      <c r="AB25" s="306">
        <f t="shared" si="17"/>
        <v>23.7562070936306</v>
      </c>
      <c r="AC25" s="307">
        <f t="shared" si="18"/>
        <v>24.9440174483122</v>
      </c>
      <c r="AD25">
        <f t="shared" si="19"/>
        <v>3.51050438758204</v>
      </c>
    </row>
    <row r="26" spans="1:30">
      <c r="A26" s="264">
        <v>20</v>
      </c>
      <c r="B26" s="39" t="s">
        <v>79</v>
      </c>
      <c r="C26" s="39" t="s">
        <v>80</v>
      </c>
      <c r="D26" s="44">
        <v>9.98</v>
      </c>
      <c r="E26" s="279">
        <f>F26/26245*31425</f>
        <v>31314.8418746428</v>
      </c>
      <c r="F26" s="39">
        <v>26153</v>
      </c>
      <c r="G26" s="39">
        <v>1.7</v>
      </c>
      <c r="H26" s="39">
        <v>5.28</v>
      </c>
      <c r="I26" s="39">
        <f t="shared" si="1"/>
        <v>6.98</v>
      </c>
      <c r="J26" s="273">
        <f t="shared" si="2"/>
        <v>53235.2311868927</v>
      </c>
      <c r="K26" s="273">
        <f t="shared" si="3"/>
        <v>165342.365098114</v>
      </c>
      <c r="L26" s="273">
        <f t="shared" si="4"/>
        <v>218577.596285007</v>
      </c>
      <c r="M26" s="273">
        <f t="shared" si="5"/>
        <v>261006.94</v>
      </c>
      <c r="N26" s="273">
        <f t="shared" si="6"/>
        <v>88856.1448699987</v>
      </c>
      <c r="O26" s="80">
        <f t="shared" si="7"/>
        <v>116939.630607846</v>
      </c>
      <c r="P26" s="80">
        <f t="shared" si="8"/>
        <v>205795.775477845</v>
      </c>
      <c r="Q26" s="80">
        <v>3.64</v>
      </c>
      <c r="R26" s="80">
        <f t="shared" si="9"/>
        <v>113986.0244237</v>
      </c>
      <c r="S26" s="80">
        <f t="shared" si="10"/>
        <v>193084.694125258</v>
      </c>
      <c r="T26" s="80">
        <f t="shared" si="11"/>
        <v>15657.6991293766</v>
      </c>
      <c r="U26" s="80">
        <f t="shared" si="12"/>
        <v>45394.0361451936</v>
      </c>
      <c r="V26" s="80">
        <f t="shared" si="13"/>
        <v>6993.47417371245</v>
      </c>
      <c r="W26" s="80">
        <f t="shared" si="14"/>
        <v>68045.2094482826</v>
      </c>
      <c r="X26" s="80">
        <f t="shared" si="15"/>
        <v>466925.679051386</v>
      </c>
      <c r="Y26" s="39"/>
      <c r="Z26" s="273"/>
      <c r="AA26" s="306"/>
      <c r="AB26" s="306">
        <f t="shared" si="17"/>
        <v>17.853618286674</v>
      </c>
      <c r="AC26" s="307">
        <f t="shared" si="18"/>
        <v>18.7462992010077</v>
      </c>
      <c r="AD26">
        <f t="shared" si="19"/>
        <v>8.35764907601448</v>
      </c>
    </row>
    <row r="27" spans="1:30">
      <c r="A27" s="264">
        <v>26</v>
      </c>
      <c r="B27" s="39" t="s">
        <v>81</v>
      </c>
      <c r="C27" s="39" t="s">
        <v>82</v>
      </c>
      <c r="D27" s="44">
        <v>4.37</v>
      </c>
      <c r="E27" s="279">
        <f>F27/26245*31425</f>
        <v>110.158125357211</v>
      </c>
      <c r="F27" s="39">
        <v>92</v>
      </c>
      <c r="G27" s="39">
        <v>1.7</v>
      </c>
      <c r="H27" s="39">
        <v>1.36</v>
      </c>
      <c r="I27" s="39">
        <f t="shared" si="1"/>
        <v>3.06</v>
      </c>
      <c r="J27" s="273">
        <f t="shared" si="2"/>
        <v>187.268813107259</v>
      </c>
      <c r="K27" s="273">
        <f t="shared" si="3"/>
        <v>149.815050485807</v>
      </c>
      <c r="L27" s="273">
        <f t="shared" si="4"/>
        <v>337.083863593065</v>
      </c>
      <c r="M27" s="273">
        <f t="shared" si="5"/>
        <v>402.04</v>
      </c>
      <c r="N27" s="273">
        <f t="shared" si="6"/>
        <v>312.57466937024</v>
      </c>
      <c r="O27" s="80">
        <f t="shared" si="7"/>
        <v>105.957820628186</v>
      </c>
      <c r="P27" s="80">
        <f t="shared" si="8"/>
        <v>418.532489998426</v>
      </c>
      <c r="Q27" s="80">
        <v>9.24</v>
      </c>
      <c r="R27" s="80">
        <f t="shared" si="9"/>
        <v>1017.86107830063</v>
      </c>
      <c r="S27" s="80">
        <f t="shared" si="10"/>
        <v>1724.18852187654</v>
      </c>
      <c r="T27" s="80">
        <f t="shared" si="11"/>
        <v>31.843490416885</v>
      </c>
      <c r="U27" s="80">
        <f t="shared" si="12"/>
        <v>92.3190912680896</v>
      </c>
      <c r="V27" s="80">
        <f t="shared" si="13"/>
        <v>14.2228194571403</v>
      </c>
      <c r="W27" s="80">
        <f t="shared" si="14"/>
        <v>138.385401142115</v>
      </c>
      <c r="X27" s="80">
        <f t="shared" si="15"/>
        <v>2281.10641301709</v>
      </c>
      <c r="Y27" s="39"/>
      <c r="Z27" s="273"/>
      <c r="AA27" s="306"/>
      <c r="AB27" s="306">
        <f t="shared" si="17"/>
        <v>24.7946349240988</v>
      </c>
      <c r="AC27" s="307">
        <f t="shared" si="18"/>
        <v>26.0343666703037</v>
      </c>
      <c r="AD27">
        <f t="shared" si="19"/>
        <v>3.66395503905506</v>
      </c>
    </row>
    <row r="28" spans="1:30">
      <c r="A28" s="264">
        <v>21</v>
      </c>
      <c r="B28" s="39" t="s">
        <v>83</v>
      </c>
      <c r="C28" s="39" t="s">
        <v>84</v>
      </c>
      <c r="D28" s="44">
        <v>9.34</v>
      </c>
      <c r="E28" s="279">
        <v>1852</v>
      </c>
      <c r="F28" s="39">
        <v>1704</v>
      </c>
      <c r="G28" s="39">
        <v>1.25</v>
      </c>
      <c r="H28" s="39">
        <v>5.28</v>
      </c>
      <c r="I28" s="39">
        <f t="shared" si="1"/>
        <v>6.53</v>
      </c>
      <c r="J28" s="273">
        <f t="shared" si="2"/>
        <v>2315</v>
      </c>
      <c r="K28" s="273">
        <f t="shared" si="3"/>
        <v>9778.56</v>
      </c>
      <c r="L28" s="273">
        <f t="shared" si="4"/>
        <v>12093.56</v>
      </c>
      <c r="M28" s="273">
        <f t="shared" si="5"/>
        <v>15915.36</v>
      </c>
      <c r="N28" s="273">
        <f t="shared" si="6"/>
        <v>3864.01957477915</v>
      </c>
      <c r="O28" s="80">
        <f t="shared" si="7"/>
        <v>6915.9600662426</v>
      </c>
      <c r="P28" s="80">
        <f t="shared" si="8"/>
        <v>10779.9796410218</v>
      </c>
      <c r="Q28" s="80">
        <v>3.696</v>
      </c>
      <c r="R28" s="80">
        <f t="shared" si="9"/>
        <v>6844.992</v>
      </c>
      <c r="S28" s="80">
        <f t="shared" si="10"/>
        <v>11594.9581827423</v>
      </c>
      <c r="T28" s="80">
        <f t="shared" si="11"/>
        <v>820.180479643009</v>
      </c>
      <c r="U28" s="80">
        <f t="shared" si="12"/>
        <v>2377.82716546421</v>
      </c>
      <c r="V28" s="80">
        <f t="shared" si="13"/>
        <v>366.331665640764</v>
      </c>
      <c r="W28" s="80">
        <f t="shared" si="14"/>
        <v>3564.33931074798</v>
      </c>
      <c r="X28" s="80">
        <f t="shared" si="15"/>
        <v>25939.277134512</v>
      </c>
      <c r="Y28" s="39"/>
      <c r="Z28" s="273"/>
      <c r="AA28" s="306"/>
      <c r="AB28" s="306">
        <f t="shared" si="17"/>
        <v>15.222580478</v>
      </c>
      <c r="AC28" s="307">
        <f t="shared" si="18"/>
        <v>15.9837095019</v>
      </c>
      <c r="AD28">
        <f t="shared" si="19"/>
        <v>7.09715962441315</v>
      </c>
    </row>
    <row r="29" spans="1:30">
      <c r="A29" s="264">
        <v>22</v>
      </c>
      <c r="B29" s="39" t="s">
        <v>85</v>
      </c>
      <c r="C29" s="39" t="s">
        <v>86</v>
      </c>
      <c r="D29" s="44">
        <v>9.34</v>
      </c>
      <c r="E29" s="279">
        <v>1852</v>
      </c>
      <c r="F29" s="39">
        <v>1694</v>
      </c>
      <c r="G29" s="39">
        <v>1.25</v>
      </c>
      <c r="H29" s="39">
        <v>5.28</v>
      </c>
      <c r="I29" s="39">
        <f t="shared" si="1"/>
        <v>6.53</v>
      </c>
      <c r="J29" s="273">
        <f t="shared" si="2"/>
        <v>2315</v>
      </c>
      <c r="K29" s="273">
        <f t="shared" si="3"/>
        <v>9778.56</v>
      </c>
      <c r="L29" s="273">
        <f t="shared" si="4"/>
        <v>12093.56</v>
      </c>
      <c r="M29" s="273">
        <f t="shared" si="5"/>
        <v>15821.96</v>
      </c>
      <c r="N29" s="273">
        <f t="shared" si="6"/>
        <v>3864.01957477915</v>
      </c>
      <c r="O29" s="80">
        <f t="shared" si="7"/>
        <v>6915.9600662426</v>
      </c>
      <c r="P29" s="80">
        <f t="shared" si="8"/>
        <v>10779.9796410218</v>
      </c>
      <c r="Q29" s="80">
        <v>3.696</v>
      </c>
      <c r="R29" s="80">
        <f t="shared" si="9"/>
        <v>6844.992</v>
      </c>
      <c r="S29" s="80">
        <f t="shared" si="10"/>
        <v>11594.9581827423</v>
      </c>
      <c r="T29" s="80">
        <f t="shared" si="11"/>
        <v>820.180479643009</v>
      </c>
      <c r="U29" s="80">
        <f t="shared" si="12"/>
        <v>2377.82716546421</v>
      </c>
      <c r="V29" s="80">
        <f t="shared" si="13"/>
        <v>366.331665640764</v>
      </c>
      <c r="W29" s="80">
        <f t="shared" si="14"/>
        <v>3564.33931074798</v>
      </c>
      <c r="X29" s="80">
        <f t="shared" si="15"/>
        <v>25939.277134512</v>
      </c>
      <c r="Y29" s="39"/>
      <c r="Z29" s="273"/>
      <c r="AA29" s="306"/>
      <c r="AB29" s="306">
        <f t="shared" si="17"/>
        <v>15.3124422281653</v>
      </c>
      <c r="AC29" s="307">
        <f t="shared" si="18"/>
        <v>16.0780643395736</v>
      </c>
      <c r="AD29">
        <f t="shared" si="19"/>
        <v>7.13905548996458</v>
      </c>
    </row>
    <row r="30" spans="1:30">
      <c r="A30" s="264">
        <v>29</v>
      </c>
      <c r="B30" s="39" t="s">
        <v>87</v>
      </c>
      <c r="C30" s="39" t="s">
        <v>88</v>
      </c>
      <c r="D30" s="44">
        <v>39.3</v>
      </c>
      <c r="E30" s="279">
        <v>399</v>
      </c>
      <c r="F30" s="39">
        <v>399</v>
      </c>
      <c r="G30" s="39">
        <v>24.74</v>
      </c>
      <c r="H30" s="39">
        <v>2.77</v>
      </c>
      <c r="I30" s="39">
        <f t="shared" si="1"/>
        <v>27.51</v>
      </c>
      <c r="J30" s="273">
        <f t="shared" si="2"/>
        <v>9871.26</v>
      </c>
      <c r="K30" s="273">
        <f t="shared" si="3"/>
        <v>1105.23</v>
      </c>
      <c r="L30" s="273">
        <f t="shared" si="4"/>
        <v>10976.49</v>
      </c>
      <c r="M30" s="273">
        <f t="shared" si="5"/>
        <v>15680.7</v>
      </c>
      <c r="N30" s="273">
        <f t="shared" si="6"/>
        <v>16476.3463791509</v>
      </c>
      <c r="O30" s="80">
        <f t="shared" si="7"/>
        <v>781.682225605131</v>
      </c>
      <c r="P30" s="80">
        <f t="shared" si="8"/>
        <v>17258.0286047561</v>
      </c>
      <c r="Q30" s="80">
        <v>3.136</v>
      </c>
      <c r="R30" s="80">
        <f t="shared" si="9"/>
        <v>1251.264</v>
      </c>
      <c r="S30" s="80">
        <f t="shared" si="10"/>
        <v>2119.55744514688</v>
      </c>
      <c r="T30" s="80">
        <f t="shared" si="11"/>
        <v>1313.05425892251</v>
      </c>
      <c r="U30" s="80">
        <f t="shared" si="12"/>
        <v>3806.74274027273</v>
      </c>
      <c r="V30" s="80">
        <f t="shared" si="13"/>
        <v>586.472569985022</v>
      </c>
      <c r="W30" s="80">
        <f t="shared" si="14"/>
        <v>5706.26956918026</v>
      </c>
      <c r="X30" s="80">
        <f t="shared" si="15"/>
        <v>25083.8556190832</v>
      </c>
      <c r="Y30" s="39"/>
      <c r="Z30" s="273"/>
      <c r="AA30" s="306"/>
      <c r="AB30" s="306">
        <f t="shared" si="17"/>
        <v>62.8668060628652</v>
      </c>
      <c r="AC30" s="307">
        <f t="shared" si="18"/>
        <v>66.0101463660085</v>
      </c>
      <c r="AD30">
        <f t="shared" si="19"/>
        <v>27.51</v>
      </c>
    </row>
    <row r="31" spans="1:30">
      <c r="A31" s="264">
        <v>30</v>
      </c>
      <c r="B31" s="39" t="s">
        <v>89</v>
      </c>
      <c r="C31" s="39" t="s">
        <v>90</v>
      </c>
      <c r="D31" s="44">
        <v>39.8</v>
      </c>
      <c r="E31" s="279">
        <v>446</v>
      </c>
      <c r="F31" s="39">
        <v>443</v>
      </c>
      <c r="G31" s="39">
        <v>25.09</v>
      </c>
      <c r="H31" s="39">
        <v>2.77</v>
      </c>
      <c r="I31" s="39">
        <f t="shared" si="1"/>
        <v>27.86</v>
      </c>
      <c r="J31" s="273">
        <f t="shared" si="2"/>
        <v>11190.14</v>
      </c>
      <c r="K31" s="273">
        <f t="shared" si="3"/>
        <v>1235.42</v>
      </c>
      <c r="L31" s="273">
        <f t="shared" si="4"/>
        <v>12425.56</v>
      </c>
      <c r="M31" s="273">
        <f t="shared" si="5"/>
        <v>17631.4</v>
      </c>
      <c r="N31" s="273">
        <f t="shared" si="6"/>
        <v>18677.7192244143</v>
      </c>
      <c r="O31" s="80">
        <f t="shared" si="7"/>
        <v>873.760081754106</v>
      </c>
      <c r="P31" s="80">
        <f t="shared" si="8"/>
        <v>19551.4793061684</v>
      </c>
      <c r="Q31" s="80">
        <v>3.136</v>
      </c>
      <c r="R31" s="80">
        <f t="shared" si="9"/>
        <v>1398.656</v>
      </c>
      <c r="S31" s="80">
        <f t="shared" si="10"/>
        <v>2369.22962540228</v>
      </c>
      <c r="T31" s="80">
        <f t="shared" si="11"/>
        <v>1487.54841929773</v>
      </c>
      <c r="U31" s="80">
        <f t="shared" si="12"/>
        <v>4312.62768273764</v>
      </c>
      <c r="V31" s="80">
        <f t="shared" si="13"/>
        <v>664.409972790148</v>
      </c>
      <c r="W31" s="80">
        <f t="shared" si="14"/>
        <v>6464.58607482552</v>
      </c>
      <c r="X31" s="80">
        <f t="shared" si="15"/>
        <v>28385.2950063962</v>
      </c>
      <c r="Y31" s="39"/>
      <c r="Z31" s="273"/>
      <c r="AA31" s="306"/>
      <c r="AB31" s="306">
        <f t="shared" si="17"/>
        <v>64.0751580279824</v>
      </c>
      <c r="AC31" s="307">
        <f t="shared" si="18"/>
        <v>67.2789159293816</v>
      </c>
      <c r="AD31">
        <f t="shared" si="19"/>
        <v>28.0486681715576</v>
      </c>
    </row>
    <row r="32" spans="1:30">
      <c r="A32" s="264">
        <v>31</v>
      </c>
      <c r="B32" s="39" t="s">
        <v>91</v>
      </c>
      <c r="C32" s="39" t="s">
        <v>92</v>
      </c>
      <c r="D32" s="44">
        <v>34.26</v>
      </c>
      <c r="E32" s="279">
        <v>284</v>
      </c>
      <c r="F32" s="39">
        <v>284</v>
      </c>
      <c r="G32" s="39">
        <v>21.22</v>
      </c>
      <c r="H32" s="39">
        <v>2.77</v>
      </c>
      <c r="I32" s="39">
        <f t="shared" si="1"/>
        <v>23.99</v>
      </c>
      <c r="J32" s="273">
        <f t="shared" si="2"/>
        <v>6026.48</v>
      </c>
      <c r="K32" s="273">
        <f t="shared" si="3"/>
        <v>786.68</v>
      </c>
      <c r="L32" s="273">
        <f t="shared" si="4"/>
        <v>6813.16</v>
      </c>
      <c r="M32" s="273">
        <f t="shared" si="5"/>
        <v>9729.84</v>
      </c>
      <c r="N32" s="273">
        <f t="shared" si="6"/>
        <v>10058.9359339158</v>
      </c>
      <c r="O32" s="80">
        <f t="shared" si="7"/>
        <v>556.385343538489</v>
      </c>
      <c r="P32" s="80">
        <f t="shared" si="8"/>
        <v>10615.3212774543</v>
      </c>
      <c r="Q32" s="80">
        <v>3.136</v>
      </c>
      <c r="R32" s="80">
        <f t="shared" si="9"/>
        <v>890.624</v>
      </c>
      <c r="S32" s="80">
        <f t="shared" si="10"/>
        <v>1508.65742962836</v>
      </c>
      <c r="T32" s="80">
        <f t="shared" si="11"/>
        <v>807.652666038047</v>
      </c>
      <c r="U32" s="80">
        <f t="shared" si="12"/>
        <v>2341.5071404781</v>
      </c>
      <c r="V32" s="80">
        <f t="shared" si="13"/>
        <v>360.736147411971</v>
      </c>
      <c r="W32" s="80">
        <f t="shared" si="14"/>
        <v>3509.89595392812</v>
      </c>
      <c r="X32" s="80">
        <f t="shared" si="15"/>
        <v>15633.8746610108</v>
      </c>
      <c r="Y32" s="39"/>
      <c r="Z32" s="273"/>
      <c r="AA32" s="306"/>
      <c r="AB32" s="306">
        <f t="shared" si="17"/>
        <v>55.0488544401787</v>
      </c>
      <c r="AC32" s="307">
        <f t="shared" si="18"/>
        <v>57.8012971621877</v>
      </c>
      <c r="AD32">
        <f t="shared" si="19"/>
        <v>23.99</v>
      </c>
    </row>
    <row r="33" spans="1:30">
      <c r="A33" s="264">
        <v>32</v>
      </c>
      <c r="B33" s="39" t="s">
        <v>93</v>
      </c>
      <c r="C33" s="39" t="s">
        <v>94</v>
      </c>
      <c r="D33" s="44">
        <v>34.26</v>
      </c>
      <c r="E33" s="279">
        <v>192</v>
      </c>
      <c r="F33" s="39">
        <v>192</v>
      </c>
      <c r="G33" s="39">
        <v>21.22</v>
      </c>
      <c r="H33" s="39">
        <v>2.77</v>
      </c>
      <c r="I33" s="39">
        <f t="shared" si="1"/>
        <v>23.99</v>
      </c>
      <c r="J33" s="273">
        <f t="shared" si="2"/>
        <v>4074.24</v>
      </c>
      <c r="K33" s="273">
        <f t="shared" si="3"/>
        <v>531.84</v>
      </c>
      <c r="L33" s="273">
        <f t="shared" si="4"/>
        <v>4606.08</v>
      </c>
      <c r="M33" s="273">
        <f t="shared" si="5"/>
        <v>6577.92</v>
      </c>
      <c r="N33" s="273">
        <f t="shared" si="6"/>
        <v>6800.40739194307</v>
      </c>
      <c r="O33" s="80">
        <f t="shared" si="7"/>
        <v>376.147837885176</v>
      </c>
      <c r="P33" s="80">
        <f t="shared" si="8"/>
        <v>7176.55522982824</v>
      </c>
      <c r="Q33" s="80">
        <v>3.136</v>
      </c>
      <c r="R33" s="80">
        <f t="shared" si="9"/>
        <v>602.112</v>
      </c>
      <c r="S33" s="80">
        <f t="shared" si="10"/>
        <v>1019.93741721354</v>
      </c>
      <c r="T33" s="80">
        <f t="shared" si="11"/>
        <v>546.01870380037</v>
      </c>
      <c r="U33" s="80">
        <f t="shared" si="12"/>
        <v>1582.99074285844</v>
      </c>
      <c r="V33" s="80">
        <f t="shared" si="13"/>
        <v>243.877958813727</v>
      </c>
      <c r="W33" s="80">
        <f t="shared" si="14"/>
        <v>2372.88740547253</v>
      </c>
      <c r="X33" s="80">
        <f t="shared" si="15"/>
        <v>10569.3800525143</v>
      </c>
      <c r="Y33" s="39"/>
      <c r="Z33" s="273"/>
      <c r="AA33" s="306"/>
      <c r="AB33" s="306">
        <f t="shared" si="17"/>
        <v>55.0488544401787</v>
      </c>
      <c r="AC33" s="307">
        <f t="shared" si="18"/>
        <v>57.8012971621876</v>
      </c>
      <c r="AD33">
        <f t="shared" si="19"/>
        <v>23.99</v>
      </c>
    </row>
    <row r="34" spans="1:29">
      <c r="A34" s="264"/>
      <c r="B34" s="39"/>
      <c r="C34" s="39" t="s">
        <v>95</v>
      </c>
      <c r="D34" s="39"/>
      <c r="E34" s="279"/>
      <c r="F34" s="39">
        <f t="shared" ref="F34:O34" si="21">SUM(F4:F33)</f>
        <v>262154</v>
      </c>
      <c r="G34" s="39"/>
      <c r="H34" s="39"/>
      <c r="I34" s="39"/>
      <c r="J34" s="273">
        <f t="shared" si="21"/>
        <v>605362.13</v>
      </c>
      <c r="K34" s="273">
        <f t="shared" si="21"/>
        <v>1637906.71516634</v>
      </c>
      <c r="L34" s="273">
        <f t="shared" si="21"/>
        <v>2243268.84516634</v>
      </c>
      <c r="M34" s="273">
        <f t="shared" si="21"/>
        <v>3076232.5</v>
      </c>
      <c r="N34" s="273">
        <f t="shared" si="21"/>
        <v>1010423.81</v>
      </c>
      <c r="O34" s="273">
        <f t="shared" si="21"/>
        <v>1158421.83658136</v>
      </c>
      <c r="P34" s="80">
        <f t="shared" si="8"/>
        <v>2168845.64658136</v>
      </c>
      <c r="Q34" s="80"/>
      <c r="R34" s="80">
        <f>SUM(R4:R33)</f>
        <v>927394.80659895</v>
      </c>
      <c r="S34" s="80">
        <f>SUM(S4:S33)</f>
        <v>1570944.71423885</v>
      </c>
      <c r="T34" s="80">
        <v>165013.75</v>
      </c>
      <c r="U34" s="80">
        <v>478399.8</v>
      </c>
      <c r="V34" s="80">
        <v>73703</v>
      </c>
      <c r="W34" s="80">
        <f t="shared" si="14"/>
        <v>717116.55</v>
      </c>
      <c r="X34" s="80">
        <f t="shared" si="15"/>
        <v>4456906.91082021</v>
      </c>
      <c r="Y34" s="39"/>
      <c r="Z34" s="273">
        <f>SUM(Z4:Z33)</f>
        <v>180600</v>
      </c>
      <c r="AA34" s="273"/>
      <c r="AB34" s="273"/>
      <c r="AC34" s="80"/>
    </row>
    <row r="36" spans="10:24">
      <c r="J36" s="255">
        <v>605206.03</v>
      </c>
      <c r="K36" s="255">
        <v>3606615.22833611</v>
      </c>
      <c r="L36" s="255">
        <v>4211821.25833611</v>
      </c>
      <c r="M36" s="255">
        <v>3076232.5</v>
      </c>
      <c r="N36" s="255">
        <v>1010423.81</v>
      </c>
      <c r="O36" s="59">
        <v>1158421.83946557</v>
      </c>
      <c r="P36" s="59">
        <v>2168845.64946557</v>
      </c>
      <c r="R36" s="59">
        <v>881667.192</v>
      </c>
      <c r="S36" s="59">
        <v>1570944.72356358</v>
      </c>
      <c r="T36" s="59">
        <v>165013.75</v>
      </c>
      <c r="U36" s="59">
        <v>478399.8</v>
      </c>
      <c r="V36" s="59">
        <v>73703</v>
      </c>
      <c r="W36" s="59">
        <v>717116.55</v>
      </c>
      <c r="X36" s="59">
        <v>4456906.92302915</v>
      </c>
    </row>
  </sheetData>
  <mergeCells count="12">
    <mergeCell ref="E2:F2"/>
    <mergeCell ref="G2:I2"/>
    <mergeCell ref="J2:L2"/>
    <mergeCell ref="N2:P2"/>
    <mergeCell ref="Q2:S2"/>
    <mergeCell ref="T2:W2"/>
    <mergeCell ref="Y2:Z2"/>
    <mergeCell ref="B2:B3"/>
    <mergeCell ref="C2:C3"/>
    <mergeCell ref="M2:M3"/>
    <mergeCell ref="AA2:AA3"/>
    <mergeCell ref="AD2:AD3"/>
  </mergeCells>
  <pageMargins left="0.75" right="0.75" top="1" bottom="1" header="0.5" footer="0.5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I14" sqref="I14"/>
    </sheetView>
  </sheetViews>
  <sheetFormatPr defaultColWidth="9" defaultRowHeight="14.4" outlineLevelCol="4"/>
  <cols>
    <col min="1" max="1" width="11.4444444444444" customWidth="1"/>
    <col min="2" max="2" width="24.7314814814815" customWidth="1"/>
    <col min="3" max="3" width="8.90740740740741" customWidth="1"/>
  </cols>
  <sheetData>
    <row r="1" ht="22" customHeight="1" spans="1:2">
      <c r="A1" t="s">
        <v>421</v>
      </c>
      <c r="B1" t="s">
        <v>422</v>
      </c>
    </row>
    <row r="2" ht="19" customHeight="1" spans="1:5">
      <c r="A2" s="38" t="s">
        <v>143</v>
      </c>
      <c r="B2" s="38" t="s">
        <v>144</v>
      </c>
      <c r="C2" s="38" t="s">
        <v>472</v>
      </c>
      <c r="D2" s="39" t="s">
        <v>474</v>
      </c>
      <c r="E2" s="39" t="s">
        <v>19</v>
      </c>
    </row>
    <row r="3" ht="19" customHeight="1" spans="1:5">
      <c r="A3" s="39" t="s">
        <v>177</v>
      </c>
      <c r="B3" s="39" t="s">
        <v>178</v>
      </c>
      <c r="C3" s="39">
        <v>3</v>
      </c>
      <c r="D3" s="39" t="s">
        <v>481</v>
      </c>
      <c r="E3" s="39">
        <f>VLOOKUP(A3,材料价格!A:D,3,FALSE)</f>
        <v>0.0874</v>
      </c>
    </row>
    <row r="4" ht="19" customHeight="1" spans="1:5">
      <c r="A4" s="39" t="s">
        <v>180</v>
      </c>
      <c r="B4" s="39" t="s">
        <v>181</v>
      </c>
      <c r="C4" s="39">
        <v>3</v>
      </c>
      <c r="D4" s="39" t="s">
        <v>481</v>
      </c>
      <c r="E4" s="39">
        <f>VLOOKUP(A4,材料价格!A:D,3,FALSE)</f>
        <v>0.1074</v>
      </c>
    </row>
    <row r="5" ht="19" customHeight="1" spans="1:5">
      <c r="A5" s="39" t="s">
        <v>182</v>
      </c>
      <c r="B5" s="39" t="s">
        <v>181</v>
      </c>
      <c r="C5" s="39">
        <v>3</v>
      </c>
      <c r="D5" s="39" t="s">
        <v>481</v>
      </c>
      <c r="E5" s="39">
        <f>VLOOKUP(A5,材料价格!A:D,3,FALSE)</f>
        <v>0.1482</v>
      </c>
    </row>
    <row r="6" ht="19" customHeight="1" spans="1:5">
      <c r="A6" s="39" t="s">
        <v>183</v>
      </c>
      <c r="B6" s="39" t="s">
        <v>184</v>
      </c>
      <c r="C6" s="39">
        <v>1</v>
      </c>
      <c r="D6" s="39" t="s">
        <v>481</v>
      </c>
      <c r="E6" s="39">
        <f>VLOOKUP(A6,材料价格!A:D,3,FALSE)</f>
        <v>11.26</v>
      </c>
    </row>
    <row r="7" ht="19" customHeight="1" spans="1:5">
      <c r="A7" s="39" t="s">
        <v>186</v>
      </c>
      <c r="B7" s="39" t="s">
        <v>187</v>
      </c>
      <c r="C7" s="39">
        <v>1</v>
      </c>
      <c r="D7" s="39" t="s">
        <v>481</v>
      </c>
      <c r="E7" s="39">
        <f>VLOOKUP(A7,材料价格!A:D,3,FALSE)</f>
        <v>1.5</v>
      </c>
    </row>
    <row r="8" ht="19" customHeight="1" spans="1:5">
      <c r="A8" s="39" t="s">
        <v>189</v>
      </c>
      <c r="B8" s="39" t="s">
        <v>190</v>
      </c>
      <c r="C8" s="39">
        <v>1</v>
      </c>
      <c r="D8" s="39" t="s">
        <v>481</v>
      </c>
      <c r="E8" s="39">
        <f>VLOOKUP(A8,材料价格!A:D,3,FALSE)</f>
        <v>1.84</v>
      </c>
    </row>
    <row r="9" ht="19" customHeight="1" spans="1:5">
      <c r="A9" s="39" t="s">
        <v>192</v>
      </c>
      <c r="B9" s="39" t="s">
        <v>193</v>
      </c>
      <c r="C9" s="39">
        <v>1</v>
      </c>
      <c r="D9" s="39" t="s">
        <v>481</v>
      </c>
      <c r="E9" s="39">
        <f>VLOOKUP(A9,材料价格!A:D,3,FALSE)</f>
        <v>0.135</v>
      </c>
    </row>
    <row r="10" ht="19" customHeight="1" spans="1:5">
      <c r="A10" s="39" t="s">
        <v>195</v>
      </c>
      <c r="B10" s="39" t="s">
        <v>196</v>
      </c>
      <c r="C10" s="39">
        <v>1</v>
      </c>
      <c r="D10" s="39" t="s">
        <v>481</v>
      </c>
      <c r="E10" s="39">
        <f>VLOOKUP(A10,材料价格!A:D,3,FALSE)</f>
        <v>10.8</v>
      </c>
    </row>
    <row r="11" ht="19" customHeight="1" spans="1:5">
      <c r="A11" s="39" t="s">
        <v>198</v>
      </c>
      <c r="B11" s="39" t="s">
        <v>199</v>
      </c>
      <c r="C11" s="39">
        <v>1</v>
      </c>
      <c r="D11" s="39" t="s">
        <v>481</v>
      </c>
      <c r="E11" s="39">
        <f>VLOOKUP(A11,材料价格!A:D,3,FALSE)</f>
        <v>0</v>
      </c>
    </row>
    <row r="12" ht="19" customHeight="1" spans="1:5">
      <c r="A12" s="39" t="s">
        <v>200</v>
      </c>
      <c r="B12" s="39" t="s">
        <v>201</v>
      </c>
      <c r="C12" s="39">
        <v>1</v>
      </c>
      <c r="D12" s="39" t="s">
        <v>481</v>
      </c>
      <c r="E12" s="39">
        <f>VLOOKUP(A12,材料价格!A:D,3,FALSE)</f>
        <v>2.97</v>
      </c>
    </row>
    <row r="13" ht="19" customHeight="1" spans="1:5">
      <c r="A13" s="39" t="s">
        <v>203</v>
      </c>
      <c r="B13" s="39" t="s">
        <v>204</v>
      </c>
      <c r="C13" s="39">
        <v>1</v>
      </c>
      <c r="D13" s="39" t="s">
        <v>481</v>
      </c>
      <c r="E13" s="39">
        <f>VLOOKUP(A13,材料价格!A:D,3,FALSE)</f>
        <v>17.1</v>
      </c>
    </row>
    <row r="14" ht="19" customHeight="1" spans="1:5">
      <c r="A14" s="39" t="s">
        <v>206</v>
      </c>
      <c r="B14" s="39" t="s">
        <v>207</v>
      </c>
      <c r="C14" s="39">
        <v>1</v>
      </c>
      <c r="D14" s="39" t="s">
        <v>481</v>
      </c>
      <c r="E14" s="39">
        <f>VLOOKUP(A14,材料价格!A:D,3,FALSE)</f>
        <v>4.015</v>
      </c>
    </row>
    <row r="15" ht="19" customHeight="1" spans="1:5">
      <c r="A15" s="39" t="s">
        <v>208</v>
      </c>
      <c r="B15" s="39" t="s">
        <v>209</v>
      </c>
      <c r="C15" s="39">
        <v>1</v>
      </c>
      <c r="D15" s="39" t="s">
        <v>481</v>
      </c>
      <c r="E15" s="39">
        <f>VLOOKUP(A15,材料价格!A:D,3,FALSE)</f>
        <v>4.528</v>
      </c>
    </row>
    <row r="16" ht="19" customHeight="1" spans="1:5">
      <c r="A16" s="39" t="s">
        <v>210</v>
      </c>
      <c r="B16" s="39" t="s">
        <v>211</v>
      </c>
      <c r="C16" s="39">
        <v>1</v>
      </c>
      <c r="D16" s="39" t="s">
        <v>481</v>
      </c>
      <c r="E16" s="39">
        <f>VLOOKUP(A16,材料价格!A:D,3,FALSE)</f>
        <v>6.5</v>
      </c>
    </row>
    <row r="17" ht="19" customHeight="1" spans="1:5">
      <c r="A17" s="39" t="s">
        <v>212</v>
      </c>
      <c r="B17" s="39" t="s">
        <v>213</v>
      </c>
      <c r="C17" s="39">
        <v>1</v>
      </c>
      <c r="D17" s="39" t="s">
        <v>481</v>
      </c>
      <c r="E17" s="39">
        <f>VLOOKUP(A17,材料价格!A:D,3,FALSE)</f>
        <v>1.01351982962963</v>
      </c>
    </row>
    <row r="18" ht="19" customHeight="1" spans="1:5">
      <c r="A18" s="39" t="s">
        <v>214</v>
      </c>
      <c r="B18" s="39" t="s">
        <v>215</v>
      </c>
      <c r="C18" s="39">
        <v>1</v>
      </c>
      <c r="D18" s="39" t="s">
        <v>481</v>
      </c>
      <c r="E18" s="39">
        <f>VLOOKUP(A18,材料价格!A:D,3,FALSE)</f>
        <v>0.67</v>
      </c>
    </row>
    <row r="19" ht="19" customHeight="1" spans="1:5">
      <c r="A19" s="39" t="s">
        <v>217</v>
      </c>
      <c r="B19" s="39" t="s">
        <v>218</v>
      </c>
      <c r="C19" s="39">
        <v>1</v>
      </c>
      <c r="D19" s="39" t="s">
        <v>481</v>
      </c>
      <c r="E19" s="39">
        <f>VLOOKUP(A19,材料价格!A:D,3,FALSE)</f>
        <v>3.7</v>
      </c>
    </row>
    <row r="20" ht="19" customHeight="1" spans="1:5">
      <c r="A20" s="39" t="s">
        <v>220</v>
      </c>
      <c r="B20" s="39" t="s">
        <v>221</v>
      </c>
      <c r="C20" s="39">
        <v>1</v>
      </c>
      <c r="D20" s="39" t="s">
        <v>481</v>
      </c>
      <c r="E20" s="39">
        <f>VLOOKUP(A20,材料价格!A:D,3,FALSE)</f>
        <v>2.4</v>
      </c>
    </row>
    <row r="21" ht="19" customHeight="1" spans="1:5">
      <c r="A21" s="39" t="s">
        <v>223</v>
      </c>
      <c r="B21" s="39" t="s">
        <v>224</v>
      </c>
      <c r="C21" s="39">
        <v>1</v>
      </c>
      <c r="D21" s="39" t="s">
        <v>481</v>
      </c>
      <c r="E21" s="39">
        <f>VLOOKUP(A21,材料价格!A:D,3,FALSE)</f>
        <v>0.861</v>
      </c>
    </row>
    <row r="22" ht="19" customHeight="1" spans="1:5">
      <c r="A22" s="39" t="s">
        <v>65</v>
      </c>
      <c r="B22" s="39" t="s">
        <v>227</v>
      </c>
      <c r="C22" s="39">
        <v>1</v>
      </c>
      <c r="D22" s="39" t="s">
        <v>481</v>
      </c>
      <c r="E22" s="39">
        <f>VLOOKUP(A22,材料价格!A:D,3,FALSE)</f>
        <v>19.0750684242313</v>
      </c>
    </row>
    <row r="23" ht="19" customHeight="1" spans="1:5">
      <c r="A23" s="39" t="s">
        <v>25</v>
      </c>
      <c r="B23" s="39"/>
      <c r="C23" s="39"/>
      <c r="D23" s="39"/>
      <c r="E23" s="39">
        <f>SUMPRODUCT(C3:C22,E3:E22)</f>
        <v>89.3965882538609</v>
      </c>
    </row>
  </sheetData>
  <conditionalFormatting sqref="A2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E23" sqref="D3:E23"/>
    </sheetView>
  </sheetViews>
  <sheetFormatPr defaultColWidth="9" defaultRowHeight="14.4" outlineLevelCol="4"/>
  <cols>
    <col min="1" max="1" width="11.4444444444444" customWidth="1"/>
    <col min="2" max="2" width="34.3611111111111" customWidth="1"/>
    <col min="5" max="5" width="12.6388888888889"/>
  </cols>
  <sheetData>
    <row r="1" ht="26" customHeight="1" spans="1:2">
      <c r="A1" t="s">
        <v>423</v>
      </c>
      <c r="B1" t="s">
        <v>424</v>
      </c>
    </row>
    <row r="2" ht="25" customHeight="1" spans="1:5">
      <c r="A2" s="38" t="s">
        <v>143</v>
      </c>
      <c r="B2" s="38" t="s">
        <v>144</v>
      </c>
      <c r="C2" s="38" t="s">
        <v>472</v>
      </c>
      <c r="D2" s="39" t="s">
        <v>474</v>
      </c>
      <c r="E2" s="39" t="s">
        <v>19</v>
      </c>
    </row>
    <row r="3" ht="25" customHeight="1" spans="1:5">
      <c r="A3" s="41" t="s">
        <v>177</v>
      </c>
      <c r="B3" s="41" t="s">
        <v>178</v>
      </c>
      <c r="C3" s="39">
        <v>3</v>
      </c>
      <c r="D3" s="39" t="s">
        <v>481</v>
      </c>
      <c r="E3" s="39">
        <f>VLOOKUP(A3,材料价格!A:D,3,FALSE)</f>
        <v>0.0874</v>
      </c>
    </row>
    <row r="4" ht="25" customHeight="1" spans="1:5">
      <c r="A4" s="41" t="s">
        <v>180</v>
      </c>
      <c r="B4" s="41" t="s">
        <v>181</v>
      </c>
      <c r="C4" s="39">
        <v>3</v>
      </c>
      <c r="D4" s="39" t="s">
        <v>481</v>
      </c>
      <c r="E4" s="39">
        <f>VLOOKUP(A4,材料价格!A:D,3,FALSE)</f>
        <v>0.1074</v>
      </c>
    </row>
    <row r="5" ht="25" customHeight="1" spans="1:5">
      <c r="A5" s="41" t="s">
        <v>182</v>
      </c>
      <c r="B5" s="41" t="s">
        <v>181</v>
      </c>
      <c r="C5" s="39">
        <v>3</v>
      </c>
      <c r="D5" s="39" t="s">
        <v>481</v>
      </c>
      <c r="E5" s="39">
        <f>VLOOKUP(A5,材料价格!A:D,3,FALSE)</f>
        <v>0.1482</v>
      </c>
    </row>
    <row r="6" ht="25" customHeight="1" spans="1:5">
      <c r="A6" s="41" t="s">
        <v>183</v>
      </c>
      <c r="B6" s="41" t="s">
        <v>184</v>
      </c>
      <c r="C6" s="39">
        <v>1</v>
      </c>
      <c r="D6" s="39" t="s">
        <v>481</v>
      </c>
      <c r="E6" s="39">
        <f>VLOOKUP(A6,材料价格!A:D,3,FALSE)</f>
        <v>11.26</v>
      </c>
    </row>
    <row r="7" ht="25" customHeight="1" spans="1:5">
      <c r="A7" s="41" t="s">
        <v>186</v>
      </c>
      <c r="B7" s="41" t="s">
        <v>187</v>
      </c>
      <c r="C7" s="39">
        <v>1</v>
      </c>
      <c r="D7" s="39" t="s">
        <v>481</v>
      </c>
      <c r="E7" s="39">
        <f>VLOOKUP(A7,材料价格!A:D,3,FALSE)</f>
        <v>1.5</v>
      </c>
    </row>
    <row r="8" ht="25" customHeight="1" spans="1:5">
      <c r="A8" s="41" t="s">
        <v>189</v>
      </c>
      <c r="B8" s="41" t="s">
        <v>190</v>
      </c>
      <c r="C8" s="39">
        <v>1</v>
      </c>
      <c r="D8" s="39" t="s">
        <v>481</v>
      </c>
      <c r="E8" s="39">
        <f>VLOOKUP(A8,材料价格!A:D,3,FALSE)</f>
        <v>1.84</v>
      </c>
    </row>
    <row r="9" ht="25" customHeight="1" spans="1:5">
      <c r="A9" s="41" t="s">
        <v>192</v>
      </c>
      <c r="B9" s="41" t="s">
        <v>193</v>
      </c>
      <c r="C9" s="39">
        <v>1</v>
      </c>
      <c r="D9" s="39" t="s">
        <v>481</v>
      </c>
      <c r="E9" s="39">
        <f>VLOOKUP(A9,材料价格!A:D,3,FALSE)</f>
        <v>0.135</v>
      </c>
    </row>
    <row r="10" ht="25" customHeight="1" spans="1:5">
      <c r="A10" s="41" t="s">
        <v>195</v>
      </c>
      <c r="B10" s="41" t="s">
        <v>196</v>
      </c>
      <c r="C10" s="39">
        <v>1</v>
      </c>
      <c r="D10" s="39" t="s">
        <v>481</v>
      </c>
      <c r="E10" s="39">
        <f>VLOOKUP(A10,材料价格!A:D,3,FALSE)</f>
        <v>10.8</v>
      </c>
    </row>
    <row r="11" ht="25" customHeight="1" spans="1:5">
      <c r="A11" s="41" t="s">
        <v>198</v>
      </c>
      <c r="B11" s="41" t="s">
        <v>199</v>
      </c>
      <c r="C11" s="39">
        <v>1</v>
      </c>
      <c r="D11" s="39" t="s">
        <v>481</v>
      </c>
      <c r="E11" s="39">
        <f>VLOOKUP(A11,材料价格!A:D,3,FALSE)</f>
        <v>0</v>
      </c>
    </row>
    <row r="12" ht="25" customHeight="1" spans="1:5">
      <c r="A12" s="41" t="s">
        <v>200</v>
      </c>
      <c r="B12" s="41" t="s">
        <v>201</v>
      </c>
      <c r="C12" s="39">
        <v>1</v>
      </c>
      <c r="D12" s="39" t="s">
        <v>481</v>
      </c>
      <c r="E12" s="39">
        <f>VLOOKUP(A12,材料价格!A:D,3,FALSE)</f>
        <v>2.97</v>
      </c>
    </row>
    <row r="13" ht="25" customHeight="1" spans="1:5">
      <c r="A13" s="41" t="s">
        <v>203</v>
      </c>
      <c r="B13" s="41" t="s">
        <v>204</v>
      </c>
      <c r="C13" s="39">
        <v>1</v>
      </c>
      <c r="D13" s="39" t="s">
        <v>481</v>
      </c>
      <c r="E13" s="39">
        <f>VLOOKUP(A13,材料价格!A:D,3,FALSE)</f>
        <v>17.1</v>
      </c>
    </row>
    <row r="14" ht="25" customHeight="1" spans="1:5">
      <c r="A14" s="41" t="s">
        <v>206</v>
      </c>
      <c r="B14" s="41" t="s">
        <v>207</v>
      </c>
      <c r="C14" s="39">
        <v>1</v>
      </c>
      <c r="D14" s="39" t="s">
        <v>481</v>
      </c>
      <c r="E14" s="39">
        <f>VLOOKUP(A14,材料价格!A:D,3,FALSE)</f>
        <v>4.015</v>
      </c>
    </row>
    <row r="15" ht="25" customHeight="1" spans="1:5">
      <c r="A15" s="41" t="s">
        <v>208</v>
      </c>
      <c r="B15" s="41" t="s">
        <v>209</v>
      </c>
      <c r="C15" s="39">
        <v>1</v>
      </c>
      <c r="D15" s="39" t="s">
        <v>481</v>
      </c>
      <c r="E15" s="39">
        <f>VLOOKUP(A15,材料价格!A:D,3,FALSE)</f>
        <v>4.528</v>
      </c>
    </row>
    <row r="16" ht="25" customHeight="1" spans="1:5">
      <c r="A16" s="41" t="s">
        <v>210</v>
      </c>
      <c r="B16" s="41" t="s">
        <v>211</v>
      </c>
      <c r="C16" s="39">
        <v>1</v>
      </c>
      <c r="D16" s="39" t="s">
        <v>481</v>
      </c>
      <c r="E16" s="39">
        <f>VLOOKUP(A16,材料价格!A:D,3,FALSE)</f>
        <v>6.5</v>
      </c>
    </row>
    <row r="17" ht="25" customHeight="1" spans="1:5">
      <c r="A17" s="41" t="s">
        <v>212</v>
      </c>
      <c r="B17" s="41" t="s">
        <v>213</v>
      </c>
      <c r="C17" s="39">
        <v>1</v>
      </c>
      <c r="D17" s="39" t="s">
        <v>481</v>
      </c>
      <c r="E17" s="39">
        <f>VLOOKUP(A17,材料价格!A:D,3,FALSE)</f>
        <v>1.01351982962963</v>
      </c>
    </row>
    <row r="18" ht="25" customHeight="1" spans="1:5">
      <c r="A18" s="41" t="s">
        <v>214</v>
      </c>
      <c r="B18" s="41" t="s">
        <v>215</v>
      </c>
      <c r="C18" s="39">
        <v>1</v>
      </c>
      <c r="D18" s="39" t="s">
        <v>481</v>
      </c>
      <c r="E18" s="39">
        <f>VLOOKUP(A18,材料价格!A:D,3,FALSE)</f>
        <v>0.67</v>
      </c>
    </row>
    <row r="19" ht="25" customHeight="1" spans="1:5">
      <c r="A19" s="41" t="s">
        <v>217</v>
      </c>
      <c r="B19" s="41" t="s">
        <v>218</v>
      </c>
      <c r="C19" s="39">
        <v>1</v>
      </c>
      <c r="D19" s="39" t="s">
        <v>481</v>
      </c>
      <c r="E19" s="39">
        <f>VLOOKUP(A19,材料价格!A:D,3,FALSE)</f>
        <v>3.7</v>
      </c>
    </row>
    <row r="20" ht="25" customHeight="1" spans="1:5">
      <c r="A20" s="41" t="s">
        <v>220</v>
      </c>
      <c r="B20" s="41" t="s">
        <v>221</v>
      </c>
      <c r="C20" s="39">
        <v>1</v>
      </c>
      <c r="D20" s="39" t="s">
        <v>481</v>
      </c>
      <c r="E20" s="39">
        <f>VLOOKUP(A20,材料价格!A:D,3,FALSE)</f>
        <v>2.4</v>
      </c>
    </row>
    <row r="21" ht="25" customHeight="1" spans="1:5">
      <c r="A21" s="41" t="s">
        <v>223</v>
      </c>
      <c r="B21" s="41" t="s">
        <v>224</v>
      </c>
      <c r="C21" s="39">
        <v>1</v>
      </c>
      <c r="D21" s="39" t="s">
        <v>481</v>
      </c>
      <c r="E21" s="39">
        <f>VLOOKUP(A21,材料价格!A:D,3,FALSE)</f>
        <v>0.861</v>
      </c>
    </row>
    <row r="22" ht="25" customHeight="1" spans="1:5">
      <c r="A22" s="41" t="s">
        <v>61</v>
      </c>
      <c r="B22" s="41" t="s">
        <v>226</v>
      </c>
      <c r="C22" s="39">
        <v>1</v>
      </c>
      <c r="D22" s="39" t="s">
        <v>481</v>
      </c>
      <c r="E22" s="39">
        <f>VLOOKUP(A22,材料价格!A:D,3,FALSE)</f>
        <v>17.4824186309314</v>
      </c>
    </row>
    <row r="23" ht="22" customHeight="1" spans="1:5">
      <c r="A23" s="39" t="s">
        <v>25</v>
      </c>
      <c r="B23" s="39"/>
      <c r="C23" s="39"/>
      <c r="D23" s="39"/>
      <c r="E23" s="39">
        <f>SUMPRODUCT(C3:C22,E3:E22)</f>
        <v>87.803938460561</v>
      </c>
    </row>
  </sheetData>
  <conditionalFormatting sqref="A2">
    <cfRule type="duplicateValues" dxfId="0" priority="1"/>
  </conditionalFormatting>
  <conditionalFormatting sqref="A3:A12 A13:A21 A22">
    <cfRule type="duplicateValues" dxfId="1" priority="2"/>
    <cfRule type="duplicateValues" dxfId="1" priority="3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5" workbookViewId="0">
      <selection activeCell="D3" sqref="D3:E23"/>
    </sheetView>
  </sheetViews>
  <sheetFormatPr defaultColWidth="9" defaultRowHeight="14.4" outlineLevelCol="4"/>
  <cols>
    <col min="1" max="1" width="11.4444444444444" customWidth="1"/>
    <col min="2" max="2" width="34.3611111111111" customWidth="1"/>
  </cols>
  <sheetData>
    <row r="1" ht="26" customHeight="1" spans="1:2">
      <c r="A1" t="s">
        <v>425</v>
      </c>
      <c r="B1" t="s">
        <v>426</v>
      </c>
    </row>
    <row r="2" ht="25" customHeight="1" spans="1:5">
      <c r="A2" s="38" t="s">
        <v>143</v>
      </c>
      <c r="B2" s="38" t="s">
        <v>144</v>
      </c>
      <c r="C2" s="38" t="s">
        <v>472</v>
      </c>
      <c r="D2" s="39" t="s">
        <v>474</v>
      </c>
      <c r="E2" s="39" t="s">
        <v>19</v>
      </c>
    </row>
    <row r="3" ht="25" customHeight="1" spans="1:5">
      <c r="A3" s="41" t="s">
        <v>177</v>
      </c>
      <c r="B3" s="41" t="s">
        <v>178</v>
      </c>
      <c r="C3" s="39">
        <v>3</v>
      </c>
      <c r="D3" s="39" t="s">
        <v>481</v>
      </c>
      <c r="E3" s="39">
        <f>VLOOKUP(A3,材料价格!A:D,3,FALSE)</f>
        <v>0.0874</v>
      </c>
    </row>
    <row r="4" ht="25" customHeight="1" spans="1:5">
      <c r="A4" s="41" t="s">
        <v>180</v>
      </c>
      <c r="B4" s="41" t="s">
        <v>181</v>
      </c>
      <c r="C4" s="39">
        <v>3</v>
      </c>
      <c r="D4" s="39" t="s">
        <v>481</v>
      </c>
      <c r="E4" s="39">
        <f>VLOOKUP(A4,材料价格!A:D,3,FALSE)</f>
        <v>0.1074</v>
      </c>
    </row>
    <row r="5" ht="25" customHeight="1" spans="1:5">
      <c r="A5" s="41" t="s">
        <v>182</v>
      </c>
      <c r="B5" s="41" t="s">
        <v>181</v>
      </c>
      <c r="C5" s="39">
        <v>3</v>
      </c>
      <c r="D5" s="39" t="s">
        <v>481</v>
      </c>
      <c r="E5" s="39">
        <f>VLOOKUP(A5,材料价格!A:D,3,FALSE)</f>
        <v>0.1482</v>
      </c>
    </row>
    <row r="6" ht="25" customHeight="1" spans="1:5">
      <c r="A6" s="41" t="s">
        <v>183</v>
      </c>
      <c r="B6" s="41" t="s">
        <v>184</v>
      </c>
      <c r="C6" s="39">
        <v>1</v>
      </c>
      <c r="D6" s="39" t="s">
        <v>481</v>
      </c>
      <c r="E6" s="39">
        <f>VLOOKUP(A6,材料价格!A:D,3,FALSE)</f>
        <v>11.26</v>
      </c>
    </row>
    <row r="7" ht="25" customHeight="1" spans="1:5">
      <c r="A7" s="41" t="s">
        <v>186</v>
      </c>
      <c r="B7" s="41" t="s">
        <v>187</v>
      </c>
      <c r="C7" s="39">
        <v>1</v>
      </c>
      <c r="D7" s="39" t="s">
        <v>481</v>
      </c>
      <c r="E7" s="39">
        <f>VLOOKUP(A7,材料价格!A:D,3,FALSE)</f>
        <v>1.5</v>
      </c>
    </row>
    <row r="8" ht="25" customHeight="1" spans="1:5">
      <c r="A8" s="41" t="s">
        <v>189</v>
      </c>
      <c r="B8" s="41" t="s">
        <v>190</v>
      </c>
      <c r="C8" s="39">
        <v>1</v>
      </c>
      <c r="D8" s="39" t="s">
        <v>481</v>
      </c>
      <c r="E8" s="39">
        <f>VLOOKUP(A8,材料价格!A:D,3,FALSE)</f>
        <v>1.84</v>
      </c>
    </row>
    <row r="9" ht="25" customHeight="1" spans="1:5">
      <c r="A9" s="41" t="s">
        <v>192</v>
      </c>
      <c r="B9" s="41" t="s">
        <v>193</v>
      </c>
      <c r="C9" s="39">
        <v>1</v>
      </c>
      <c r="D9" s="39" t="s">
        <v>481</v>
      </c>
      <c r="E9" s="39">
        <f>VLOOKUP(A9,材料价格!A:D,3,FALSE)</f>
        <v>0.135</v>
      </c>
    </row>
    <row r="10" ht="25" customHeight="1" spans="1:5">
      <c r="A10" s="41" t="s">
        <v>195</v>
      </c>
      <c r="B10" s="41" t="s">
        <v>196</v>
      </c>
      <c r="C10" s="39">
        <v>1</v>
      </c>
      <c r="D10" s="39" t="s">
        <v>481</v>
      </c>
      <c r="E10" s="39">
        <f>VLOOKUP(A10,材料价格!A:D,3,FALSE)</f>
        <v>10.8</v>
      </c>
    </row>
    <row r="11" ht="25" customHeight="1" spans="1:5">
      <c r="A11" s="41" t="s">
        <v>198</v>
      </c>
      <c r="B11" s="41" t="s">
        <v>199</v>
      </c>
      <c r="C11" s="39">
        <v>1</v>
      </c>
      <c r="D11" s="39" t="s">
        <v>481</v>
      </c>
      <c r="E11" s="39">
        <f>VLOOKUP(A11,材料价格!A:D,3,FALSE)</f>
        <v>0</v>
      </c>
    </row>
    <row r="12" ht="25" customHeight="1" spans="1:5">
      <c r="A12" s="41" t="s">
        <v>200</v>
      </c>
      <c r="B12" s="41" t="s">
        <v>201</v>
      </c>
      <c r="C12" s="39">
        <v>1</v>
      </c>
      <c r="D12" s="39" t="s">
        <v>481</v>
      </c>
      <c r="E12" s="39">
        <f>VLOOKUP(A12,材料价格!A:D,3,FALSE)</f>
        <v>2.97</v>
      </c>
    </row>
    <row r="13" ht="25" customHeight="1" spans="1:5">
      <c r="A13" s="41" t="s">
        <v>203</v>
      </c>
      <c r="B13" s="41" t="s">
        <v>204</v>
      </c>
      <c r="C13" s="39">
        <v>1</v>
      </c>
      <c r="D13" s="39" t="s">
        <v>481</v>
      </c>
      <c r="E13" s="39">
        <f>VLOOKUP(A13,材料价格!A:D,3,FALSE)</f>
        <v>17.1</v>
      </c>
    </row>
    <row r="14" ht="25" customHeight="1" spans="1:5">
      <c r="A14" s="41" t="s">
        <v>206</v>
      </c>
      <c r="B14" s="41" t="s">
        <v>207</v>
      </c>
      <c r="C14" s="39">
        <v>1</v>
      </c>
      <c r="D14" s="39" t="s">
        <v>481</v>
      </c>
      <c r="E14" s="39">
        <f>VLOOKUP(A14,材料价格!A:D,3,FALSE)</f>
        <v>4.015</v>
      </c>
    </row>
    <row r="15" ht="25" customHeight="1" spans="1:5">
      <c r="A15" s="41" t="s">
        <v>208</v>
      </c>
      <c r="B15" s="41" t="s">
        <v>209</v>
      </c>
      <c r="C15" s="39">
        <v>1</v>
      </c>
      <c r="D15" s="39" t="s">
        <v>481</v>
      </c>
      <c r="E15" s="39">
        <f>VLOOKUP(A15,材料价格!A:D,3,FALSE)</f>
        <v>4.528</v>
      </c>
    </row>
    <row r="16" ht="25" customHeight="1" spans="1:5">
      <c r="A16" s="41" t="s">
        <v>210</v>
      </c>
      <c r="B16" s="41" t="s">
        <v>211</v>
      </c>
      <c r="C16" s="39">
        <v>1</v>
      </c>
      <c r="D16" s="39" t="s">
        <v>481</v>
      </c>
      <c r="E16" s="39">
        <f>VLOOKUP(A16,材料价格!A:D,3,FALSE)</f>
        <v>6.5</v>
      </c>
    </row>
    <row r="17" ht="25" customHeight="1" spans="1:5">
      <c r="A17" s="41" t="s">
        <v>212</v>
      </c>
      <c r="B17" s="41" t="s">
        <v>213</v>
      </c>
      <c r="C17" s="39">
        <v>1</v>
      </c>
      <c r="D17" s="39" t="s">
        <v>481</v>
      </c>
      <c r="E17" s="39">
        <f>VLOOKUP(A17,材料价格!A:D,3,FALSE)</f>
        <v>1.01351982962963</v>
      </c>
    </row>
    <row r="18" ht="25" customHeight="1" spans="1:5">
      <c r="A18" s="41" t="s">
        <v>214</v>
      </c>
      <c r="B18" s="41" t="s">
        <v>215</v>
      </c>
      <c r="C18" s="39">
        <v>1</v>
      </c>
      <c r="D18" s="39" t="s">
        <v>481</v>
      </c>
      <c r="E18" s="39">
        <f>VLOOKUP(A18,材料价格!A:D,3,FALSE)</f>
        <v>0.67</v>
      </c>
    </row>
    <row r="19" ht="25" customHeight="1" spans="1:5">
      <c r="A19" s="41" t="s">
        <v>217</v>
      </c>
      <c r="B19" s="41" t="s">
        <v>218</v>
      </c>
      <c r="C19" s="39">
        <v>1</v>
      </c>
      <c r="D19" s="39" t="s">
        <v>481</v>
      </c>
      <c r="E19" s="39">
        <f>VLOOKUP(A19,材料价格!A:D,3,FALSE)</f>
        <v>3.7</v>
      </c>
    </row>
    <row r="20" ht="25" customHeight="1" spans="1:5">
      <c r="A20" s="41" t="s">
        <v>220</v>
      </c>
      <c r="B20" s="41" t="s">
        <v>221</v>
      </c>
      <c r="C20" s="39">
        <v>1</v>
      </c>
      <c r="D20" s="39" t="s">
        <v>481</v>
      </c>
      <c r="E20" s="39">
        <f>VLOOKUP(A20,材料价格!A:D,3,FALSE)</f>
        <v>2.4</v>
      </c>
    </row>
    <row r="21" ht="25" customHeight="1" spans="1:5">
      <c r="A21" s="41" t="s">
        <v>223</v>
      </c>
      <c r="B21" s="41" t="s">
        <v>224</v>
      </c>
      <c r="C21" s="39">
        <v>1</v>
      </c>
      <c r="D21" s="39" t="s">
        <v>481</v>
      </c>
      <c r="E21" s="39">
        <f>VLOOKUP(A21,材料价格!A:D,3,FALSE)</f>
        <v>0.861</v>
      </c>
    </row>
    <row r="22" ht="25" customHeight="1" spans="1:5">
      <c r="A22" s="41" t="s">
        <v>57</v>
      </c>
      <c r="B22" s="41" t="s">
        <v>225</v>
      </c>
      <c r="C22" s="39">
        <v>1</v>
      </c>
      <c r="D22" s="39" t="s">
        <v>481</v>
      </c>
      <c r="E22" s="39">
        <f>VLOOKUP(A22,材料价格!A:D,3,FALSE)</f>
        <v>18.2741404934966</v>
      </c>
    </row>
    <row r="23" ht="25" customHeight="1" spans="1:5">
      <c r="A23" s="41"/>
      <c r="B23" s="41"/>
      <c r="C23" s="39"/>
      <c r="D23" s="39"/>
      <c r="E23" s="39">
        <f>SUMPRODUCT(C3:C22,E3:E22)</f>
        <v>88.5956603231262</v>
      </c>
    </row>
  </sheetData>
  <conditionalFormatting sqref="A2">
    <cfRule type="duplicateValues" dxfId="0" priority="3"/>
  </conditionalFormatting>
  <conditionalFormatting sqref="A23">
    <cfRule type="duplicateValues" dxfId="1" priority="1"/>
    <cfRule type="duplicateValues" dxfId="1" priority="2"/>
  </conditionalFormatting>
  <conditionalFormatting sqref="A3:A12 A13:A21 A22">
    <cfRule type="duplicateValues" dxfId="1" priority="4"/>
    <cfRule type="duplicateValues" dxfId="1" priority="5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F18" sqref="F18"/>
    </sheetView>
  </sheetViews>
  <sheetFormatPr defaultColWidth="9" defaultRowHeight="14.4" outlineLevelCol="4"/>
  <cols>
    <col min="1" max="1" width="11.4444444444444" customWidth="1"/>
    <col min="2" max="2" width="33.2592592592593" customWidth="1"/>
  </cols>
  <sheetData>
    <row r="1" ht="27" customHeight="1" spans="1:2">
      <c r="A1" t="s">
        <v>427</v>
      </c>
      <c r="B1" t="s">
        <v>428</v>
      </c>
    </row>
    <row r="2" ht="24" customHeight="1" spans="1:5">
      <c r="A2" s="38" t="s">
        <v>143</v>
      </c>
      <c r="B2" s="38" t="s">
        <v>144</v>
      </c>
      <c r="C2" s="38" t="s">
        <v>472</v>
      </c>
      <c r="D2" s="39" t="s">
        <v>474</v>
      </c>
      <c r="E2" s="39" t="s">
        <v>19</v>
      </c>
    </row>
    <row r="3" ht="24" customHeight="1" spans="1:5">
      <c r="A3" s="39" t="s">
        <v>177</v>
      </c>
      <c r="B3" s="39" t="s">
        <v>178</v>
      </c>
      <c r="C3" s="39">
        <v>3</v>
      </c>
      <c r="D3" s="39" t="s">
        <v>481</v>
      </c>
      <c r="E3" s="39">
        <f>VLOOKUP(A3,材料价格!A:D,3,FALSE)</f>
        <v>0.0874</v>
      </c>
    </row>
    <row r="4" ht="24" customHeight="1" spans="1:5">
      <c r="A4" s="39" t="s">
        <v>180</v>
      </c>
      <c r="B4" s="39" t="s">
        <v>181</v>
      </c>
      <c r="C4" s="39">
        <v>3</v>
      </c>
      <c r="D4" s="39" t="s">
        <v>481</v>
      </c>
      <c r="E4" s="39">
        <f>VLOOKUP(A4,材料价格!A:D,3,FALSE)</f>
        <v>0.1074</v>
      </c>
    </row>
    <row r="5" ht="24" customHeight="1" spans="1:5">
      <c r="A5" s="39" t="s">
        <v>182</v>
      </c>
      <c r="B5" s="39" t="s">
        <v>181</v>
      </c>
      <c r="C5" s="39">
        <v>3</v>
      </c>
      <c r="D5" s="39" t="s">
        <v>481</v>
      </c>
      <c r="E5" s="39">
        <f>VLOOKUP(A5,材料价格!A:D,3,FALSE)</f>
        <v>0.1482</v>
      </c>
    </row>
    <row r="6" ht="24" customHeight="1" spans="1:5">
      <c r="A6" s="39" t="s">
        <v>183</v>
      </c>
      <c r="B6" s="39" t="s">
        <v>184</v>
      </c>
      <c r="C6" s="39">
        <v>1</v>
      </c>
      <c r="D6" s="39" t="s">
        <v>481</v>
      </c>
      <c r="E6" s="39">
        <f>VLOOKUP(A6,材料价格!A:D,3,FALSE)</f>
        <v>11.26</v>
      </c>
    </row>
    <row r="7" ht="24" customHeight="1" spans="1:5">
      <c r="A7" s="39" t="s">
        <v>186</v>
      </c>
      <c r="B7" s="39" t="s">
        <v>187</v>
      </c>
      <c r="C7" s="39">
        <v>1</v>
      </c>
      <c r="D7" s="39" t="s">
        <v>481</v>
      </c>
      <c r="E7" s="39">
        <f>VLOOKUP(A7,材料价格!A:D,3,FALSE)</f>
        <v>1.5</v>
      </c>
    </row>
    <row r="8" ht="24" customHeight="1" spans="1:5">
      <c r="A8" s="39" t="s">
        <v>189</v>
      </c>
      <c r="B8" s="39" t="s">
        <v>190</v>
      </c>
      <c r="C8" s="39">
        <v>1</v>
      </c>
      <c r="D8" s="39" t="s">
        <v>481</v>
      </c>
      <c r="E8" s="39">
        <f>VLOOKUP(A8,材料价格!A:D,3,FALSE)</f>
        <v>1.84</v>
      </c>
    </row>
    <row r="9" ht="24" customHeight="1" spans="1:5">
      <c r="A9" s="39" t="s">
        <v>192</v>
      </c>
      <c r="B9" s="39" t="s">
        <v>193</v>
      </c>
      <c r="C9" s="39">
        <v>1</v>
      </c>
      <c r="D9" s="39" t="s">
        <v>481</v>
      </c>
      <c r="E9" s="39">
        <f>VLOOKUP(A9,材料价格!A:D,3,FALSE)</f>
        <v>0.135</v>
      </c>
    </row>
    <row r="10" ht="24" customHeight="1" spans="1:5">
      <c r="A10" s="39" t="s">
        <v>195</v>
      </c>
      <c r="B10" s="39" t="s">
        <v>196</v>
      </c>
      <c r="C10" s="39">
        <v>1</v>
      </c>
      <c r="D10" s="39" t="s">
        <v>481</v>
      </c>
      <c r="E10" s="39">
        <f>VLOOKUP(A10,材料价格!A:D,3,FALSE)</f>
        <v>10.8</v>
      </c>
    </row>
    <row r="11" ht="24" customHeight="1" spans="1:5">
      <c r="A11" s="39" t="s">
        <v>198</v>
      </c>
      <c r="B11" s="39" t="s">
        <v>199</v>
      </c>
      <c r="C11" s="39">
        <v>1</v>
      </c>
      <c r="D11" s="39" t="s">
        <v>481</v>
      </c>
      <c r="E11" s="39">
        <f>VLOOKUP(A11,材料价格!A:D,3,FALSE)</f>
        <v>0</v>
      </c>
    </row>
    <row r="12" ht="24" customHeight="1" spans="1:5">
      <c r="A12" s="39" t="s">
        <v>200</v>
      </c>
      <c r="B12" s="39" t="s">
        <v>201</v>
      </c>
      <c r="C12" s="39">
        <v>1</v>
      </c>
      <c r="D12" s="39" t="s">
        <v>481</v>
      </c>
      <c r="E12" s="39">
        <f>VLOOKUP(A12,材料价格!A:D,3,FALSE)</f>
        <v>2.97</v>
      </c>
    </row>
    <row r="13" ht="24" customHeight="1" spans="1:5">
      <c r="A13" s="39" t="s">
        <v>53</v>
      </c>
      <c r="B13" s="39" t="s">
        <v>202</v>
      </c>
      <c r="C13" s="39">
        <v>1</v>
      </c>
      <c r="D13" s="39" t="s">
        <v>481</v>
      </c>
      <c r="E13" s="39">
        <f>VLOOKUP(A13,材料价格!A:D,3,FALSE)</f>
        <v>17.6113035853025</v>
      </c>
    </row>
    <row r="14" ht="24" customHeight="1" spans="1:5">
      <c r="A14" s="39" t="s">
        <v>203</v>
      </c>
      <c r="B14" s="39" t="s">
        <v>204</v>
      </c>
      <c r="C14" s="39">
        <v>1</v>
      </c>
      <c r="D14" s="39" t="s">
        <v>481</v>
      </c>
      <c r="E14" s="39">
        <f>VLOOKUP(A14,材料价格!A:D,3,FALSE)</f>
        <v>17.1</v>
      </c>
    </row>
    <row r="15" ht="24" customHeight="1" spans="1:5">
      <c r="A15" s="39" t="s">
        <v>206</v>
      </c>
      <c r="B15" s="39" t="s">
        <v>207</v>
      </c>
      <c r="C15" s="39">
        <v>1</v>
      </c>
      <c r="D15" s="39" t="s">
        <v>481</v>
      </c>
      <c r="E15" s="39">
        <f>VLOOKUP(A15,材料价格!A:D,3,FALSE)</f>
        <v>4.015</v>
      </c>
    </row>
    <row r="16" ht="24" customHeight="1" spans="1:5">
      <c r="A16" s="39" t="s">
        <v>208</v>
      </c>
      <c r="B16" s="39" t="s">
        <v>209</v>
      </c>
      <c r="C16" s="39">
        <v>1</v>
      </c>
      <c r="D16" s="39" t="s">
        <v>481</v>
      </c>
      <c r="E16" s="39">
        <f>VLOOKUP(A16,材料价格!A:D,3,FALSE)</f>
        <v>4.528</v>
      </c>
    </row>
    <row r="17" ht="24" customHeight="1" spans="1:5">
      <c r="A17" s="39" t="s">
        <v>210</v>
      </c>
      <c r="B17" s="39" t="s">
        <v>211</v>
      </c>
      <c r="C17" s="39">
        <v>1</v>
      </c>
      <c r="D17" s="39" t="s">
        <v>481</v>
      </c>
      <c r="E17" s="39">
        <f>VLOOKUP(A17,材料价格!A:D,3,FALSE)</f>
        <v>6.5</v>
      </c>
    </row>
    <row r="18" ht="24" customHeight="1" spans="1:5">
      <c r="A18" s="39" t="s">
        <v>212</v>
      </c>
      <c r="B18" s="39" t="s">
        <v>213</v>
      </c>
      <c r="C18" s="39">
        <v>1</v>
      </c>
      <c r="D18" s="39" t="s">
        <v>481</v>
      </c>
      <c r="E18" s="39">
        <f>VLOOKUP(A18,材料价格!A:D,3,FALSE)</f>
        <v>1.01351982962963</v>
      </c>
    </row>
    <row r="19" ht="24" customHeight="1" spans="1:5">
      <c r="A19" s="39" t="s">
        <v>214</v>
      </c>
      <c r="B19" s="39" t="s">
        <v>215</v>
      </c>
      <c r="C19" s="39">
        <v>1</v>
      </c>
      <c r="D19" s="39" t="s">
        <v>481</v>
      </c>
      <c r="E19" s="39">
        <f>VLOOKUP(A19,材料价格!A:D,3,FALSE)</f>
        <v>0.67</v>
      </c>
    </row>
    <row r="20" ht="24" customHeight="1" spans="1:5">
      <c r="A20" s="39" t="s">
        <v>217</v>
      </c>
      <c r="B20" s="39" t="s">
        <v>218</v>
      </c>
      <c r="C20" s="39">
        <v>1</v>
      </c>
      <c r="D20" s="39" t="s">
        <v>481</v>
      </c>
      <c r="E20" s="39">
        <f>VLOOKUP(A20,材料价格!A:D,3,FALSE)</f>
        <v>3.7</v>
      </c>
    </row>
    <row r="21" ht="24" customHeight="1" spans="1:5">
      <c r="A21" s="39" t="s">
        <v>220</v>
      </c>
      <c r="B21" s="39" t="s">
        <v>221</v>
      </c>
      <c r="C21" s="39">
        <v>1</v>
      </c>
      <c r="D21" s="39" t="s">
        <v>481</v>
      </c>
      <c r="E21" s="39">
        <f>VLOOKUP(A21,材料价格!A:D,3,FALSE)</f>
        <v>2.4</v>
      </c>
    </row>
    <row r="22" ht="24" customHeight="1" spans="1:5">
      <c r="A22" s="39" t="s">
        <v>223</v>
      </c>
      <c r="B22" s="39" t="s">
        <v>224</v>
      </c>
      <c r="C22" s="39">
        <v>1</v>
      </c>
      <c r="D22" s="39" t="s">
        <v>481</v>
      </c>
      <c r="E22" s="39">
        <f>VLOOKUP(A22,材料价格!A:D,3,FALSE)</f>
        <v>0.861</v>
      </c>
    </row>
    <row r="23" ht="24" customHeight="1" spans="1:5">
      <c r="A23" s="39"/>
      <c r="B23" s="39"/>
      <c r="C23" s="39"/>
      <c r="D23" s="39"/>
      <c r="E23" s="39">
        <f>SUMPRODUCT(C3:C22,E3:E22)</f>
        <v>87.9328234149322</v>
      </c>
    </row>
    <row r="24" ht="24" customHeight="1"/>
  </sheetData>
  <conditionalFormatting sqref="A2">
    <cfRule type="duplicateValues" dxfId="0" priority="1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8" workbookViewId="0">
      <selection activeCell="B19" sqref="B19"/>
    </sheetView>
  </sheetViews>
  <sheetFormatPr defaultColWidth="9" defaultRowHeight="14.4" outlineLevelCol="4"/>
  <cols>
    <col min="1" max="1" width="11.4444444444444" customWidth="1"/>
    <col min="2" max="2" width="24.7314814814815" customWidth="1"/>
  </cols>
  <sheetData>
    <row r="1" ht="23" customHeight="1" spans="1:2">
      <c r="A1" t="s">
        <v>429</v>
      </c>
      <c r="B1" t="s">
        <v>430</v>
      </c>
    </row>
    <row r="2" ht="24" customHeight="1" spans="1:5">
      <c r="A2" s="38" t="s">
        <v>143</v>
      </c>
      <c r="B2" s="38" t="s">
        <v>144</v>
      </c>
      <c r="C2" s="38" t="s">
        <v>472</v>
      </c>
      <c r="D2" s="39" t="s">
        <v>474</v>
      </c>
      <c r="E2" s="39" t="s">
        <v>19</v>
      </c>
    </row>
    <row r="3" ht="24" customHeight="1" spans="1:5">
      <c r="A3" s="41" t="s">
        <v>177</v>
      </c>
      <c r="B3" s="41" t="s">
        <v>178</v>
      </c>
      <c r="C3" s="39">
        <v>3</v>
      </c>
      <c r="D3" s="39" t="s">
        <v>481</v>
      </c>
      <c r="E3" s="39">
        <f>VLOOKUP(A3,材料价格!A:D,3,FALSE)</f>
        <v>0.0874</v>
      </c>
    </row>
    <row r="4" ht="24" customHeight="1" spans="1:5">
      <c r="A4" s="41" t="s">
        <v>180</v>
      </c>
      <c r="B4" s="41" t="s">
        <v>181</v>
      </c>
      <c r="C4" s="39">
        <v>3</v>
      </c>
      <c r="D4" s="39" t="s">
        <v>481</v>
      </c>
      <c r="E4" s="39">
        <f>VLOOKUP(A4,材料价格!A:D,3,FALSE)</f>
        <v>0.1074</v>
      </c>
    </row>
    <row r="5" ht="24" customHeight="1" spans="1:5">
      <c r="A5" s="41" t="s">
        <v>182</v>
      </c>
      <c r="B5" s="41" t="s">
        <v>181</v>
      </c>
      <c r="C5" s="39">
        <v>3</v>
      </c>
      <c r="D5" s="39" t="s">
        <v>481</v>
      </c>
      <c r="E5" s="39">
        <f>VLOOKUP(A5,材料价格!A:D,3,FALSE)</f>
        <v>0.1482</v>
      </c>
    </row>
    <row r="6" ht="24" customHeight="1" spans="1:5">
      <c r="A6" s="41" t="s">
        <v>183</v>
      </c>
      <c r="B6" s="41" t="s">
        <v>184</v>
      </c>
      <c r="C6" s="39">
        <v>1</v>
      </c>
      <c r="D6" s="39" t="s">
        <v>481</v>
      </c>
      <c r="E6" s="39">
        <f>VLOOKUP(A6,材料价格!A:D,3,FALSE)</f>
        <v>11.26</v>
      </c>
    </row>
    <row r="7" ht="24" customHeight="1" spans="1:5">
      <c r="A7" s="41" t="s">
        <v>186</v>
      </c>
      <c r="B7" s="41" t="s">
        <v>187</v>
      </c>
      <c r="C7" s="39">
        <v>1</v>
      </c>
      <c r="D7" s="39" t="s">
        <v>481</v>
      </c>
      <c r="E7" s="39">
        <f>VLOOKUP(A7,材料价格!A:D,3,FALSE)</f>
        <v>1.5</v>
      </c>
    </row>
    <row r="8" ht="24" customHeight="1" spans="1:5">
      <c r="A8" s="41" t="s">
        <v>189</v>
      </c>
      <c r="B8" s="41" t="s">
        <v>190</v>
      </c>
      <c r="C8" s="39">
        <v>1</v>
      </c>
      <c r="D8" s="39" t="s">
        <v>481</v>
      </c>
      <c r="E8" s="39">
        <f>VLOOKUP(A8,材料价格!A:D,3,FALSE)</f>
        <v>1.84</v>
      </c>
    </row>
    <row r="9" ht="24" customHeight="1" spans="1:5">
      <c r="A9" s="41" t="s">
        <v>192</v>
      </c>
      <c r="B9" s="41" t="s">
        <v>193</v>
      </c>
      <c r="C9" s="39">
        <v>1</v>
      </c>
      <c r="D9" s="39" t="s">
        <v>481</v>
      </c>
      <c r="E9" s="39">
        <f>VLOOKUP(A9,材料价格!A:D,3,FALSE)</f>
        <v>0.135</v>
      </c>
    </row>
    <row r="10" ht="24" customHeight="1" spans="1:5">
      <c r="A10" s="41" t="s">
        <v>195</v>
      </c>
      <c r="B10" s="41" t="s">
        <v>196</v>
      </c>
      <c r="C10" s="39">
        <v>1</v>
      </c>
      <c r="D10" s="39" t="s">
        <v>481</v>
      </c>
      <c r="E10" s="39">
        <f>VLOOKUP(A10,材料价格!A:D,3,FALSE)</f>
        <v>10.8</v>
      </c>
    </row>
    <row r="11" ht="24" customHeight="1" spans="1:5">
      <c r="A11" s="41" t="s">
        <v>198</v>
      </c>
      <c r="B11" s="41" t="s">
        <v>199</v>
      </c>
      <c r="C11" s="39">
        <v>1</v>
      </c>
      <c r="D11" s="39" t="s">
        <v>481</v>
      </c>
      <c r="E11" s="39">
        <f>VLOOKUP(A11,材料价格!A:D,3,FALSE)</f>
        <v>0</v>
      </c>
    </row>
    <row r="12" ht="24" customHeight="1" spans="1:5">
      <c r="A12" s="41" t="s">
        <v>229</v>
      </c>
      <c r="B12" s="41" t="s">
        <v>230</v>
      </c>
      <c r="C12" s="39">
        <v>1</v>
      </c>
      <c r="D12" s="39" t="s">
        <v>481</v>
      </c>
      <c r="E12" s="39">
        <f>VLOOKUP(A12,材料价格!A:D,3,FALSE)</f>
        <v>2.97</v>
      </c>
    </row>
    <row r="13" ht="24" customHeight="1" spans="1:5">
      <c r="A13" s="41" t="s">
        <v>47</v>
      </c>
      <c r="B13" s="41" t="s">
        <v>231</v>
      </c>
      <c r="C13" s="39">
        <v>1</v>
      </c>
      <c r="D13" s="39" t="s">
        <v>481</v>
      </c>
      <c r="E13" s="39">
        <f>VLOOKUP(A13,材料价格!A:D,3,FALSE)</f>
        <v>16.9208484726002</v>
      </c>
    </row>
    <row r="14" ht="24" customHeight="1" spans="1:5">
      <c r="A14" s="41" t="s">
        <v>232</v>
      </c>
      <c r="B14" s="41" t="s">
        <v>233</v>
      </c>
      <c r="C14" s="39">
        <v>1</v>
      </c>
      <c r="D14" s="39" t="s">
        <v>481</v>
      </c>
      <c r="E14" s="39">
        <f>VLOOKUP(A14,材料价格!A:D,3,FALSE)</f>
        <v>17.1</v>
      </c>
    </row>
    <row r="15" ht="24" customHeight="1" spans="1:5">
      <c r="A15" s="41" t="s">
        <v>234</v>
      </c>
      <c r="B15" s="41" t="s">
        <v>235</v>
      </c>
      <c r="C15" s="39">
        <v>1</v>
      </c>
      <c r="D15" s="39" t="s">
        <v>481</v>
      </c>
      <c r="E15" s="39">
        <f>VLOOKUP(A15,材料价格!A:D,3,FALSE)</f>
        <v>4.015</v>
      </c>
    </row>
    <row r="16" ht="24" customHeight="1" spans="1:5">
      <c r="A16" s="41" t="s">
        <v>236</v>
      </c>
      <c r="B16" s="41" t="s">
        <v>237</v>
      </c>
      <c r="C16" s="39">
        <v>1</v>
      </c>
      <c r="D16" s="39" t="s">
        <v>481</v>
      </c>
      <c r="E16" s="39">
        <f>VLOOKUP(A16,材料价格!A:D,3,FALSE)</f>
        <v>4.528</v>
      </c>
    </row>
    <row r="17" ht="24" customHeight="1" spans="1:5">
      <c r="A17" s="41" t="s">
        <v>238</v>
      </c>
      <c r="B17" s="41" t="s">
        <v>239</v>
      </c>
      <c r="C17" s="39">
        <v>1</v>
      </c>
      <c r="D17" s="39" t="s">
        <v>481</v>
      </c>
      <c r="E17" s="39">
        <f>VLOOKUP(A17,材料价格!A:D,3,FALSE)</f>
        <v>6.5</v>
      </c>
    </row>
    <row r="18" ht="24" customHeight="1" spans="1:5">
      <c r="A18" s="41" t="s">
        <v>240</v>
      </c>
      <c r="B18" s="41" t="s">
        <v>241</v>
      </c>
      <c r="C18" s="39">
        <v>1</v>
      </c>
      <c r="D18" s="39" t="s">
        <v>481</v>
      </c>
      <c r="E18" s="39">
        <f>VLOOKUP(A18,材料价格!A:D,3,FALSE)</f>
        <v>1.01351982962963</v>
      </c>
    </row>
    <row r="19" ht="24" customHeight="1" spans="1:5">
      <c r="A19" s="41" t="s">
        <v>242</v>
      </c>
      <c r="B19" s="41" t="s">
        <v>243</v>
      </c>
      <c r="C19" s="39">
        <v>1</v>
      </c>
      <c r="D19" s="39" t="s">
        <v>481</v>
      </c>
      <c r="E19" s="39">
        <f>VLOOKUP(A19,材料价格!A:D,3,FALSE)</f>
        <v>0.67</v>
      </c>
    </row>
    <row r="20" ht="24" customHeight="1" spans="1:5">
      <c r="A20" s="41" t="s">
        <v>244</v>
      </c>
      <c r="B20" s="41" t="s">
        <v>245</v>
      </c>
      <c r="C20" s="39">
        <v>1</v>
      </c>
      <c r="D20" s="39" t="s">
        <v>481</v>
      </c>
      <c r="E20" s="39">
        <f>VLOOKUP(A20,材料价格!A:D,3,FALSE)</f>
        <v>2.4</v>
      </c>
    </row>
    <row r="21" ht="24" customHeight="1" spans="1:5">
      <c r="A21" s="41" t="s">
        <v>246</v>
      </c>
      <c r="B21" s="41" t="s">
        <v>247</v>
      </c>
      <c r="C21" s="39">
        <v>1</v>
      </c>
      <c r="D21" s="39" t="s">
        <v>481</v>
      </c>
      <c r="E21" s="39">
        <f>VLOOKUP(A21,材料价格!A:D,3,FALSE)</f>
        <v>3.7</v>
      </c>
    </row>
    <row r="22" ht="24" customHeight="1" spans="1:5">
      <c r="A22" s="41" t="s">
        <v>248</v>
      </c>
      <c r="B22" s="41" t="s">
        <v>249</v>
      </c>
      <c r="C22" s="39">
        <v>1</v>
      </c>
      <c r="D22" s="39" t="s">
        <v>481</v>
      </c>
      <c r="E22" s="39">
        <f>VLOOKUP(A22,材料价格!A:D,3,FALSE)</f>
        <v>0.861</v>
      </c>
    </row>
    <row r="23" ht="24" customHeight="1" spans="1:5">
      <c r="A23" s="41" t="s">
        <v>25</v>
      </c>
      <c r="B23" s="41"/>
      <c r="C23" s="39"/>
      <c r="D23" s="39"/>
      <c r="E23" s="39">
        <f>SUMPRODUCT(C3:C22,E3:E22)</f>
        <v>87.2423683022298</v>
      </c>
    </row>
  </sheetData>
  <conditionalFormatting sqref="A2">
    <cfRule type="duplicateValues" dxfId="0" priority="2"/>
  </conditionalFormatting>
  <conditionalFormatting sqref="A23">
    <cfRule type="duplicateValues" dxfId="1" priority="1"/>
  </conditionalFormatting>
  <conditionalFormatting sqref="A3:A11">
    <cfRule type="duplicateValues" dxfId="1" priority="4"/>
  </conditionalFormatting>
  <conditionalFormatting sqref="A3:A11 A12:A22">
    <cfRule type="duplicateValues" dxfId="1" priority="3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D3" sqref="D3:E23"/>
    </sheetView>
  </sheetViews>
  <sheetFormatPr defaultColWidth="9" defaultRowHeight="14.4" outlineLevelCol="4"/>
  <cols>
    <col min="1" max="1" width="11.4444444444444" customWidth="1"/>
    <col min="2" max="2" width="33.2592592592593" customWidth="1"/>
    <col min="3" max="3" width="8.90740740740741" customWidth="1"/>
    <col min="4" max="4" width="5.09259259259259" customWidth="1"/>
    <col min="5" max="5" width="7.73148148148148" customWidth="1"/>
  </cols>
  <sheetData>
    <row r="1" ht="20" customHeight="1" spans="1:2">
      <c r="A1" t="s">
        <v>431</v>
      </c>
      <c r="B1" t="s">
        <v>432</v>
      </c>
    </row>
    <row r="2" ht="20" customHeight="1" spans="1:5">
      <c r="A2" s="38" t="s">
        <v>143</v>
      </c>
      <c r="B2" s="38" t="s">
        <v>144</v>
      </c>
      <c r="C2" s="38" t="s">
        <v>472</v>
      </c>
      <c r="D2" s="39" t="s">
        <v>474</v>
      </c>
      <c r="E2" s="39" t="s">
        <v>19</v>
      </c>
    </row>
    <row r="3" ht="20" customHeight="1" spans="1:5">
      <c r="A3" s="39" t="s">
        <v>177</v>
      </c>
      <c r="B3" s="39" t="s">
        <v>178</v>
      </c>
      <c r="C3" s="39">
        <v>3</v>
      </c>
      <c r="D3" s="39" t="s">
        <v>481</v>
      </c>
      <c r="E3" s="39">
        <f>VLOOKUP(A3,材料价格!A:D,3,FALSE)</f>
        <v>0.0874</v>
      </c>
    </row>
    <row r="4" ht="20" customHeight="1" spans="1:5">
      <c r="A4" s="39" t="s">
        <v>180</v>
      </c>
      <c r="B4" s="39" t="s">
        <v>181</v>
      </c>
      <c r="C4" s="39">
        <v>3</v>
      </c>
      <c r="D4" s="39" t="s">
        <v>481</v>
      </c>
      <c r="E4" s="39">
        <f>VLOOKUP(A4,材料价格!A:D,3,FALSE)</f>
        <v>0.1074</v>
      </c>
    </row>
    <row r="5" ht="20" customHeight="1" spans="1:5">
      <c r="A5" s="39" t="s">
        <v>182</v>
      </c>
      <c r="B5" s="39" t="s">
        <v>181</v>
      </c>
      <c r="C5" s="39">
        <v>3</v>
      </c>
      <c r="D5" s="39" t="s">
        <v>481</v>
      </c>
      <c r="E5" s="39">
        <f>VLOOKUP(A5,材料价格!A:D,3,FALSE)</f>
        <v>0.1482</v>
      </c>
    </row>
    <row r="6" ht="20" customHeight="1" spans="1:5">
      <c r="A6" s="39" t="s">
        <v>183</v>
      </c>
      <c r="B6" s="39" t="s">
        <v>184</v>
      </c>
      <c r="C6" s="39">
        <v>1</v>
      </c>
      <c r="D6" s="39" t="s">
        <v>481</v>
      </c>
      <c r="E6" s="39">
        <f>VLOOKUP(A6,材料价格!A:D,3,FALSE)</f>
        <v>11.26</v>
      </c>
    </row>
    <row r="7" ht="20" customHeight="1" spans="1:5">
      <c r="A7" s="39" t="s">
        <v>186</v>
      </c>
      <c r="B7" s="39" t="s">
        <v>187</v>
      </c>
      <c r="C7" s="39">
        <v>1</v>
      </c>
      <c r="D7" s="39" t="s">
        <v>481</v>
      </c>
      <c r="E7" s="39">
        <f>VLOOKUP(A7,材料价格!A:D,3,FALSE)</f>
        <v>1.5</v>
      </c>
    </row>
    <row r="8" ht="20" customHeight="1" spans="1:5">
      <c r="A8" s="39" t="s">
        <v>189</v>
      </c>
      <c r="B8" s="39" t="s">
        <v>190</v>
      </c>
      <c r="C8" s="39">
        <v>1</v>
      </c>
      <c r="D8" s="39" t="s">
        <v>481</v>
      </c>
      <c r="E8" s="39">
        <f>VLOOKUP(A8,材料价格!A:D,3,FALSE)</f>
        <v>1.84</v>
      </c>
    </row>
    <row r="9" ht="20" customHeight="1" spans="1:5">
      <c r="A9" s="39" t="s">
        <v>192</v>
      </c>
      <c r="B9" s="39" t="s">
        <v>193</v>
      </c>
      <c r="C9" s="39">
        <v>1</v>
      </c>
      <c r="D9" s="39" t="s">
        <v>481</v>
      </c>
      <c r="E9" s="39">
        <f>VLOOKUP(A9,材料价格!A:D,3,FALSE)</f>
        <v>0.135</v>
      </c>
    </row>
    <row r="10" ht="20" customHeight="1" spans="1:5">
      <c r="A10" s="39" t="s">
        <v>195</v>
      </c>
      <c r="B10" s="39" t="s">
        <v>196</v>
      </c>
      <c r="C10" s="39">
        <v>1</v>
      </c>
      <c r="D10" s="39" t="s">
        <v>481</v>
      </c>
      <c r="E10" s="39">
        <f>VLOOKUP(A10,材料价格!A:D,3,FALSE)</f>
        <v>10.8</v>
      </c>
    </row>
    <row r="11" ht="20" customHeight="1" spans="1:5">
      <c r="A11" s="39" t="s">
        <v>198</v>
      </c>
      <c r="B11" s="39" t="s">
        <v>199</v>
      </c>
      <c r="C11" s="39">
        <v>1</v>
      </c>
      <c r="D11" s="39" t="s">
        <v>481</v>
      </c>
      <c r="E11" s="39">
        <f>VLOOKUP(A11,材料价格!A:D,3,FALSE)</f>
        <v>0</v>
      </c>
    </row>
    <row r="12" ht="20" customHeight="1" spans="1:5">
      <c r="A12" s="39" t="s">
        <v>229</v>
      </c>
      <c r="B12" s="39" t="s">
        <v>230</v>
      </c>
      <c r="C12" s="39">
        <v>1</v>
      </c>
      <c r="D12" s="39" t="s">
        <v>481</v>
      </c>
      <c r="E12" s="39">
        <f>VLOOKUP(A12,材料价格!A:D,3,FALSE)</f>
        <v>2.97</v>
      </c>
    </row>
    <row r="13" ht="20" customHeight="1" spans="1:5">
      <c r="A13" s="39" t="s">
        <v>232</v>
      </c>
      <c r="B13" s="39" t="s">
        <v>233</v>
      </c>
      <c r="C13" s="39">
        <v>1</v>
      </c>
      <c r="D13" s="39" t="s">
        <v>481</v>
      </c>
      <c r="E13" s="39">
        <f>VLOOKUP(A13,材料价格!A:D,3,FALSE)</f>
        <v>17.1</v>
      </c>
    </row>
    <row r="14" ht="20" customHeight="1" spans="1:5">
      <c r="A14" s="39" t="s">
        <v>234</v>
      </c>
      <c r="B14" s="39" t="s">
        <v>235</v>
      </c>
      <c r="C14" s="39">
        <v>1</v>
      </c>
      <c r="D14" s="39" t="s">
        <v>481</v>
      </c>
      <c r="E14" s="39">
        <f>VLOOKUP(A14,材料价格!A:D,3,FALSE)</f>
        <v>4.015</v>
      </c>
    </row>
    <row r="15" ht="20" customHeight="1" spans="1:5">
      <c r="A15" s="39" t="s">
        <v>236</v>
      </c>
      <c r="B15" s="39" t="s">
        <v>237</v>
      </c>
      <c r="C15" s="39">
        <v>1</v>
      </c>
      <c r="D15" s="39" t="s">
        <v>481</v>
      </c>
      <c r="E15" s="39">
        <f>VLOOKUP(A15,材料价格!A:D,3,FALSE)</f>
        <v>4.528</v>
      </c>
    </row>
    <row r="16" ht="20" customHeight="1" spans="1:5">
      <c r="A16" s="39" t="s">
        <v>238</v>
      </c>
      <c r="B16" s="39" t="s">
        <v>239</v>
      </c>
      <c r="C16" s="39">
        <v>1</v>
      </c>
      <c r="D16" s="39" t="s">
        <v>481</v>
      </c>
      <c r="E16" s="39">
        <f>VLOOKUP(A16,材料价格!A:D,3,FALSE)</f>
        <v>6.5</v>
      </c>
    </row>
    <row r="17" ht="20" customHeight="1" spans="1:5">
      <c r="A17" s="39" t="s">
        <v>240</v>
      </c>
      <c r="B17" s="39" t="s">
        <v>241</v>
      </c>
      <c r="C17" s="39">
        <v>1</v>
      </c>
      <c r="D17" s="39" t="s">
        <v>481</v>
      </c>
      <c r="E17" s="39">
        <f>VLOOKUP(A17,材料价格!A:D,3,FALSE)</f>
        <v>1.01351982962963</v>
      </c>
    </row>
    <row r="18" ht="20" customHeight="1" spans="1:5">
      <c r="A18" s="39" t="s">
        <v>242</v>
      </c>
      <c r="B18" s="39" t="s">
        <v>243</v>
      </c>
      <c r="C18" s="39">
        <v>1</v>
      </c>
      <c r="D18" s="39" t="s">
        <v>481</v>
      </c>
      <c r="E18" s="39">
        <f>VLOOKUP(A18,材料价格!A:D,3,FALSE)</f>
        <v>0.67</v>
      </c>
    </row>
    <row r="19" ht="20" customHeight="1" spans="1:5">
      <c r="A19" s="39" t="s">
        <v>244</v>
      </c>
      <c r="B19" s="39" t="s">
        <v>245</v>
      </c>
      <c r="C19" s="39">
        <v>1</v>
      </c>
      <c r="D19" s="39" t="s">
        <v>481</v>
      </c>
      <c r="E19" s="39">
        <f>VLOOKUP(A19,材料价格!A:D,3,FALSE)</f>
        <v>2.4</v>
      </c>
    </row>
    <row r="20" ht="20" customHeight="1" spans="1:5">
      <c r="A20" s="39" t="s">
        <v>246</v>
      </c>
      <c r="B20" s="39" t="s">
        <v>247</v>
      </c>
      <c r="C20" s="39">
        <v>1</v>
      </c>
      <c r="D20" s="39" t="s">
        <v>481</v>
      </c>
      <c r="E20" s="39">
        <f>VLOOKUP(A20,材料价格!A:D,3,FALSE)</f>
        <v>3.7</v>
      </c>
    </row>
    <row r="21" ht="20" customHeight="1" spans="1:5">
      <c r="A21" s="39" t="s">
        <v>248</v>
      </c>
      <c r="B21" s="39" t="s">
        <v>249</v>
      </c>
      <c r="C21" s="39">
        <v>1</v>
      </c>
      <c r="D21" s="39" t="s">
        <v>481</v>
      </c>
      <c r="E21" s="39">
        <f>VLOOKUP(A21,材料价格!A:D,3,FALSE)</f>
        <v>0.861</v>
      </c>
    </row>
    <row r="22" ht="20" customHeight="1" spans="1:5">
      <c r="A22" s="39" t="s">
        <v>63</v>
      </c>
      <c r="B22" s="39" t="s">
        <v>250</v>
      </c>
      <c r="C22" s="39">
        <v>1</v>
      </c>
      <c r="D22" s="39" t="s">
        <v>481</v>
      </c>
      <c r="E22" s="39">
        <f>VLOOKUP(A22,材料价格!A:D,3,FALSE)</f>
        <v>19.0750684242313</v>
      </c>
    </row>
    <row r="23" ht="20" customHeight="1" spans="1:5">
      <c r="A23" s="39" t="s">
        <v>25</v>
      </c>
      <c r="B23" s="39"/>
      <c r="C23" s="39"/>
      <c r="D23" s="39"/>
      <c r="E23" s="39">
        <f>SUMPRODUCT(C3:C22,E3:E22)</f>
        <v>89.3965882538609</v>
      </c>
    </row>
    <row r="24" ht="20" customHeight="1"/>
  </sheetData>
  <conditionalFormatting sqref="A2">
    <cfRule type="duplicateValues" dxfId="0" priority="1"/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2" workbookViewId="0">
      <selection activeCell="D3" sqref="D3:E23"/>
    </sheetView>
  </sheetViews>
  <sheetFormatPr defaultColWidth="9" defaultRowHeight="14.4" outlineLevelCol="4"/>
  <cols>
    <col min="1" max="1" width="11.4444444444444" customWidth="1"/>
    <col min="2" max="2" width="33.2592592592593" customWidth="1"/>
  </cols>
  <sheetData>
    <row r="1" ht="22" customHeight="1" spans="1:2">
      <c r="A1" t="s">
        <v>433</v>
      </c>
      <c r="B1" t="s">
        <v>434</v>
      </c>
    </row>
    <row r="2" ht="21" customHeight="1" spans="1:5">
      <c r="A2" s="38" t="s">
        <v>143</v>
      </c>
      <c r="B2" s="38" t="s">
        <v>144</v>
      </c>
      <c r="C2" s="38" t="s">
        <v>472</v>
      </c>
      <c r="D2" s="39" t="s">
        <v>474</v>
      </c>
      <c r="E2" s="39" t="s">
        <v>19</v>
      </c>
    </row>
    <row r="3" ht="21" customHeight="1" spans="1:5">
      <c r="A3" s="39" t="s">
        <v>177</v>
      </c>
      <c r="B3" s="39" t="s">
        <v>178</v>
      </c>
      <c r="C3" s="39">
        <v>3</v>
      </c>
      <c r="D3" s="39" t="s">
        <v>481</v>
      </c>
      <c r="E3" s="39">
        <f>VLOOKUP(A3,材料价格!A:D,3,FALSE)</f>
        <v>0.0874</v>
      </c>
    </row>
    <row r="4" ht="21" customHeight="1" spans="1:5">
      <c r="A4" s="39" t="s">
        <v>180</v>
      </c>
      <c r="B4" s="39" t="s">
        <v>181</v>
      </c>
      <c r="C4" s="39">
        <v>3</v>
      </c>
      <c r="D4" s="39" t="s">
        <v>481</v>
      </c>
      <c r="E4" s="39">
        <f>VLOOKUP(A4,材料价格!A:D,3,FALSE)</f>
        <v>0.1074</v>
      </c>
    </row>
    <row r="5" ht="21" customHeight="1" spans="1:5">
      <c r="A5" s="39" t="s">
        <v>182</v>
      </c>
      <c r="B5" s="39" t="s">
        <v>181</v>
      </c>
      <c r="C5" s="39">
        <v>3</v>
      </c>
      <c r="D5" s="39" t="s">
        <v>481</v>
      </c>
      <c r="E5" s="39">
        <f>VLOOKUP(A5,材料价格!A:D,3,FALSE)</f>
        <v>0.1482</v>
      </c>
    </row>
    <row r="6" ht="21" customHeight="1" spans="1:5">
      <c r="A6" s="39" t="s">
        <v>183</v>
      </c>
      <c r="B6" s="39" t="s">
        <v>184</v>
      </c>
      <c r="C6" s="39">
        <v>1</v>
      </c>
      <c r="D6" s="39" t="s">
        <v>481</v>
      </c>
      <c r="E6" s="39">
        <f>VLOOKUP(A6,材料价格!A:D,3,FALSE)</f>
        <v>11.26</v>
      </c>
    </row>
    <row r="7" ht="21" customHeight="1" spans="1:5">
      <c r="A7" s="39" t="s">
        <v>186</v>
      </c>
      <c r="B7" s="39" t="s">
        <v>187</v>
      </c>
      <c r="C7" s="39">
        <v>1</v>
      </c>
      <c r="D7" s="39" t="s">
        <v>481</v>
      </c>
      <c r="E7" s="39">
        <f>VLOOKUP(A7,材料价格!A:D,3,FALSE)</f>
        <v>1.5</v>
      </c>
    </row>
    <row r="8" ht="21" customHeight="1" spans="1:5">
      <c r="A8" s="39" t="s">
        <v>189</v>
      </c>
      <c r="B8" s="39" t="s">
        <v>190</v>
      </c>
      <c r="C8" s="39">
        <v>1</v>
      </c>
      <c r="D8" s="39" t="s">
        <v>481</v>
      </c>
      <c r="E8" s="39">
        <f>VLOOKUP(A8,材料价格!A:D,3,FALSE)</f>
        <v>1.84</v>
      </c>
    </row>
    <row r="9" ht="21" customHeight="1" spans="1:5">
      <c r="A9" s="39" t="s">
        <v>192</v>
      </c>
      <c r="B9" s="39" t="s">
        <v>193</v>
      </c>
      <c r="C9" s="39">
        <v>1</v>
      </c>
      <c r="D9" s="39" t="s">
        <v>481</v>
      </c>
      <c r="E9" s="39">
        <f>VLOOKUP(A9,材料价格!A:D,3,FALSE)</f>
        <v>0.135</v>
      </c>
    </row>
    <row r="10" ht="21" customHeight="1" spans="1:5">
      <c r="A10" s="39" t="s">
        <v>195</v>
      </c>
      <c r="B10" s="39" t="s">
        <v>196</v>
      </c>
      <c r="C10" s="39">
        <v>1</v>
      </c>
      <c r="D10" s="39" t="s">
        <v>481</v>
      </c>
      <c r="E10" s="39">
        <f>VLOOKUP(A10,材料价格!A:D,3,FALSE)</f>
        <v>10.8</v>
      </c>
    </row>
    <row r="11" ht="21" customHeight="1" spans="1:5">
      <c r="A11" s="39" t="s">
        <v>198</v>
      </c>
      <c r="B11" s="39" t="s">
        <v>199</v>
      </c>
      <c r="C11" s="39">
        <v>1</v>
      </c>
      <c r="D11" s="39" t="s">
        <v>481</v>
      </c>
      <c r="E11" s="39">
        <f>VLOOKUP(A11,材料价格!A:D,3,FALSE)</f>
        <v>0</v>
      </c>
    </row>
    <row r="12" ht="21" customHeight="1" spans="1:5">
      <c r="A12" s="39" t="s">
        <v>229</v>
      </c>
      <c r="B12" s="39" t="s">
        <v>230</v>
      </c>
      <c r="C12" s="39">
        <v>1</v>
      </c>
      <c r="D12" s="39" t="s">
        <v>481</v>
      </c>
      <c r="E12" s="39">
        <f>VLOOKUP(A12,材料价格!A:D,3,FALSE)</f>
        <v>2.97</v>
      </c>
    </row>
    <row r="13" ht="21" customHeight="1" spans="1:5">
      <c r="A13" s="39" t="s">
        <v>232</v>
      </c>
      <c r="B13" s="39" t="s">
        <v>233</v>
      </c>
      <c r="C13" s="39">
        <v>1</v>
      </c>
      <c r="D13" s="39" t="s">
        <v>481</v>
      </c>
      <c r="E13" s="39">
        <f>VLOOKUP(A13,材料价格!A:D,3,FALSE)</f>
        <v>17.1</v>
      </c>
    </row>
    <row r="14" ht="21" customHeight="1" spans="1:5">
      <c r="A14" s="39" t="s">
        <v>234</v>
      </c>
      <c r="B14" s="39" t="s">
        <v>235</v>
      </c>
      <c r="C14" s="39">
        <v>1</v>
      </c>
      <c r="D14" s="39" t="s">
        <v>481</v>
      </c>
      <c r="E14" s="39">
        <f>VLOOKUP(A14,材料价格!A:D,3,FALSE)</f>
        <v>4.015</v>
      </c>
    </row>
    <row r="15" ht="21" customHeight="1" spans="1:5">
      <c r="A15" s="39" t="s">
        <v>236</v>
      </c>
      <c r="B15" s="39" t="s">
        <v>237</v>
      </c>
      <c r="C15" s="39">
        <v>1</v>
      </c>
      <c r="D15" s="39" t="s">
        <v>481</v>
      </c>
      <c r="E15" s="39">
        <f>VLOOKUP(A15,材料价格!A:D,3,FALSE)</f>
        <v>4.528</v>
      </c>
    </row>
    <row r="16" ht="21" customHeight="1" spans="1:5">
      <c r="A16" s="39" t="s">
        <v>238</v>
      </c>
      <c r="B16" s="39" t="s">
        <v>239</v>
      </c>
      <c r="C16" s="39">
        <v>1</v>
      </c>
      <c r="D16" s="39" t="s">
        <v>481</v>
      </c>
      <c r="E16" s="39">
        <f>VLOOKUP(A16,材料价格!A:D,3,FALSE)</f>
        <v>6.5</v>
      </c>
    </row>
    <row r="17" ht="21" customHeight="1" spans="1:5">
      <c r="A17" s="39" t="s">
        <v>240</v>
      </c>
      <c r="B17" s="39" t="s">
        <v>241</v>
      </c>
      <c r="C17" s="39">
        <v>1</v>
      </c>
      <c r="D17" s="39" t="s">
        <v>481</v>
      </c>
      <c r="E17" s="39">
        <f>VLOOKUP(A17,材料价格!A:D,3,FALSE)</f>
        <v>1.01351982962963</v>
      </c>
    </row>
    <row r="18" ht="21" customHeight="1" spans="1:5">
      <c r="A18" s="39" t="s">
        <v>242</v>
      </c>
      <c r="B18" s="39" t="s">
        <v>243</v>
      </c>
      <c r="C18" s="39">
        <v>1</v>
      </c>
      <c r="D18" s="39" t="s">
        <v>481</v>
      </c>
      <c r="E18" s="39">
        <f>VLOOKUP(A18,材料价格!A:D,3,FALSE)</f>
        <v>0.67</v>
      </c>
    </row>
    <row r="19" ht="21" customHeight="1" spans="1:5">
      <c r="A19" s="39" t="s">
        <v>244</v>
      </c>
      <c r="B19" s="39" t="s">
        <v>245</v>
      </c>
      <c r="C19" s="39">
        <v>1</v>
      </c>
      <c r="D19" s="39" t="s">
        <v>481</v>
      </c>
      <c r="E19" s="39">
        <f>VLOOKUP(A19,材料价格!A:D,3,FALSE)</f>
        <v>2.4</v>
      </c>
    </row>
    <row r="20" ht="21" customHeight="1" spans="1:5">
      <c r="A20" s="39" t="s">
        <v>246</v>
      </c>
      <c r="B20" s="39" t="s">
        <v>247</v>
      </c>
      <c r="C20" s="39">
        <v>1</v>
      </c>
      <c r="D20" s="39" t="s">
        <v>481</v>
      </c>
      <c r="E20" s="39">
        <f>VLOOKUP(A20,材料价格!A:D,3,FALSE)</f>
        <v>3.7</v>
      </c>
    </row>
    <row r="21" ht="21" customHeight="1" spans="1:5">
      <c r="A21" s="39" t="s">
        <v>248</v>
      </c>
      <c r="B21" s="39" t="s">
        <v>249</v>
      </c>
      <c r="C21" s="39">
        <v>1</v>
      </c>
      <c r="D21" s="39" t="s">
        <v>481</v>
      </c>
      <c r="E21" s="39">
        <f>VLOOKUP(A21,材料价格!A:D,3,FALSE)</f>
        <v>0.861</v>
      </c>
    </row>
    <row r="22" ht="21" customHeight="1" spans="1:5">
      <c r="A22" s="39" t="s">
        <v>59</v>
      </c>
      <c r="B22" s="39" t="s">
        <v>251</v>
      </c>
      <c r="C22" s="39">
        <v>1</v>
      </c>
      <c r="D22" s="39" t="s">
        <v>481</v>
      </c>
      <c r="E22" s="39">
        <f>VLOOKUP(A22,材料价格!A:D,3,FALSE)</f>
        <v>17.4824186309314</v>
      </c>
    </row>
    <row r="23" ht="21" customHeight="1" spans="1:5">
      <c r="A23" s="39"/>
      <c r="B23" s="39"/>
      <c r="C23" s="39"/>
      <c r="D23" s="39"/>
      <c r="E23" s="39">
        <f>SUMPRODUCT(C3:C22,E3:E22)</f>
        <v>87.803938460561</v>
      </c>
    </row>
  </sheetData>
  <conditionalFormatting sqref="A2">
    <cfRule type="duplicateValues" dxfId="0" priority="1"/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3" workbookViewId="0">
      <selection activeCell="D3" sqref="D3:E23"/>
    </sheetView>
  </sheetViews>
  <sheetFormatPr defaultColWidth="9" defaultRowHeight="14.4" outlineLevelCol="4"/>
  <cols>
    <col min="1" max="1" width="11.4444444444444" customWidth="1"/>
    <col min="2" max="2" width="24.7314814814815" customWidth="1"/>
  </cols>
  <sheetData>
    <row r="1" ht="22" customHeight="1" spans="1:2">
      <c r="A1" t="s">
        <v>437</v>
      </c>
      <c r="B1" t="s">
        <v>438</v>
      </c>
    </row>
    <row r="2" ht="22" customHeight="1" spans="1:5">
      <c r="A2" s="38" t="s">
        <v>143</v>
      </c>
      <c r="B2" s="38" t="s">
        <v>144</v>
      </c>
      <c r="C2" s="38" t="s">
        <v>472</v>
      </c>
      <c r="D2" s="39" t="s">
        <v>474</v>
      </c>
      <c r="E2" s="39" t="s">
        <v>19</v>
      </c>
    </row>
    <row r="3" ht="22" customHeight="1" spans="1:5">
      <c r="A3" s="39" t="s">
        <v>177</v>
      </c>
      <c r="B3" s="39" t="s">
        <v>178</v>
      </c>
      <c r="C3" s="39">
        <v>3</v>
      </c>
      <c r="D3" s="39" t="s">
        <v>481</v>
      </c>
      <c r="E3" s="39">
        <f>VLOOKUP(A3,材料价格!A:D,3,FALSE)</f>
        <v>0.0874</v>
      </c>
    </row>
    <row r="4" ht="22" customHeight="1" spans="1:5">
      <c r="A4" s="39" t="s">
        <v>180</v>
      </c>
      <c r="B4" s="39" t="s">
        <v>181</v>
      </c>
      <c r="C4" s="39">
        <v>3</v>
      </c>
      <c r="D4" s="39" t="s">
        <v>481</v>
      </c>
      <c r="E4" s="39">
        <f>VLOOKUP(A4,材料价格!A:D,3,FALSE)</f>
        <v>0.1074</v>
      </c>
    </row>
    <row r="5" ht="22" customHeight="1" spans="1:5">
      <c r="A5" s="39" t="s">
        <v>182</v>
      </c>
      <c r="B5" s="39" t="s">
        <v>181</v>
      </c>
      <c r="C5" s="39">
        <v>3</v>
      </c>
      <c r="D5" s="39" t="s">
        <v>481</v>
      </c>
      <c r="E5" s="39">
        <f>VLOOKUP(A5,材料价格!A:D,3,FALSE)</f>
        <v>0.1482</v>
      </c>
    </row>
    <row r="6" ht="22" customHeight="1" spans="1:5">
      <c r="A6" s="39" t="s">
        <v>183</v>
      </c>
      <c r="B6" s="39" t="s">
        <v>184</v>
      </c>
      <c r="C6" s="39">
        <v>1</v>
      </c>
      <c r="D6" s="39" t="s">
        <v>481</v>
      </c>
      <c r="E6" s="39">
        <f>VLOOKUP(A6,材料价格!A:D,3,FALSE)</f>
        <v>11.26</v>
      </c>
    </row>
    <row r="7" ht="22" customHeight="1" spans="1:5">
      <c r="A7" s="39" t="s">
        <v>186</v>
      </c>
      <c r="B7" s="39" t="s">
        <v>187</v>
      </c>
      <c r="C7" s="39">
        <v>1</v>
      </c>
      <c r="D7" s="39" t="s">
        <v>481</v>
      </c>
      <c r="E7" s="39">
        <f>VLOOKUP(A7,材料价格!A:D,3,FALSE)</f>
        <v>1.5</v>
      </c>
    </row>
    <row r="8" ht="22" customHeight="1" spans="1:5">
      <c r="A8" s="39" t="s">
        <v>189</v>
      </c>
      <c r="B8" s="39" t="s">
        <v>190</v>
      </c>
      <c r="C8" s="39">
        <v>1</v>
      </c>
      <c r="D8" s="39" t="s">
        <v>481</v>
      </c>
      <c r="E8" s="39">
        <f>VLOOKUP(A8,材料价格!A:D,3,FALSE)</f>
        <v>1.84</v>
      </c>
    </row>
    <row r="9" ht="22" customHeight="1" spans="1:5">
      <c r="A9" s="39" t="s">
        <v>192</v>
      </c>
      <c r="B9" s="39" t="s">
        <v>193</v>
      </c>
      <c r="C9" s="39">
        <v>1</v>
      </c>
      <c r="D9" s="39" t="s">
        <v>481</v>
      </c>
      <c r="E9" s="39">
        <f>VLOOKUP(A9,材料价格!A:D,3,FALSE)</f>
        <v>0.135</v>
      </c>
    </row>
    <row r="10" ht="22" customHeight="1" spans="1:5">
      <c r="A10" s="39" t="s">
        <v>195</v>
      </c>
      <c r="B10" s="39" t="s">
        <v>196</v>
      </c>
      <c r="C10" s="39">
        <v>1</v>
      </c>
      <c r="D10" s="39" t="s">
        <v>481</v>
      </c>
      <c r="E10" s="39">
        <f>VLOOKUP(A10,材料价格!A:D,3,FALSE)</f>
        <v>10.8</v>
      </c>
    </row>
    <row r="11" ht="22" customHeight="1" spans="1:5">
      <c r="A11" s="39" t="s">
        <v>198</v>
      </c>
      <c r="B11" s="39" t="s">
        <v>199</v>
      </c>
      <c r="C11" s="39">
        <v>1</v>
      </c>
      <c r="D11" s="39" t="s">
        <v>481</v>
      </c>
      <c r="E11" s="39">
        <f>VLOOKUP(A11,材料价格!A:D,3,FALSE)</f>
        <v>0</v>
      </c>
    </row>
    <row r="12" ht="22" customHeight="1" spans="1:5">
      <c r="A12" s="39" t="s">
        <v>229</v>
      </c>
      <c r="B12" s="39" t="s">
        <v>230</v>
      </c>
      <c r="C12" s="39">
        <v>1</v>
      </c>
      <c r="D12" s="39" t="s">
        <v>481</v>
      </c>
      <c r="E12" s="39">
        <f>VLOOKUP(A12,材料价格!A:D,3,FALSE)</f>
        <v>2.97</v>
      </c>
    </row>
    <row r="13" ht="22" customHeight="1" spans="1:5">
      <c r="A13" s="39" t="s">
        <v>232</v>
      </c>
      <c r="B13" s="39" t="s">
        <v>233</v>
      </c>
      <c r="C13" s="39">
        <v>1</v>
      </c>
      <c r="D13" s="39" t="s">
        <v>481</v>
      </c>
      <c r="E13" s="39">
        <f>VLOOKUP(A13,材料价格!A:D,3,FALSE)</f>
        <v>17.1</v>
      </c>
    </row>
    <row r="14" ht="22" customHeight="1" spans="1:5">
      <c r="A14" s="39" t="s">
        <v>234</v>
      </c>
      <c r="B14" s="39" t="s">
        <v>235</v>
      </c>
      <c r="C14" s="39">
        <v>1</v>
      </c>
      <c r="D14" s="39" t="s">
        <v>481</v>
      </c>
      <c r="E14" s="39">
        <f>VLOOKUP(A14,材料价格!A:D,3,FALSE)</f>
        <v>4.015</v>
      </c>
    </row>
    <row r="15" ht="22" customHeight="1" spans="1:5">
      <c r="A15" s="39" t="s">
        <v>236</v>
      </c>
      <c r="B15" s="39" t="s">
        <v>237</v>
      </c>
      <c r="C15" s="39">
        <v>1</v>
      </c>
      <c r="D15" s="39" t="s">
        <v>481</v>
      </c>
      <c r="E15" s="39">
        <f>VLOOKUP(A15,材料价格!A:D,3,FALSE)</f>
        <v>4.528</v>
      </c>
    </row>
    <row r="16" ht="22" customHeight="1" spans="1:5">
      <c r="A16" s="39" t="s">
        <v>238</v>
      </c>
      <c r="B16" s="39" t="s">
        <v>239</v>
      </c>
      <c r="C16" s="39">
        <v>1</v>
      </c>
      <c r="D16" s="39" t="s">
        <v>481</v>
      </c>
      <c r="E16" s="39">
        <f>VLOOKUP(A16,材料价格!A:D,3,FALSE)</f>
        <v>6.5</v>
      </c>
    </row>
    <row r="17" ht="22" customHeight="1" spans="1:5">
      <c r="A17" s="39" t="s">
        <v>240</v>
      </c>
      <c r="B17" s="39" t="s">
        <v>241</v>
      </c>
      <c r="C17" s="39">
        <v>1</v>
      </c>
      <c r="D17" s="39" t="s">
        <v>481</v>
      </c>
      <c r="E17" s="39">
        <f>VLOOKUP(A17,材料价格!A:D,3,FALSE)</f>
        <v>1.01351982962963</v>
      </c>
    </row>
    <row r="18" ht="22" customHeight="1" spans="1:5">
      <c r="A18" s="39" t="s">
        <v>242</v>
      </c>
      <c r="B18" s="39" t="s">
        <v>243</v>
      </c>
      <c r="C18" s="39">
        <v>1</v>
      </c>
      <c r="D18" s="39" t="s">
        <v>481</v>
      </c>
      <c r="E18" s="39">
        <f>VLOOKUP(A18,材料价格!A:D,3,FALSE)</f>
        <v>0.67</v>
      </c>
    </row>
    <row r="19" ht="22" customHeight="1" spans="1:5">
      <c r="A19" s="39" t="s">
        <v>244</v>
      </c>
      <c r="B19" s="39" t="s">
        <v>245</v>
      </c>
      <c r="C19" s="39">
        <v>1</v>
      </c>
      <c r="D19" s="39" t="s">
        <v>481</v>
      </c>
      <c r="E19" s="39">
        <f>VLOOKUP(A19,材料价格!A:D,3,FALSE)</f>
        <v>2.4</v>
      </c>
    </row>
    <row r="20" ht="22" customHeight="1" spans="1:5">
      <c r="A20" s="39" t="s">
        <v>246</v>
      </c>
      <c r="B20" s="39" t="s">
        <v>247</v>
      </c>
      <c r="C20" s="39">
        <v>1</v>
      </c>
      <c r="D20" s="39" t="s">
        <v>481</v>
      </c>
      <c r="E20" s="39">
        <f>VLOOKUP(A20,材料价格!A:D,3,FALSE)</f>
        <v>3.7</v>
      </c>
    </row>
    <row r="21" ht="22" customHeight="1" spans="1:5">
      <c r="A21" s="39" t="s">
        <v>248</v>
      </c>
      <c r="B21" s="39" t="s">
        <v>249</v>
      </c>
      <c r="C21" s="39">
        <v>1</v>
      </c>
      <c r="D21" s="39" t="s">
        <v>481</v>
      </c>
      <c r="E21" s="39">
        <f>VLOOKUP(A21,材料价格!A:D,3,FALSE)</f>
        <v>0.861</v>
      </c>
    </row>
    <row r="22" ht="22" customHeight="1" spans="1:5">
      <c r="A22" s="39" t="s">
        <v>55</v>
      </c>
      <c r="B22" s="39" t="s">
        <v>252</v>
      </c>
      <c r="C22" s="39">
        <v>1</v>
      </c>
      <c r="D22" s="39" t="s">
        <v>481</v>
      </c>
      <c r="E22" s="39">
        <f>VLOOKUP(A22,材料价格!A:D,3,FALSE)</f>
        <v>18.2741404934966</v>
      </c>
    </row>
    <row r="23" ht="22" customHeight="1" spans="1:5">
      <c r="A23" s="39"/>
      <c r="B23" s="39"/>
      <c r="C23" s="39"/>
      <c r="D23" s="39"/>
      <c r="E23" s="39">
        <f>SUMPRODUCT(C3:C22,E3:E22)</f>
        <v>88.5956603231262</v>
      </c>
    </row>
  </sheetData>
  <conditionalFormatting sqref="A2">
    <cfRule type="duplicateValues" dxfId="0" priority="1"/>
  </conditionalFormatting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C2" sqref="C2"/>
    </sheetView>
  </sheetViews>
  <sheetFormatPr defaultColWidth="9" defaultRowHeight="14.4" outlineLevelCol="4"/>
  <cols>
    <col min="1" max="1" width="11.4444444444444" customWidth="1"/>
    <col min="2" max="2" width="33.2592592592593" customWidth="1"/>
  </cols>
  <sheetData>
    <row r="1" ht="22" customHeight="1" spans="1:2">
      <c r="A1" t="s">
        <v>435</v>
      </c>
      <c r="B1" t="s">
        <v>436</v>
      </c>
    </row>
    <row r="2" ht="22" customHeight="1" spans="1:5">
      <c r="A2" s="38" t="s">
        <v>143</v>
      </c>
      <c r="B2" s="38" t="s">
        <v>144</v>
      </c>
      <c r="C2" s="38" t="s">
        <v>472</v>
      </c>
      <c r="D2" s="39" t="s">
        <v>474</v>
      </c>
      <c r="E2" s="39" t="s">
        <v>19</v>
      </c>
    </row>
    <row r="3" ht="22" customHeight="1" spans="1:5">
      <c r="A3" s="39" t="s">
        <v>177</v>
      </c>
      <c r="B3" s="39" t="s">
        <v>178</v>
      </c>
      <c r="C3" s="39">
        <v>3</v>
      </c>
      <c r="D3" s="39" t="s">
        <v>481</v>
      </c>
      <c r="E3" s="39">
        <f>VLOOKUP(A3,材料价格!A:D,3,FALSE)</f>
        <v>0.0874</v>
      </c>
    </row>
    <row r="4" ht="22" customHeight="1" spans="1:5">
      <c r="A4" s="39" t="s">
        <v>180</v>
      </c>
      <c r="B4" s="39" t="s">
        <v>181</v>
      </c>
      <c r="C4" s="39">
        <v>3</v>
      </c>
      <c r="D4" s="39" t="s">
        <v>481</v>
      </c>
      <c r="E4" s="39">
        <f>VLOOKUP(A4,材料价格!A:D,3,FALSE)</f>
        <v>0.1074</v>
      </c>
    </row>
    <row r="5" ht="22" customHeight="1" spans="1:5">
      <c r="A5" s="39" t="s">
        <v>182</v>
      </c>
      <c r="B5" s="39" t="s">
        <v>181</v>
      </c>
      <c r="C5" s="39">
        <v>3</v>
      </c>
      <c r="D5" s="39" t="s">
        <v>481</v>
      </c>
      <c r="E5" s="39">
        <f>VLOOKUP(A5,材料价格!A:D,3,FALSE)</f>
        <v>0.1482</v>
      </c>
    </row>
    <row r="6" ht="22" customHeight="1" spans="1:5">
      <c r="A6" s="39" t="s">
        <v>183</v>
      </c>
      <c r="B6" s="39" t="s">
        <v>184</v>
      </c>
      <c r="C6" s="39">
        <v>1</v>
      </c>
      <c r="D6" s="39" t="s">
        <v>481</v>
      </c>
      <c r="E6" s="39">
        <f>VLOOKUP(A6,材料价格!A:D,3,FALSE)</f>
        <v>11.26</v>
      </c>
    </row>
    <row r="7" ht="22" customHeight="1" spans="1:5">
      <c r="A7" s="39" t="s">
        <v>186</v>
      </c>
      <c r="B7" s="39" t="s">
        <v>187</v>
      </c>
      <c r="C7" s="39">
        <v>1</v>
      </c>
      <c r="D7" s="39" t="s">
        <v>481</v>
      </c>
      <c r="E7" s="39">
        <f>VLOOKUP(A7,材料价格!A:D,3,FALSE)</f>
        <v>1.5</v>
      </c>
    </row>
    <row r="8" ht="22" customHeight="1" spans="1:5">
      <c r="A8" s="39" t="s">
        <v>189</v>
      </c>
      <c r="B8" s="39" t="s">
        <v>190</v>
      </c>
      <c r="C8" s="39">
        <v>1</v>
      </c>
      <c r="D8" s="39" t="s">
        <v>481</v>
      </c>
      <c r="E8" s="39">
        <f>VLOOKUP(A8,材料价格!A:D,3,FALSE)</f>
        <v>1.84</v>
      </c>
    </row>
    <row r="9" ht="22" customHeight="1" spans="1:5">
      <c r="A9" s="39" t="s">
        <v>192</v>
      </c>
      <c r="B9" s="39" t="s">
        <v>193</v>
      </c>
      <c r="C9" s="39">
        <v>1</v>
      </c>
      <c r="D9" s="39" t="s">
        <v>481</v>
      </c>
      <c r="E9" s="39">
        <f>VLOOKUP(A9,材料价格!A:D,3,FALSE)</f>
        <v>0.135</v>
      </c>
    </row>
    <row r="10" ht="22" customHeight="1" spans="1:5">
      <c r="A10" s="39" t="s">
        <v>195</v>
      </c>
      <c r="B10" s="39" t="s">
        <v>196</v>
      </c>
      <c r="C10" s="39">
        <v>1</v>
      </c>
      <c r="D10" s="39" t="s">
        <v>481</v>
      </c>
      <c r="E10" s="39">
        <f>VLOOKUP(A10,材料价格!A:D,3,FALSE)</f>
        <v>10.8</v>
      </c>
    </row>
    <row r="11" ht="22" customHeight="1" spans="1:5">
      <c r="A11" s="39" t="s">
        <v>198</v>
      </c>
      <c r="B11" s="39" t="s">
        <v>199</v>
      </c>
      <c r="C11" s="39">
        <v>1</v>
      </c>
      <c r="D11" s="39" t="s">
        <v>481</v>
      </c>
      <c r="E11" s="39">
        <f>VLOOKUP(A11,材料价格!A:D,3,FALSE)</f>
        <v>0</v>
      </c>
    </row>
    <row r="12" ht="22" customHeight="1" spans="1:5">
      <c r="A12" s="39" t="s">
        <v>229</v>
      </c>
      <c r="B12" s="39" t="s">
        <v>230</v>
      </c>
      <c r="C12" s="39">
        <v>1</v>
      </c>
      <c r="D12" s="39" t="s">
        <v>481</v>
      </c>
      <c r="E12" s="39">
        <f>VLOOKUP(A12,材料价格!A:D,3,FALSE)</f>
        <v>2.97</v>
      </c>
    </row>
    <row r="13" ht="22" customHeight="1" spans="1:5">
      <c r="A13" s="39" t="s">
        <v>232</v>
      </c>
      <c r="B13" s="39" t="s">
        <v>233</v>
      </c>
      <c r="C13" s="39">
        <v>1</v>
      </c>
      <c r="D13" s="39" t="s">
        <v>481</v>
      </c>
      <c r="E13" s="39">
        <f>VLOOKUP(A13,材料价格!A:D,3,FALSE)</f>
        <v>17.1</v>
      </c>
    </row>
    <row r="14" ht="22" customHeight="1" spans="1:5">
      <c r="A14" s="39" t="s">
        <v>234</v>
      </c>
      <c r="B14" s="39" t="s">
        <v>235</v>
      </c>
      <c r="C14" s="39">
        <v>1</v>
      </c>
      <c r="D14" s="39" t="s">
        <v>481</v>
      </c>
      <c r="E14" s="39">
        <f>VLOOKUP(A14,材料价格!A:D,3,FALSE)</f>
        <v>4.015</v>
      </c>
    </row>
    <row r="15" ht="22" customHeight="1" spans="1:5">
      <c r="A15" s="39" t="s">
        <v>236</v>
      </c>
      <c r="B15" s="39" t="s">
        <v>237</v>
      </c>
      <c r="C15" s="39">
        <v>1</v>
      </c>
      <c r="D15" s="39" t="s">
        <v>481</v>
      </c>
      <c r="E15" s="39">
        <f>VLOOKUP(A15,材料价格!A:D,3,FALSE)</f>
        <v>4.528</v>
      </c>
    </row>
    <row r="16" ht="22" customHeight="1" spans="1:5">
      <c r="A16" s="39" t="s">
        <v>238</v>
      </c>
      <c r="B16" s="39" t="s">
        <v>239</v>
      </c>
      <c r="C16" s="39">
        <v>1</v>
      </c>
      <c r="D16" s="39" t="s">
        <v>481</v>
      </c>
      <c r="E16" s="39">
        <f>VLOOKUP(A16,材料价格!A:D,3,FALSE)</f>
        <v>6.5</v>
      </c>
    </row>
    <row r="17" ht="22" customHeight="1" spans="1:5">
      <c r="A17" s="39" t="s">
        <v>240</v>
      </c>
      <c r="B17" s="39" t="s">
        <v>241</v>
      </c>
      <c r="C17" s="39">
        <v>1</v>
      </c>
      <c r="D17" s="39" t="s">
        <v>481</v>
      </c>
      <c r="E17" s="39">
        <f>VLOOKUP(A17,材料价格!A:D,3,FALSE)</f>
        <v>1.01351982962963</v>
      </c>
    </row>
    <row r="18" ht="22" customHeight="1" spans="1:5">
      <c r="A18" s="39" t="s">
        <v>242</v>
      </c>
      <c r="B18" s="39" t="s">
        <v>243</v>
      </c>
      <c r="C18" s="39">
        <v>1</v>
      </c>
      <c r="D18" s="39" t="s">
        <v>481</v>
      </c>
      <c r="E18" s="39">
        <f>VLOOKUP(A18,材料价格!A:D,3,FALSE)</f>
        <v>0.67</v>
      </c>
    </row>
    <row r="19" ht="22" customHeight="1" spans="1:5">
      <c r="A19" s="39" t="s">
        <v>244</v>
      </c>
      <c r="B19" s="39" t="s">
        <v>245</v>
      </c>
      <c r="C19" s="39">
        <v>1</v>
      </c>
      <c r="D19" s="39" t="s">
        <v>481</v>
      </c>
      <c r="E19" s="39">
        <f>VLOOKUP(A19,材料价格!A:D,3,FALSE)</f>
        <v>2.4</v>
      </c>
    </row>
    <row r="20" ht="22" customHeight="1" spans="1:5">
      <c r="A20" s="39" t="s">
        <v>246</v>
      </c>
      <c r="B20" s="39" t="s">
        <v>247</v>
      </c>
      <c r="C20" s="39">
        <v>1</v>
      </c>
      <c r="D20" s="39" t="s">
        <v>481</v>
      </c>
      <c r="E20" s="39">
        <f>VLOOKUP(A20,材料价格!A:D,3,FALSE)</f>
        <v>3.7</v>
      </c>
    </row>
    <row r="21" ht="22" customHeight="1" spans="1:5">
      <c r="A21" s="39" t="s">
        <v>248</v>
      </c>
      <c r="B21" s="39" t="s">
        <v>249</v>
      </c>
      <c r="C21" s="39">
        <v>1</v>
      </c>
      <c r="D21" s="39" t="s">
        <v>481</v>
      </c>
      <c r="E21" s="39">
        <f>VLOOKUP(A21,材料价格!A:D,3,FALSE)</f>
        <v>0.861</v>
      </c>
    </row>
    <row r="22" ht="22" customHeight="1" spans="1:5">
      <c r="A22" s="39" t="s">
        <v>51</v>
      </c>
      <c r="B22" s="39" t="s">
        <v>253</v>
      </c>
      <c r="C22" s="39">
        <v>1</v>
      </c>
      <c r="D22" s="39" t="s">
        <v>481</v>
      </c>
      <c r="E22" s="39">
        <f>VLOOKUP(A22,材料价格!A:D,3,FALSE)</f>
        <v>17.6113035853025</v>
      </c>
    </row>
    <row r="23" ht="22" customHeight="1" spans="1:5">
      <c r="A23" s="39" t="s">
        <v>25</v>
      </c>
      <c r="B23" s="39"/>
      <c r="C23" s="39"/>
      <c r="D23" s="39"/>
      <c r="E23" s="39">
        <f>SUMPRODUCT(C3:C22,E3:E22)</f>
        <v>87.9328234149321</v>
      </c>
    </row>
  </sheetData>
  <conditionalFormatting sqref="A2">
    <cfRule type="duplicateValues" dxfId="0" priority="1"/>
  </conditionalFormatting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A37" sqref="$A37:$XFD37"/>
    </sheetView>
  </sheetViews>
  <sheetFormatPr defaultColWidth="9" defaultRowHeight="14.4" outlineLevelCol="4"/>
  <cols>
    <col min="1" max="1" width="11.4444444444444" customWidth="1"/>
    <col min="2" max="2" width="25.7314814814815" customWidth="1"/>
  </cols>
  <sheetData>
    <row r="1" spans="1:2">
      <c r="A1" s="40" t="s">
        <v>444</v>
      </c>
      <c r="B1" t="s">
        <v>445</v>
      </c>
    </row>
    <row r="2" spans="1:5">
      <c r="A2" s="38" t="s">
        <v>143</v>
      </c>
      <c r="B2" s="38" t="s">
        <v>144</v>
      </c>
      <c r="C2" s="39" t="s">
        <v>472</v>
      </c>
      <c r="D2" s="39" t="s">
        <v>474</v>
      </c>
      <c r="E2" s="39" t="s">
        <v>19</v>
      </c>
    </row>
    <row r="3" spans="1:5">
      <c r="A3" s="38" t="s">
        <v>254</v>
      </c>
      <c r="B3" s="38" t="s">
        <v>255</v>
      </c>
      <c r="C3" s="38">
        <v>1</v>
      </c>
      <c r="D3" s="39" t="s">
        <v>481</v>
      </c>
      <c r="E3" s="39">
        <f>VLOOKUP(A3,材料价格!A:D,3,FALSE)</f>
        <v>0</v>
      </c>
    </row>
    <row r="4" spans="1:5">
      <c r="A4" s="38" t="s">
        <v>257</v>
      </c>
      <c r="B4" s="38" t="s">
        <v>258</v>
      </c>
      <c r="C4" s="38">
        <v>1</v>
      </c>
      <c r="D4" s="39" t="s">
        <v>481</v>
      </c>
      <c r="E4" s="39">
        <f>VLOOKUP(A4,材料价格!A:D,3,FALSE)</f>
        <v>0</v>
      </c>
    </row>
    <row r="5" spans="1:5">
      <c r="A5" s="38" t="s">
        <v>259</v>
      </c>
      <c r="B5" s="38" t="s">
        <v>260</v>
      </c>
      <c r="C5" s="38">
        <v>1</v>
      </c>
      <c r="D5" s="39" t="s">
        <v>481</v>
      </c>
      <c r="E5" s="39">
        <f>VLOOKUP(A5,材料价格!A:D,3,FALSE)</f>
        <v>47.69</v>
      </c>
    </row>
    <row r="6" spans="1:5">
      <c r="A6" s="38" t="s">
        <v>177</v>
      </c>
      <c r="B6" s="38" t="s">
        <v>178</v>
      </c>
      <c r="C6" s="38">
        <v>3</v>
      </c>
      <c r="D6" s="39" t="s">
        <v>481</v>
      </c>
      <c r="E6" s="39">
        <f>VLOOKUP(A6,材料价格!A:D,3,FALSE)</f>
        <v>0.0874</v>
      </c>
    </row>
    <row r="7" spans="1:5">
      <c r="A7" s="38" t="s">
        <v>180</v>
      </c>
      <c r="B7" s="38" t="s">
        <v>181</v>
      </c>
      <c r="C7" s="38">
        <v>3</v>
      </c>
      <c r="D7" s="39" t="s">
        <v>481</v>
      </c>
      <c r="E7" s="39">
        <f>VLOOKUP(A7,材料价格!A:D,3,FALSE)</f>
        <v>0.1074</v>
      </c>
    </row>
    <row r="8" spans="1:5">
      <c r="A8" s="38" t="s">
        <v>182</v>
      </c>
      <c r="B8" s="38" t="s">
        <v>181</v>
      </c>
      <c r="C8" s="38">
        <v>3</v>
      </c>
      <c r="D8" s="39" t="s">
        <v>481</v>
      </c>
      <c r="E8" s="39">
        <f>VLOOKUP(A8,材料价格!A:D,3,FALSE)</f>
        <v>0.1482</v>
      </c>
    </row>
    <row r="9" spans="1:5">
      <c r="A9" s="38" t="s">
        <v>183</v>
      </c>
      <c r="B9" s="38" t="s">
        <v>184</v>
      </c>
      <c r="C9" s="38">
        <v>1</v>
      </c>
      <c r="D9" s="39" t="s">
        <v>481</v>
      </c>
      <c r="E9" s="39">
        <f>VLOOKUP(A9,材料价格!A:D,3,FALSE)</f>
        <v>11.26</v>
      </c>
    </row>
    <row r="10" spans="1:5">
      <c r="A10" s="38" t="s">
        <v>261</v>
      </c>
      <c r="B10" s="38" t="s">
        <v>262</v>
      </c>
      <c r="C10" s="38">
        <v>1</v>
      </c>
      <c r="D10" s="39" t="s">
        <v>481</v>
      </c>
      <c r="E10" s="39">
        <f>VLOOKUP(A10,材料价格!A:D,3,FALSE)</f>
        <v>1.21</v>
      </c>
    </row>
    <row r="11" spans="1:5">
      <c r="A11" s="38" t="s">
        <v>264</v>
      </c>
      <c r="B11" s="38" t="s">
        <v>265</v>
      </c>
      <c r="C11" s="38">
        <v>1</v>
      </c>
      <c r="D11" s="39" t="s">
        <v>481</v>
      </c>
      <c r="E11" s="39">
        <f>VLOOKUP(A11,材料价格!A:D,3,FALSE)</f>
        <v>0.127</v>
      </c>
    </row>
    <row r="12" spans="1:5">
      <c r="A12" s="38" t="s">
        <v>266</v>
      </c>
      <c r="B12" s="38" t="s">
        <v>267</v>
      </c>
      <c r="C12" s="38">
        <v>1</v>
      </c>
      <c r="D12" s="39" t="s">
        <v>481</v>
      </c>
      <c r="E12" s="39">
        <f>VLOOKUP(A12,材料价格!A:D,3,FALSE)</f>
        <v>4.319</v>
      </c>
    </row>
    <row r="13" spans="1:5">
      <c r="A13" s="38" t="s">
        <v>268</v>
      </c>
      <c r="B13" s="38" t="s">
        <v>269</v>
      </c>
      <c r="C13" s="38">
        <v>1</v>
      </c>
      <c r="D13" s="39" t="s">
        <v>481</v>
      </c>
      <c r="E13" s="39">
        <f>VLOOKUP(A13,材料价格!A:D,3,FALSE)</f>
        <v>4.576</v>
      </c>
    </row>
    <row r="14" spans="1:5">
      <c r="A14" s="38" t="s">
        <v>270</v>
      </c>
      <c r="B14" s="38" t="s">
        <v>271</v>
      </c>
      <c r="C14" s="38">
        <v>1</v>
      </c>
      <c r="D14" s="39" t="s">
        <v>481</v>
      </c>
      <c r="E14" s="39">
        <f>VLOOKUP(A14,材料价格!A:D,3,FALSE)</f>
        <v>1.07799974074074</v>
      </c>
    </row>
    <row r="15" spans="1:5">
      <c r="A15" s="38" t="s">
        <v>272</v>
      </c>
      <c r="B15" s="38" t="s">
        <v>273</v>
      </c>
      <c r="C15" s="38">
        <v>2</v>
      </c>
      <c r="D15" s="39" t="s">
        <v>481</v>
      </c>
      <c r="E15" s="39">
        <f>VLOOKUP(A15,材料价格!A:D,3,FALSE)</f>
        <v>0.21</v>
      </c>
    </row>
    <row r="16" spans="1:5">
      <c r="A16" s="38" t="s">
        <v>274</v>
      </c>
      <c r="B16" s="38" t="s">
        <v>275</v>
      </c>
      <c r="C16" s="38">
        <v>1</v>
      </c>
      <c r="D16" s="39" t="s">
        <v>481</v>
      </c>
      <c r="E16" s="39">
        <f>VLOOKUP(A16,材料价格!A:D,3,FALSE)</f>
        <v>3.7</v>
      </c>
    </row>
    <row r="17" spans="1:5">
      <c r="A17" s="38" t="s">
        <v>276</v>
      </c>
      <c r="B17" s="38" t="s">
        <v>277</v>
      </c>
      <c r="C17" s="38">
        <v>1</v>
      </c>
      <c r="D17" s="39" t="s">
        <v>481</v>
      </c>
      <c r="E17" s="39">
        <f>VLOOKUP(A17,材料价格!A:D,3,FALSE)</f>
        <v>1.028</v>
      </c>
    </row>
    <row r="18" spans="1:5">
      <c r="A18" s="38" t="s">
        <v>278</v>
      </c>
      <c r="B18" s="38" t="s">
        <v>279</v>
      </c>
      <c r="C18" s="38">
        <v>1</v>
      </c>
      <c r="D18" s="39" t="s">
        <v>481</v>
      </c>
      <c r="E18" s="39">
        <f>VLOOKUP(A18,材料价格!A:D,3,FALSE)</f>
        <v>2.5</v>
      </c>
    </row>
    <row r="19" spans="1:5">
      <c r="A19" s="38" t="s">
        <v>280</v>
      </c>
      <c r="B19" s="38" t="s">
        <v>281</v>
      </c>
      <c r="C19" s="38">
        <v>1</v>
      </c>
      <c r="D19" s="39" t="s">
        <v>481</v>
      </c>
      <c r="E19" s="39">
        <f>VLOOKUP(A19,材料价格!A:D,3,FALSE)</f>
        <v>10.53</v>
      </c>
    </row>
    <row r="20" spans="1:5">
      <c r="A20" s="38" t="s">
        <v>283</v>
      </c>
      <c r="B20" s="38" t="s">
        <v>284</v>
      </c>
      <c r="C20" s="38">
        <v>1</v>
      </c>
      <c r="D20" s="39" t="s">
        <v>481</v>
      </c>
      <c r="E20" s="39">
        <f>VLOOKUP(A20,材料价格!A:D,3,FALSE)</f>
        <v>1.68</v>
      </c>
    </row>
    <row r="21" spans="1:5">
      <c r="A21" s="38" t="s">
        <v>285</v>
      </c>
      <c r="B21" s="38" t="s">
        <v>286</v>
      </c>
      <c r="C21" s="38">
        <v>1</v>
      </c>
      <c r="D21" s="39" t="s">
        <v>481</v>
      </c>
      <c r="E21" s="39">
        <f>VLOOKUP(A21,材料价格!A:D,3,FALSE)</f>
        <v>0</v>
      </c>
    </row>
    <row r="22" spans="1:5">
      <c r="A22" s="38" t="s">
        <v>288</v>
      </c>
      <c r="B22" s="38" t="s">
        <v>289</v>
      </c>
      <c r="C22" s="38">
        <v>1</v>
      </c>
      <c r="D22" s="39" t="s">
        <v>481</v>
      </c>
      <c r="E22" s="39">
        <f>VLOOKUP(A22,材料价格!A:D,3,FALSE)</f>
        <v>10.39</v>
      </c>
    </row>
    <row r="23" spans="1:5">
      <c r="A23" s="38" t="s">
        <v>291</v>
      </c>
      <c r="B23" s="38" t="s">
        <v>178</v>
      </c>
      <c r="C23" s="38">
        <v>4</v>
      </c>
      <c r="D23" s="39" t="s">
        <v>481</v>
      </c>
      <c r="E23" s="39">
        <f>VLOOKUP(A23,材料价格!A:D,3,FALSE)</f>
        <v>0.1425</v>
      </c>
    </row>
    <row r="24" spans="1:5">
      <c r="A24" s="38" t="s">
        <v>292</v>
      </c>
      <c r="B24" s="38" t="s">
        <v>293</v>
      </c>
      <c r="C24" s="38">
        <v>1</v>
      </c>
      <c r="D24" s="39" t="s">
        <v>481</v>
      </c>
      <c r="E24" s="39">
        <f>VLOOKUP(A24,材料价格!A:D,3,FALSE)</f>
        <v>32.23</v>
      </c>
    </row>
    <row r="25" spans="1:5">
      <c r="A25" s="38" t="s">
        <v>295</v>
      </c>
      <c r="B25" s="38" t="s">
        <v>296</v>
      </c>
      <c r="C25" s="38">
        <v>1</v>
      </c>
      <c r="D25" s="39" t="s">
        <v>481</v>
      </c>
      <c r="E25" s="39">
        <f>VLOOKUP(A25,材料价格!A:D,3,FALSE)</f>
        <v>2.12</v>
      </c>
    </row>
    <row r="26" spans="1:5">
      <c r="A26" s="38" t="s">
        <v>297</v>
      </c>
      <c r="B26" s="38" t="s">
        <v>298</v>
      </c>
      <c r="C26" s="38">
        <v>1</v>
      </c>
      <c r="D26" s="39" t="s">
        <v>481</v>
      </c>
      <c r="E26" s="39">
        <f>VLOOKUP(A26,材料价格!A:D,3,FALSE)</f>
        <v>4.839</v>
      </c>
    </row>
    <row r="27" spans="1:5">
      <c r="A27" s="38" t="s">
        <v>299</v>
      </c>
      <c r="B27" s="38" t="s">
        <v>300</v>
      </c>
      <c r="C27" s="38">
        <v>1</v>
      </c>
      <c r="D27" s="39" t="s">
        <v>481</v>
      </c>
      <c r="E27" s="39">
        <f>VLOOKUP(A27,材料价格!A:D,3,FALSE)</f>
        <v>0</v>
      </c>
    </row>
    <row r="28" spans="1:5">
      <c r="A28" s="38" t="s">
        <v>301</v>
      </c>
      <c r="B28" s="38" t="s">
        <v>302</v>
      </c>
      <c r="C28" s="38">
        <v>1</v>
      </c>
      <c r="D28" s="39" t="s">
        <v>481</v>
      </c>
      <c r="E28" s="39">
        <f>VLOOKUP(A28,材料价格!A:D,3,FALSE)</f>
        <v>0</v>
      </c>
    </row>
    <row r="29" spans="1:5">
      <c r="A29" s="38" t="s">
        <v>303</v>
      </c>
      <c r="B29" s="38" t="s">
        <v>304</v>
      </c>
      <c r="C29" s="38">
        <v>1</v>
      </c>
      <c r="D29" s="39" t="s">
        <v>481</v>
      </c>
      <c r="E29" s="39">
        <f>VLOOKUP(A29,材料价格!A:D,3,FALSE)</f>
        <v>2.1</v>
      </c>
    </row>
    <row r="30" spans="1:5">
      <c r="A30" s="38" t="s">
        <v>306</v>
      </c>
      <c r="B30" s="38" t="s">
        <v>307</v>
      </c>
      <c r="C30" s="38">
        <v>1</v>
      </c>
      <c r="D30" s="39" t="s">
        <v>481</v>
      </c>
      <c r="E30" s="39">
        <f>VLOOKUP(A30,材料价格!A:D,3,FALSE)</f>
        <v>12.75</v>
      </c>
    </row>
    <row r="31" spans="1:5">
      <c r="A31" s="38" t="s">
        <v>308</v>
      </c>
      <c r="B31" s="38" t="s">
        <v>309</v>
      </c>
      <c r="C31" s="38">
        <v>1</v>
      </c>
      <c r="D31" s="39" t="s">
        <v>481</v>
      </c>
      <c r="E31" s="39">
        <f>VLOOKUP(A31,材料价格!A:D,3,FALSE)</f>
        <v>90.75</v>
      </c>
    </row>
    <row r="32" spans="1:5">
      <c r="A32" s="38" t="s">
        <v>311</v>
      </c>
      <c r="B32" s="38" t="s">
        <v>178</v>
      </c>
      <c r="C32" s="38">
        <v>5</v>
      </c>
      <c r="D32" s="39" t="s">
        <v>481</v>
      </c>
      <c r="E32" s="39">
        <f>VLOOKUP(A32,材料价格!A:D,3,FALSE)</f>
        <v>0.2</v>
      </c>
    </row>
    <row r="33" spans="1:5">
      <c r="A33" s="38" t="s">
        <v>312</v>
      </c>
      <c r="B33" s="38" t="s">
        <v>313</v>
      </c>
      <c r="C33" s="38">
        <v>1</v>
      </c>
      <c r="D33" s="39" t="s">
        <v>481</v>
      </c>
      <c r="E33" s="39">
        <f>VLOOKUP(A33,材料价格!A:D,3,FALSE)</f>
        <v>0.552</v>
      </c>
    </row>
    <row r="34" spans="1:5">
      <c r="A34" s="38" t="s">
        <v>314</v>
      </c>
      <c r="B34" s="38" t="s">
        <v>315</v>
      </c>
      <c r="C34" s="38">
        <v>1</v>
      </c>
      <c r="D34" s="39" t="s">
        <v>481</v>
      </c>
      <c r="E34" s="39">
        <f>VLOOKUP(A34,材料价格!A:D,3,FALSE)</f>
        <v>4.5</v>
      </c>
    </row>
    <row r="35" spans="1:5">
      <c r="A35" s="38" t="s">
        <v>316</v>
      </c>
      <c r="B35" s="38" t="s">
        <v>317</v>
      </c>
      <c r="C35" s="38">
        <v>1</v>
      </c>
      <c r="D35" s="39" t="s">
        <v>481</v>
      </c>
      <c r="E35" s="39">
        <f>VLOOKUP(A35,材料价格!A:D,3,FALSE)</f>
        <v>0.79</v>
      </c>
    </row>
    <row r="36" spans="1:5">
      <c r="A36" s="38" t="s">
        <v>41</v>
      </c>
      <c r="B36" s="38" t="s">
        <v>318</v>
      </c>
      <c r="C36" s="38">
        <v>1</v>
      </c>
      <c r="D36" s="39" t="s">
        <v>481</v>
      </c>
      <c r="E36" s="39">
        <f>VLOOKUP(A36,材料价格!A:D,3,FALSE)</f>
        <v>30.4798638614687</v>
      </c>
    </row>
    <row r="37" spans="1:5">
      <c r="A37" s="38"/>
      <c r="B37" s="38"/>
      <c r="C37" s="38"/>
      <c r="D37" s="39"/>
      <c r="E37" s="39">
        <f>SUMPRODUCT(C3:C36,E3:E36)</f>
        <v>284.217863602209</v>
      </c>
    </row>
  </sheetData>
  <conditionalFormatting sqref="A2">
    <cfRule type="duplicateValues" dxfId="0" priority="2"/>
  </conditionalFormatting>
  <conditionalFormatting sqref="A37">
    <cfRule type="duplicateValues" dxfId="0" priority="1"/>
  </conditionalFormatting>
  <conditionalFormatting sqref="A3:A36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48576"/>
  <sheetViews>
    <sheetView workbookViewId="0">
      <selection activeCell="D6" sqref="D6"/>
    </sheetView>
  </sheetViews>
  <sheetFormatPr defaultColWidth="9" defaultRowHeight="14.4"/>
  <cols>
    <col min="1" max="1" width="11.4444444444444" style="251" customWidth="1"/>
    <col min="2" max="2" width="18.0925925925926" customWidth="1"/>
    <col min="3" max="3" width="12.6388888888889" customWidth="1"/>
    <col min="4" max="4" width="12.6388888888889" style="252" customWidth="1"/>
    <col min="5" max="5" width="12.6388888888889" style="253"/>
    <col min="6" max="6" width="9" style="254"/>
    <col min="7" max="8" width="9" style="255"/>
    <col min="9" max="9" width="9" style="256"/>
    <col min="10" max="11" width="9" style="257"/>
    <col min="17" max="17" width="9" style="258"/>
    <col min="18" max="18" width="9" style="255"/>
    <col min="19" max="20" width="9" style="259"/>
    <col min="21" max="21" width="9" style="255"/>
    <col min="24" max="25" width="9" style="251"/>
  </cols>
  <sheetData>
    <row r="1" customFormat="1" ht="27" customHeight="1" spans="1:25">
      <c r="A1" s="260" t="s">
        <v>96</v>
      </c>
      <c r="B1" s="260"/>
      <c r="C1" s="260"/>
      <c r="D1" s="260"/>
      <c r="E1" s="261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51"/>
      <c r="Y1" s="251"/>
    </row>
    <row r="2" customFormat="1" ht="14.25" customHeight="1" spans="1:26">
      <c r="A2" s="262" t="s">
        <v>1</v>
      </c>
      <c r="B2" s="263" t="s">
        <v>97</v>
      </c>
      <c r="C2" s="264" t="s">
        <v>98</v>
      </c>
      <c r="D2" s="264" t="s">
        <v>99</v>
      </c>
      <c r="E2" s="265" t="s">
        <v>100</v>
      </c>
      <c r="F2" s="266"/>
      <c r="G2" s="267" t="s">
        <v>101</v>
      </c>
      <c r="H2" s="268" t="s">
        <v>102</v>
      </c>
      <c r="I2" s="274" t="s">
        <v>103</v>
      </c>
      <c r="J2" s="275" t="s">
        <v>104</v>
      </c>
      <c r="K2" s="276" t="s">
        <v>105</v>
      </c>
      <c r="L2" s="57" t="s">
        <v>106</v>
      </c>
      <c r="M2" s="264" t="s">
        <v>107</v>
      </c>
      <c r="N2" s="57" t="s">
        <v>108</v>
      </c>
      <c r="O2" s="57" t="s">
        <v>109</v>
      </c>
      <c r="P2" s="267" t="s">
        <v>110</v>
      </c>
      <c r="Q2" s="280" t="s">
        <v>111</v>
      </c>
      <c r="R2" s="281" t="s">
        <v>112</v>
      </c>
      <c r="S2" s="282" t="s">
        <v>113</v>
      </c>
      <c r="T2" s="282" t="s">
        <v>114</v>
      </c>
      <c r="U2" s="56" t="s">
        <v>115</v>
      </c>
      <c r="V2" s="264" t="s">
        <v>116</v>
      </c>
      <c r="W2" s="6" t="s">
        <v>117</v>
      </c>
      <c r="X2" s="263" t="s">
        <v>97</v>
      </c>
      <c r="Y2" s="264" t="s">
        <v>98</v>
      </c>
      <c r="Z2" s="264" t="s">
        <v>118</v>
      </c>
    </row>
    <row r="3" customFormat="1" spans="1:26">
      <c r="A3" s="269" t="s">
        <v>18</v>
      </c>
      <c r="B3" s="263"/>
      <c r="C3" s="264"/>
      <c r="D3" s="264"/>
      <c r="E3" s="265" t="s">
        <v>119</v>
      </c>
      <c r="F3" s="266" t="s">
        <v>120</v>
      </c>
      <c r="G3" s="267"/>
      <c r="H3" s="268"/>
      <c r="I3" s="274"/>
      <c r="J3" s="275"/>
      <c r="K3" s="277"/>
      <c r="L3" s="57"/>
      <c r="M3" s="264"/>
      <c r="N3" s="57"/>
      <c r="O3" s="57"/>
      <c r="P3" s="267"/>
      <c r="Q3" s="280"/>
      <c r="R3" s="281"/>
      <c r="S3" s="283"/>
      <c r="T3" s="283"/>
      <c r="U3" s="56"/>
      <c r="V3" s="264"/>
      <c r="W3" s="6"/>
      <c r="X3" s="263"/>
      <c r="Y3" s="264"/>
      <c r="Z3" s="264"/>
    </row>
    <row r="4" customFormat="1" ht="15" customHeight="1" spans="1:23">
      <c r="A4" s="264">
        <v>4</v>
      </c>
      <c r="B4" s="39" t="s">
        <v>121</v>
      </c>
      <c r="C4" s="39" t="s">
        <v>122</v>
      </c>
      <c r="D4" s="270" t="s">
        <v>123</v>
      </c>
      <c r="E4" s="271">
        <v>0.023</v>
      </c>
      <c r="F4" s="272">
        <v>0.027</v>
      </c>
      <c r="G4" s="273">
        <v>23.4513</v>
      </c>
      <c r="H4" s="273">
        <v>0.6331851</v>
      </c>
      <c r="I4" s="278" t="s">
        <v>124</v>
      </c>
      <c r="J4" s="279">
        <v>72</v>
      </c>
      <c r="K4" s="279">
        <v>50</v>
      </c>
      <c r="L4" s="39">
        <v>2</v>
      </c>
      <c r="M4" s="39">
        <v>66</v>
      </c>
      <c r="N4" s="39">
        <v>0.76</v>
      </c>
      <c r="O4" s="39">
        <v>45</v>
      </c>
      <c r="P4" s="273">
        <v>0.3125</v>
      </c>
      <c r="Q4" s="284"/>
      <c r="R4" s="285">
        <v>0.904550142857143</v>
      </c>
      <c r="S4" s="286">
        <v>0.185968888888889</v>
      </c>
      <c r="T4" s="286">
        <v>0.185185185185185</v>
      </c>
      <c r="U4" s="285">
        <v>1.61418953507407</v>
      </c>
      <c r="V4" s="39" t="s">
        <v>125</v>
      </c>
      <c r="W4" s="287">
        <v>2.54931699288893</v>
      </c>
    </row>
    <row r="5" customFormat="1" ht="15" customHeight="1" spans="1:23">
      <c r="A5" s="264">
        <v>5</v>
      </c>
      <c r="B5" s="39" t="s">
        <v>126</v>
      </c>
      <c r="C5" s="39" t="s">
        <v>127</v>
      </c>
      <c r="D5" s="270" t="s">
        <v>123</v>
      </c>
      <c r="E5" s="271">
        <v>0.083</v>
      </c>
      <c r="F5" s="272">
        <v>0.085</v>
      </c>
      <c r="G5" s="273">
        <v>23.4513</v>
      </c>
      <c r="H5" s="273">
        <v>1.9933605</v>
      </c>
      <c r="I5" s="278" t="s">
        <v>124</v>
      </c>
      <c r="J5" s="279">
        <v>72</v>
      </c>
      <c r="K5" s="279">
        <v>50</v>
      </c>
      <c r="L5" s="39">
        <v>2</v>
      </c>
      <c r="M5" s="39">
        <v>66</v>
      </c>
      <c r="N5" s="39">
        <v>0.76</v>
      </c>
      <c r="O5" s="39">
        <v>22.5</v>
      </c>
      <c r="P5" s="273">
        <v>0.15625</v>
      </c>
      <c r="Q5" s="284"/>
      <c r="R5" s="285">
        <v>2.84765785714286</v>
      </c>
      <c r="S5" s="286">
        <v>0.292974</v>
      </c>
      <c r="T5" s="286">
        <v>0.333333333333333</v>
      </c>
      <c r="U5" s="285">
        <v>3.20569998833333</v>
      </c>
      <c r="V5" s="39" t="s">
        <v>125</v>
      </c>
      <c r="W5" s="287">
        <v>1.60818877886531</v>
      </c>
    </row>
    <row r="6" customFormat="1" ht="15" customHeight="1" spans="1:23">
      <c r="A6" s="264">
        <v>6</v>
      </c>
      <c r="B6" s="39" t="s">
        <v>128</v>
      </c>
      <c r="C6" s="39" t="s">
        <v>129</v>
      </c>
      <c r="D6" s="270" t="s">
        <v>130</v>
      </c>
      <c r="E6" s="271">
        <v>0.01355</v>
      </c>
      <c r="F6" s="272">
        <v>0.01705</v>
      </c>
      <c r="G6" s="273">
        <v>25.6637</v>
      </c>
      <c r="H6" s="273">
        <v>0.437566085</v>
      </c>
      <c r="I6" s="278" t="s">
        <v>131</v>
      </c>
      <c r="J6" s="279">
        <v>90</v>
      </c>
      <c r="K6" s="279">
        <v>40</v>
      </c>
      <c r="L6" s="39">
        <v>4</v>
      </c>
      <c r="M6" s="39">
        <v>39</v>
      </c>
      <c r="N6" s="39">
        <v>0.76</v>
      </c>
      <c r="O6" s="39">
        <v>22.5</v>
      </c>
      <c r="P6" s="273">
        <v>0.0625</v>
      </c>
      <c r="Q6" s="284"/>
      <c r="R6" s="285">
        <v>0.625094407142857</v>
      </c>
      <c r="S6" s="286">
        <v>0.0143116666666667</v>
      </c>
      <c r="T6" s="286">
        <v>0.0555555555555556</v>
      </c>
      <c r="U6" s="285">
        <v>0.670635576572222</v>
      </c>
      <c r="V6" s="39" t="s">
        <v>125</v>
      </c>
      <c r="W6" s="287">
        <v>1.53264980893623</v>
      </c>
    </row>
    <row r="7" customFormat="1" ht="15" customHeight="1" spans="1:23">
      <c r="A7" s="264">
        <v>7</v>
      </c>
      <c r="B7" s="39" t="s">
        <v>132</v>
      </c>
      <c r="C7" s="39" t="s">
        <v>133</v>
      </c>
      <c r="D7" s="270" t="s">
        <v>123</v>
      </c>
      <c r="E7" s="271">
        <v>0.074</v>
      </c>
      <c r="F7" s="272">
        <v>0.076</v>
      </c>
      <c r="G7" s="273">
        <v>23.4513</v>
      </c>
      <c r="H7" s="273">
        <v>1.7822988</v>
      </c>
      <c r="I7" s="278" t="s">
        <v>131</v>
      </c>
      <c r="J7" s="279">
        <v>80</v>
      </c>
      <c r="K7" s="279">
        <v>45</v>
      </c>
      <c r="L7" s="39">
        <v>1</v>
      </c>
      <c r="M7" s="39">
        <v>39</v>
      </c>
      <c r="N7" s="39">
        <v>0.76</v>
      </c>
      <c r="O7" s="39">
        <v>22.5</v>
      </c>
      <c r="P7" s="273">
        <v>0.28125</v>
      </c>
      <c r="Q7" s="284"/>
      <c r="R7" s="285">
        <v>2.54614114285714</v>
      </c>
      <c r="S7" s="286">
        <v>0.292974</v>
      </c>
      <c r="T7" s="286">
        <v>0.333333333333333</v>
      </c>
      <c r="U7" s="285">
        <v>3.12247400133333</v>
      </c>
      <c r="V7" s="39" t="s">
        <v>125</v>
      </c>
      <c r="W7" s="287">
        <v>1.75193632029227</v>
      </c>
    </row>
    <row r="8" customFormat="1" ht="15" customHeight="1" spans="1:23">
      <c r="A8" s="264">
        <v>8</v>
      </c>
      <c r="B8" s="39" t="s">
        <v>134</v>
      </c>
      <c r="C8" s="39" t="s">
        <v>135</v>
      </c>
      <c r="D8" s="270" t="s">
        <v>123</v>
      </c>
      <c r="E8" s="271">
        <v>0.0186</v>
      </c>
      <c r="F8" s="272">
        <v>0.0306</v>
      </c>
      <c r="G8" s="273">
        <v>23.4513</v>
      </c>
      <c r="H8" s="273">
        <v>0.71760978</v>
      </c>
      <c r="I8" s="278" t="s">
        <v>131</v>
      </c>
      <c r="J8" s="279">
        <v>80</v>
      </c>
      <c r="K8" s="279">
        <v>45</v>
      </c>
      <c r="L8" s="39">
        <v>1</v>
      </c>
      <c r="M8" s="39">
        <v>39</v>
      </c>
      <c r="N8" s="39">
        <v>0.76</v>
      </c>
      <c r="O8" s="39">
        <v>22.5</v>
      </c>
      <c r="P8" s="273">
        <v>0.28125</v>
      </c>
      <c r="Q8" s="284"/>
      <c r="R8" s="285">
        <v>1.02515682857143</v>
      </c>
      <c r="S8" s="286">
        <v>0.185968888888889</v>
      </c>
      <c r="T8" s="286">
        <v>0.185185185185185</v>
      </c>
      <c r="U8" s="285">
        <v>1.68551592987407</v>
      </c>
      <c r="V8" s="39" t="s">
        <v>125</v>
      </c>
      <c r="W8" s="287">
        <v>2.34879174845426</v>
      </c>
    </row>
    <row r="9" customFormat="1" ht="15" customHeight="1" spans="1:23">
      <c r="A9" s="264">
        <v>9</v>
      </c>
      <c r="B9" s="39" t="s">
        <v>136</v>
      </c>
      <c r="C9" s="39" t="s">
        <v>137</v>
      </c>
      <c r="D9" s="270" t="s">
        <v>130</v>
      </c>
      <c r="E9" s="271">
        <v>0.0138</v>
      </c>
      <c r="F9" s="272">
        <v>0.00708</v>
      </c>
      <c r="G9" s="273">
        <v>25.6637</v>
      </c>
      <c r="H9" s="273">
        <v>0.181698996</v>
      </c>
      <c r="I9" s="278" t="s">
        <v>131</v>
      </c>
      <c r="J9" s="279">
        <v>90</v>
      </c>
      <c r="K9" s="279">
        <v>40</v>
      </c>
      <c r="L9" s="39">
        <v>8</v>
      </c>
      <c r="M9" s="39">
        <v>39</v>
      </c>
      <c r="N9" s="39">
        <v>0.76</v>
      </c>
      <c r="O9" s="39">
        <v>22.5</v>
      </c>
      <c r="P9" s="273">
        <v>0.03125</v>
      </c>
      <c r="Q9" s="284"/>
      <c r="R9" s="285">
        <v>0.259386682142857</v>
      </c>
      <c r="S9" s="286">
        <v>0.0141661666666667</v>
      </c>
      <c r="T9" s="286">
        <v>0.0555555555555556</v>
      </c>
      <c r="U9" s="285">
        <v>0.328942607782222</v>
      </c>
      <c r="V9" s="39" t="s">
        <v>125</v>
      </c>
      <c r="W9" s="287">
        <v>1.8103710808739</v>
      </c>
    </row>
    <row r="10" customFormat="1" ht="15" customHeight="1" spans="1:23">
      <c r="A10" s="264">
        <v>10</v>
      </c>
      <c r="B10" s="39" t="s">
        <v>138</v>
      </c>
      <c r="C10" s="39" t="s">
        <v>139</v>
      </c>
      <c r="D10" s="270" t="s">
        <v>130</v>
      </c>
      <c r="E10" s="271">
        <v>0.00465</v>
      </c>
      <c r="F10" s="272">
        <v>0.00578</v>
      </c>
      <c r="G10" s="273">
        <v>25.6637</v>
      </c>
      <c r="H10" s="273">
        <v>0.148336186</v>
      </c>
      <c r="I10" s="278" t="s">
        <v>131</v>
      </c>
      <c r="J10" s="279">
        <v>90</v>
      </c>
      <c r="K10" s="279">
        <v>40</v>
      </c>
      <c r="L10" s="39">
        <v>8</v>
      </c>
      <c r="M10" s="39">
        <v>39</v>
      </c>
      <c r="N10" s="39">
        <v>0.76</v>
      </c>
      <c r="O10" s="39">
        <v>22.5</v>
      </c>
      <c r="P10" s="273">
        <v>0.03125</v>
      </c>
      <c r="Q10" s="284"/>
      <c r="R10" s="285">
        <v>0.211725525</v>
      </c>
      <c r="S10" s="286">
        <v>0.0141661666666667</v>
      </c>
      <c r="T10" s="286">
        <v>0.0555555555555556</v>
      </c>
      <c r="U10" s="285">
        <v>0.291909888682222</v>
      </c>
      <c r="V10" s="39" t="s">
        <v>125</v>
      </c>
      <c r="W10" s="287">
        <v>1.96789398833689</v>
      </c>
    </row>
    <row r="11" customFormat="1" ht="15" customHeight="1" spans="1:23">
      <c r="A11" s="264">
        <v>11</v>
      </c>
      <c r="B11" s="39" t="s">
        <v>140</v>
      </c>
      <c r="C11" s="39" t="s">
        <v>141</v>
      </c>
      <c r="D11" s="270" t="s">
        <v>130</v>
      </c>
      <c r="E11" s="271">
        <v>0.01785</v>
      </c>
      <c r="F11" s="272">
        <v>0.0192</v>
      </c>
      <c r="G11" s="273">
        <v>25.6637</v>
      </c>
      <c r="H11" s="273">
        <v>0.49274304</v>
      </c>
      <c r="I11" s="278" t="s">
        <v>131</v>
      </c>
      <c r="J11" s="279">
        <v>90</v>
      </c>
      <c r="K11" s="279">
        <v>40</v>
      </c>
      <c r="L11" s="39">
        <v>4</v>
      </c>
      <c r="M11" s="39">
        <v>39</v>
      </c>
      <c r="N11" s="39">
        <v>0.76</v>
      </c>
      <c r="O11" s="39">
        <v>22.5</v>
      </c>
      <c r="P11" s="273">
        <v>0.0625</v>
      </c>
      <c r="Q11" s="284"/>
      <c r="R11" s="285">
        <v>0.703918628571429</v>
      </c>
      <c r="S11" s="286">
        <v>0.0143116666666667</v>
      </c>
      <c r="T11" s="286">
        <v>0.0555555555555556</v>
      </c>
      <c r="U11" s="285">
        <v>0.731881996622222</v>
      </c>
      <c r="V11" s="39" t="s">
        <v>125</v>
      </c>
      <c r="W11" s="287">
        <v>1.48532183553972</v>
      </c>
    </row>
    <row r="1048197" s="242" customFormat="1"/>
    <row r="1048198" s="242" customFormat="1"/>
    <row r="1048199" s="242" customFormat="1"/>
    <row r="1048200" s="242" customFormat="1"/>
    <row r="1048201" s="242" customFormat="1"/>
    <row r="1048202" s="242" customFormat="1"/>
    <row r="1048203" s="242" customFormat="1"/>
    <row r="1048204" s="242" customFormat="1"/>
    <row r="1048205" s="242" customFormat="1"/>
    <row r="1048206" s="242" customFormat="1"/>
    <row r="1048207" s="242" customFormat="1"/>
    <row r="1048208" s="242" customFormat="1"/>
    <row r="1048209" s="242" customFormat="1"/>
    <row r="1048210" s="242" customFormat="1"/>
    <row r="1048211" s="242" customFormat="1"/>
    <row r="1048212" s="242" customFormat="1"/>
    <row r="1048213" s="242" customFormat="1"/>
    <row r="1048214" s="242" customFormat="1"/>
    <row r="1048215" s="242" customFormat="1"/>
    <row r="1048216" s="242" customFormat="1"/>
    <row r="1048217" s="242" customFormat="1"/>
    <row r="1048218" s="242" customFormat="1"/>
    <row r="1048219" s="242" customFormat="1"/>
    <row r="1048220" s="242" customFormat="1"/>
    <row r="1048221" s="242" customFormat="1"/>
    <row r="1048222" s="242" customFormat="1"/>
    <row r="1048223" s="242" customFormat="1"/>
    <row r="1048224" s="242" customFormat="1"/>
    <row r="1048225" s="242" customFormat="1"/>
    <row r="1048226" s="242" customFormat="1"/>
    <row r="1048227" s="242" customFormat="1"/>
    <row r="1048228" s="242" customFormat="1"/>
    <row r="1048229" s="242" customFormat="1"/>
    <row r="1048230" s="242" customFormat="1"/>
    <row r="1048231" s="242" customFormat="1"/>
    <row r="1048232" s="242" customFormat="1"/>
    <row r="1048233" s="242" customFormat="1"/>
    <row r="1048234" s="242" customFormat="1"/>
    <row r="1048235" s="242" customFormat="1"/>
    <row r="1048236" s="242" customFormat="1"/>
    <row r="1048237" s="242" customFormat="1"/>
    <row r="1048238" s="242" customFormat="1"/>
    <row r="1048239" s="242" customFormat="1"/>
    <row r="1048240" s="242" customFormat="1"/>
    <row r="1048241" s="242" customFormat="1"/>
    <row r="1048242" s="242" customFormat="1"/>
    <row r="1048243" s="242" customFormat="1"/>
    <row r="1048244" s="242" customFormat="1"/>
    <row r="1048245" s="242" customFormat="1"/>
    <row r="1048246" s="242" customFormat="1"/>
    <row r="1048247" s="242" customFormat="1"/>
    <row r="1048248" s="242" customFormat="1"/>
    <row r="1048249" s="242" customFormat="1"/>
    <row r="1048250" s="242" customFormat="1"/>
    <row r="1048251" s="242" customFormat="1"/>
    <row r="1048252" s="242" customFormat="1"/>
    <row r="1048253" s="242" customFormat="1"/>
    <row r="1048254" s="242" customFormat="1"/>
    <row r="1048255" s="242" customFormat="1"/>
    <row r="1048256" s="242" customFormat="1"/>
    <row r="1048257" s="242" customFormat="1"/>
    <row r="1048258" s="242" customFormat="1"/>
    <row r="1048259" s="242" customFormat="1"/>
    <row r="1048260" s="242" customFormat="1"/>
    <row r="1048261" s="242" customFormat="1"/>
    <row r="1048262" s="242" customFormat="1"/>
    <row r="1048263" s="242" customFormat="1"/>
    <row r="1048264" s="242" customFormat="1"/>
    <row r="1048265" s="242" customFormat="1"/>
    <row r="1048266" s="242" customFormat="1"/>
    <row r="1048267" s="242" customFormat="1"/>
    <row r="1048268" s="242" customFormat="1"/>
    <row r="1048269" s="242" customFormat="1"/>
    <row r="1048270" s="242" customFormat="1"/>
    <row r="1048271" s="242" customFormat="1"/>
    <row r="1048272" s="242" customFormat="1"/>
    <row r="1048273" s="242" customFormat="1"/>
    <row r="1048274" s="242" customFormat="1"/>
    <row r="1048275" s="242" customFormat="1"/>
    <row r="1048276" s="242" customFormat="1"/>
    <row r="1048277" s="242" customFormat="1"/>
    <row r="1048278" s="242" customFormat="1"/>
    <row r="1048279" s="242" customFormat="1"/>
    <row r="1048280" s="242" customFormat="1"/>
    <row r="1048281" s="242" customFormat="1"/>
    <row r="1048282" s="242" customFormat="1"/>
    <row r="1048283" s="242" customFormat="1"/>
    <row r="1048284" s="242" customFormat="1"/>
    <row r="1048285" s="242" customFormat="1"/>
    <row r="1048286" s="242" customFormat="1"/>
    <row r="1048287" s="242" customFormat="1"/>
    <row r="1048288" s="242" customFormat="1"/>
    <row r="1048289" s="242" customFormat="1"/>
    <row r="1048290" s="242" customFormat="1"/>
    <row r="1048291" s="242" customFormat="1"/>
    <row r="1048292" s="242" customFormat="1"/>
    <row r="1048293" s="242" customFormat="1"/>
    <row r="1048294" s="242" customFormat="1"/>
    <row r="1048295" s="242" customFormat="1"/>
    <row r="1048296" s="242" customFormat="1"/>
    <row r="1048297" s="242" customFormat="1"/>
    <row r="1048298" s="242" customFormat="1"/>
    <row r="1048299" s="242" customFormat="1"/>
    <row r="1048300" s="242" customFormat="1"/>
    <row r="1048301" s="242" customFormat="1"/>
    <row r="1048302" s="242" customFormat="1"/>
    <row r="1048303" s="242" customFormat="1"/>
    <row r="1048304" s="242" customFormat="1"/>
    <row r="1048305" s="242" customFormat="1"/>
    <row r="1048306" s="242" customFormat="1"/>
    <row r="1048307" s="242" customFormat="1"/>
    <row r="1048308" s="242" customFormat="1"/>
    <row r="1048309" s="242" customFormat="1"/>
    <row r="1048310" s="242" customFormat="1"/>
    <row r="1048311" s="242" customFormat="1"/>
    <row r="1048312" s="242" customFormat="1"/>
    <row r="1048313" s="242" customFormat="1"/>
    <row r="1048314" s="242" customFormat="1"/>
    <row r="1048315" s="242" customFormat="1"/>
    <row r="1048316" s="242" customFormat="1"/>
    <row r="1048317" s="242" customFormat="1"/>
    <row r="1048318" s="242" customFormat="1"/>
    <row r="1048319" s="242" customFormat="1"/>
    <row r="1048320" s="242" customFormat="1"/>
    <row r="1048321" s="242" customFormat="1"/>
    <row r="1048322" s="242" customFormat="1"/>
    <row r="1048323" s="242" customFormat="1"/>
    <row r="1048324" s="242" customFormat="1"/>
    <row r="1048325" s="242" customFormat="1"/>
    <row r="1048326" s="242" customFormat="1"/>
    <row r="1048327" s="242" customFormat="1"/>
    <row r="1048328" s="242" customFormat="1"/>
    <row r="1048329" s="242" customFormat="1"/>
    <row r="1048330" s="242" customFormat="1"/>
    <row r="1048331" s="242" customFormat="1"/>
    <row r="1048332" s="242" customFormat="1"/>
    <row r="1048333" s="242" customFormat="1"/>
    <row r="1048334" s="242" customFormat="1"/>
    <row r="1048335" s="242" customFormat="1"/>
    <row r="1048336" s="242" customFormat="1"/>
    <row r="1048337" s="242" customFormat="1"/>
    <row r="1048338" s="242" customFormat="1"/>
    <row r="1048339" s="242" customFormat="1"/>
    <row r="1048340" s="242" customFormat="1"/>
    <row r="1048341" s="242" customFormat="1"/>
    <row r="1048342" s="242" customFormat="1"/>
    <row r="1048343" s="242" customFormat="1"/>
    <row r="1048344" s="242" customFormat="1"/>
    <row r="1048345" s="242" customFormat="1"/>
    <row r="1048346" s="242" customFormat="1"/>
    <row r="1048347" s="242" customFormat="1"/>
    <row r="1048348" s="242" customFormat="1"/>
    <row r="1048349" s="242" customFormat="1"/>
    <row r="1048350" s="242" customFormat="1"/>
    <row r="1048351" s="242" customFormat="1"/>
    <row r="1048352" s="242" customFormat="1"/>
    <row r="1048353" s="242" customFormat="1"/>
    <row r="1048354" s="242" customFormat="1"/>
    <row r="1048355" s="242" customFormat="1"/>
    <row r="1048356" s="242" customFormat="1"/>
    <row r="1048357" s="242" customFormat="1"/>
    <row r="1048358" s="242" customFormat="1"/>
    <row r="1048359" s="242" customFormat="1"/>
    <row r="1048360" s="242" customFormat="1"/>
    <row r="1048361" s="242" customFormat="1"/>
    <row r="1048362" s="242" customFormat="1"/>
    <row r="1048363" s="242" customFormat="1"/>
    <row r="1048364" s="242" customFormat="1"/>
    <row r="1048365" s="242" customFormat="1"/>
    <row r="1048366" s="242" customFormat="1"/>
    <row r="1048367" s="242" customFormat="1"/>
    <row r="1048368" s="242" customFormat="1"/>
    <row r="1048369" s="242" customFormat="1"/>
    <row r="1048370" s="242" customFormat="1"/>
    <row r="1048371" s="242" customFormat="1"/>
    <row r="1048372" s="242" customFormat="1"/>
    <row r="1048373" s="242" customFormat="1"/>
    <row r="1048374" s="242" customFormat="1"/>
    <row r="1048375" s="242" customFormat="1"/>
    <row r="1048376" s="242" customFormat="1"/>
    <row r="1048377" s="242" customFormat="1"/>
    <row r="1048378" s="242" customFormat="1"/>
    <row r="1048379" s="242" customFormat="1"/>
    <row r="1048380" s="242" customFormat="1"/>
    <row r="1048381" s="242" customFormat="1"/>
    <row r="1048382" s="242" customFormat="1"/>
    <row r="1048383" s="242" customFormat="1"/>
    <row r="1048384" s="242" customFormat="1"/>
    <row r="1048385" s="242" customFormat="1"/>
    <row r="1048386" s="242" customFormat="1"/>
    <row r="1048387" s="242" customFormat="1"/>
    <row r="1048388" s="242" customFormat="1"/>
    <row r="1048389" s="242" customFormat="1"/>
    <row r="1048390" s="242" customFormat="1"/>
    <row r="1048391" s="242" customFormat="1"/>
    <row r="1048392" s="242" customFormat="1"/>
    <row r="1048393" s="242" customFormat="1"/>
    <row r="1048394" s="242" customFormat="1"/>
    <row r="1048395" s="242" customFormat="1"/>
    <row r="1048396" s="242" customFormat="1"/>
    <row r="1048397" s="242" customFormat="1"/>
    <row r="1048398" s="242" customFormat="1"/>
    <row r="1048399" s="242" customFormat="1"/>
    <row r="1048400" s="242" customFormat="1"/>
    <row r="1048401" s="242" customFormat="1"/>
    <row r="1048402" s="242" customFormat="1"/>
    <row r="1048403" s="242" customFormat="1"/>
    <row r="1048404" s="242" customFormat="1"/>
    <row r="1048405" s="242" customFormat="1"/>
    <row r="1048406" s="242" customFormat="1"/>
    <row r="1048407" s="242" customFormat="1"/>
    <row r="1048408" s="242" customFormat="1"/>
    <row r="1048409" s="242" customFormat="1"/>
    <row r="1048410" s="242" customFormat="1"/>
    <row r="1048411" s="242" customFormat="1"/>
    <row r="1048412" s="242" customFormat="1"/>
    <row r="1048413" s="242" customFormat="1"/>
    <row r="1048414" s="242" customFormat="1"/>
    <row r="1048415" s="242" customFormat="1"/>
    <row r="1048416" s="242" customFormat="1"/>
    <row r="1048417" s="242" customFormat="1"/>
    <row r="1048418" s="242" customFormat="1"/>
    <row r="1048419" s="242" customFormat="1"/>
    <row r="1048420" s="242" customFormat="1"/>
    <row r="1048421" s="242" customFormat="1"/>
    <row r="1048422" s="242" customFormat="1"/>
    <row r="1048423" s="242" customFormat="1"/>
    <row r="1048424" s="242" customFormat="1"/>
    <row r="1048425" s="242" customFormat="1"/>
    <row r="1048426" s="242" customFormat="1"/>
    <row r="1048427" s="242" customFormat="1"/>
    <row r="1048428" s="242" customFormat="1"/>
    <row r="1048429" s="242" customFormat="1"/>
    <row r="1048430" s="242" customFormat="1"/>
    <row r="1048431" s="242" customFormat="1"/>
    <row r="1048432" s="242" customFormat="1"/>
    <row r="1048433" s="242" customFormat="1"/>
    <row r="1048434" s="242" customFormat="1"/>
    <row r="1048435" s="242" customFormat="1"/>
    <row r="1048436" s="242" customFormat="1"/>
    <row r="1048437" s="242" customFormat="1"/>
    <row r="1048438" s="242" customFormat="1"/>
    <row r="1048439" s="242" customFormat="1"/>
    <row r="1048440" s="242" customFormat="1"/>
    <row r="1048441" s="242" customFormat="1"/>
    <row r="1048442" s="242" customFormat="1"/>
    <row r="1048443" s="242" customFormat="1"/>
    <row r="1048444" s="242" customFormat="1"/>
    <row r="1048445" s="242" customFormat="1"/>
    <row r="1048446" s="242" customFormat="1"/>
    <row r="1048447" s="242" customFormat="1"/>
    <row r="1048448" s="242" customFormat="1"/>
    <row r="1048449" s="242" customFormat="1"/>
    <row r="1048450" s="242" customFormat="1"/>
    <row r="1048451" s="242" customFormat="1"/>
    <row r="1048452" s="242" customFormat="1"/>
    <row r="1048453" s="242" customFormat="1"/>
    <row r="1048454" s="242" customFormat="1"/>
    <row r="1048455" s="242" customFormat="1"/>
    <row r="1048456" s="242" customFormat="1"/>
    <row r="1048457" s="242" customFormat="1"/>
    <row r="1048458" s="242" customFormat="1"/>
    <row r="1048459" s="242" customFormat="1"/>
    <row r="1048460" s="242" customFormat="1"/>
    <row r="1048461" s="242" customFormat="1"/>
    <row r="1048462" s="242" customFormat="1"/>
    <row r="1048463" s="242" customFormat="1"/>
    <row r="1048464" s="242" customFormat="1"/>
    <row r="1048465" s="242" customFormat="1"/>
    <row r="1048466" s="242" customFormat="1"/>
    <row r="1048467" s="242" customFormat="1"/>
    <row r="1048468" s="242" customFormat="1"/>
    <row r="1048469" s="242" customFormat="1"/>
    <row r="1048470" s="242" customFormat="1"/>
    <row r="1048471" s="242" customFormat="1"/>
    <row r="1048472" s="242" customFormat="1"/>
    <row r="1048473" s="242" customFormat="1"/>
    <row r="1048474" s="242" customFormat="1"/>
    <row r="1048475" s="242" customFormat="1"/>
    <row r="1048476" s="242" customFormat="1"/>
    <row r="1048477" s="242" customFormat="1"/>
    <row r="1048478" s="242" customFormat="1"/>
    <row r="1048479" s="242" customFormat="1"/>
    <row r="1048480" s="242" customFormat="1"/>
    <row r="1048481" s="242" customFormat="1"/>
    <row r="1048482" s="242" customFormat="1"/>
    <row r="1048483" s="242" customFormat="1"/>
    <row r="1048484" s="242" customFormat="1"/>
    <row r="1048485" s="242" customFormat="1"/>
    <row r="1048486" s="242" customFormat="1"/>
    <row r="1048487" s="242" customFormat="1"/>
    <row r="1048488" s="242" customFormat="1"/>
    <row r="1048489" s="242" customFormat="1"/>
    <row r="1048490" s="242" customFormat="1"/>
    <row r="1048491" s="242" customFormat="1"/>
    <row r="1048492" s="242" customFormat="1"/>
    <row r="1048493" s="242" customFormat="1"/>
    <row r="1048494" s="242" customFormat="1"/>
    <row r="1048495" s="242" customFormat="1"/>
    <row r="1048496" s="242" customFormat="1"/>
    <row r="1048497" s="242" customFormat="1"/>
    <row r="1048498" s="242" customFormat="1"/>
    <row r="1048499" s="242" customFormat="1"/>
    <row r="1048500" s="242" customFormat="1"/>
    <row r="1048501" s="242" customFormat="1"/>
    <row r="1048502" s="242" customFormat="1"/>
    <row r="1048503" s="242" customFormat="1"/>
    <row r="1048504" s="242" customFormat="1"/>
    <row r="1048505" s="242" customFormat="1"/>
    <row r="1048506" s="242" customFormat="1"/>
    <row r="1048507" s="242" customFormat="1"/>
    <row r="1048508" s="242" customFormat="1"/>
    <row r="1048509" s="242" customFormat="1"/>
    <row r="1048510" s="242" customFormat="1"/>
    <row r="1048511" s="242" customFormat="1"/>
    <row r="1048512" s="242" customFormat="1"/>
    <row r="1048513" s="242" customFormat="1"/>
    <row r="1048514" s="242" customFormat="1"/>
    <row r="1048515" s="242" customFormat="1"/>
    <row r="1048516" s="242" customFormat="1"/>
    <row r="1048517" s="242" customFormat="1"/>
    <row r="1048518" s="242" customFormat="1"/>
    <row r="1048519" s="242" customFormat="1"/>
    <row r="1048520" s="242" customFormat="1"/>
    <row r="1048521" s="242" customFormat="1"/>
    <row r="1048522" s="242" customFormat="1"/>
    <row r="1048523" s="242" customFormat="1"/>
    <row r="1048524" s="242" customFormat="1"/>
    <row r="1048525" s="242" customFormat="1"/>
    <row r="1048526" s="242" customFormat="1"/>
    <row r="1048527" s="242" customFormat="1"/>
    <row r="1048528" s="242" customFormat="1"/>
    <row r="1048529" s="242" customFormat="1"/>
    <row r="1048530" s="242" customFormat="1"/>
    <row r="1048531" s="242" customFormat="1"/>
    <row r="1048532" s="242" customFormat="1"/>
    <row r="1048533" s="242" customFormat="1"/>
    <row r="1048534" s="242" customFormat="1"/>
    <row r="1048535" s="242" customFormat="1"/>
    <row r="1048536" s="242" customFormat="1"/>
    <row r="1048537" s="242" customFormat="1"/>
    <row r="1048538" s="242" customFormat="1"/>
    <row r="1048539" s="242" customFormat="1"/>
    <row r="1048540" s="242" customFormat="1"/>
    <row r="1048541" s="242" customFormat="1"/>
    <row r="1048542" s="242" customFormat="1"/>
    <row r="1048543" s="242" customFormat="1"/>
    <row r="1048544" s="242" customFormat="1"/>
    <row r="1048545" s="242" customFormat="1"/>
    <row r="1048546" s="242" customFormat="1"/>
    <row r="1048547" s="242" customFormat="1"/>
    <row r="1048548" s="242" customFormat="1"/>
    <row r="1048549" s="242" customFormat="1"/>
    <row r="1048550" s="242" customFormat="1"/>
    <row r="1048551" s="242" customFormat="1"/>
    <row r="1048552" s="242" customFormat="1"/>
    <row r="1048553" s="242" customFormat="1"/>
    <row r="1048554" s="242" customFormat="1"/>
    <row r="1048555" s="242" customFormat="1"/>
    <row r="1048556" s="242" customFormat="1"/>
    <row r="1048557" s="242" customFormat="1"/>
    <row r="1048558" s="242" customFormat="1"/>
    <row r="1048559" s="242" customFormat="1"/>
    <row r="1048560" s="242" customFormat="1"/>
    <row r="1048561" s="242" customFormat="1"/>
    <row r="1048562" s="242" customFormat="1"/>
    <row r="1048563" s="242" customFormat="1"/>
    <row r="1048564" s="242" customFormat="1"/>
    <row r="1048565" s="242" customFormat="1"/>
    <row r="1048566" s="242" customFormat="1"/>
    <row r="1048567" s="242" customFormat="1"/>
    <row r="1048568" s="242" customFormat="1"/>
    <row r="1048569" s="242" customFormat="1"/>
    <row r="1048570" s="242" customFormat="1"/>
    <row r="1048571" s="242" customFormat="1"/>
    <row r="1048572" s="242" customFormat="1"/>
    <row r="1048573" s="242" customFormat="1"/>
    <row r="1048574" s="242" customFormat="1"/>
    <row r="1048575" s="242" customFormat="1"/>
    <row r="1048576" s="242" customFormat="1"/>
  </sheetData>
  <mergeCells count="25">
    <mergeCell ref="A1:W1"/>
    <mergeCell ref="E2:F2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</mergeCells>
  <pageMargins left="0.75" right="0.75" top="1" bottom="1" header="0.5" footer="0.5"/>
  <headerFooter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A2" sqref="A2:E2"/>
    </sheetView>
  </sheetViews>
  <sheetFormatPr defaultColWidth="9" defaultRowHeight="14.4" outlineLevelCol="4"/>
  <cols>
    <col min="1" max="1" width="11.4444444444444" customWidth="1"/>
    <col min="2" max="2" width="25.7314814814815" customWidth="1"/>
  </cols>
  <sheetData>
    <row r="1" spans="1:2">
      <c r="A1" t="s">
        <v>446</v>
      </c>
      <c r="B1" t="s">
        <v>447</v>
      </c>
    </row>
    <row r="2" spans="1:5">
      <c r="A2" s="38" t="s">
        <v>143</v>
      </c>
      <c r="B2" s="38" t="s">
        <v>144</v>
      </c>
      <c r="C2" s="39" t="s">
        <v>472</v>
      </c>
      <c r="D2" s="39" t="s">
        <v>474</v>
      </c>
      <c r="E2" s="39" t="s">
        <v>19</v>
      </c>
    </row>
    <row r="3" spans="1:5">
      <c r="A3" s="38" t="s">
        <v>254</v>
      </c>
      <c r="B3" s="38" t="s">
        <v>255</v>
      </c>
      <c r="C3" s="38">
        <v>1</v>
      </c>
      <c r="D3" s="39" t="s">
        <v>481</v>
      </c>
      <c r="E3" s="39">
        <f>VLOOKUP(A3,材料价格!A:D,3,FALSE)</f>
        <v>0</v>
      </c>
    </row>
    <row r="4" spans="1:5">
      <c r="A4" s="38" t="s">
        <v>257</v>
      </c>
      <c r="B4" s="38" t="s">
        <v>258</v>
      </c>
      <c r="C4" s="38">
        <v>1</v>
      </c>
      <c r="D4" s="39" t="s">
        <v>481</v>
      </c>
      <c r="E4" s="39">
        <f>VLOOKUP(A4,材料价格!A:D,3,FALSE)</f>
        <v>0</v>
      </c>
    </row>
    <row r="5" spans="1:5">
      <c r="A5" s="38" t="s">
        <v>259</v>
      </c>
      <c r="B5" s="38" t="s">
        <v>260</v>
      </c>
      <c r="C5" s="38">
        <v>1</v>
      </c>
      <c r="D5" s="39" t="s">
        <v>481</v>
      </c>
      <c r="E5" s="39">
        <f>VLOOKUP(A5,材料价格!A:D,3,FALSE)</f>
        <v>47.69</v>
      </c>
    </row>
    <row r="6" spans="1:5">
      <c r="A6" s="38" t="s">
        <v>177</v>
      </c>
      <c r="B6" s="38" t="s">
        <v>178</v>
      </c>
      <c r="C6" s="38">
        <v>3</v>
      </c>
      <c r="D6" s="39" t="s">
        <v>481</v>
      </c>
      <c r="E6" s="39">
        <f>VLOOKUP(A6,材料价格!A:D,3,FALSE)</f>
        <v>0.0874</v>
      </c>
    </row>
    <row r="7" spans="1:5">
      <c r="A7" s="38" t="s">
        <v>180</v>
      </c>
      <c r="B7" s="38" t="s">
        <v>181</v>
      </c>
      <c r="C7" s="38">
        <v>3</v>
      </c>
      <c r="D7" s="39" t="s">
        <v>481</v>
      </c>
      <c r="E7" s="39">
        <f>VLOOKUP(A7,材料价格!A:D,3,FALSE)</f>
        <v>0.1074</v>
      </c>
    </row>
    <row r="8" spans="1:5">
      <c r="A8" s="38" t="s">
        <v>182</v>
      </c>
      <c r="B8" s="38" t="s">
        <v>181</v>
      </c>
      <c r="C8" s="38">
        <v>3</v>
      </c>
      <c r="D8" s="39" t="s">
        <v>481</v>
      </c>
      <c r="E8" s="39">
        <f>VLOOKUP(A8,材料价格!A:D,3,FALSE)</f>
        <v>0.1482</v>
      </c>
    </row>
    <row r="9" spans="1:5">
      <c r="A9" s="38" t="s">
        <v>183</v>
      </c>
      <c r="B9" s="38" t="s">
        <v>184</v>
      </c>
      <c r="C9" s="38">
        <v>1</v>
      </c>
      <c r="D9" s="39" t="s">
        <v>481</v>
      </c>
      <c r="E9" s="39">
        <f>VLOOKUP(A9,材料价格!A:D,3,FALSE)</f>
        <v>11.26</v>
      </c>
    </row>
    <row r="10" spans="1:5">
      <c r="A10" s="38" t="s">
        <v>261</v>
      </c>
      <c r="B10" s="38" t="s">
        <v>262</v>
      </c>
      <c r="C10" s="38">
        <v>1</v>
      </c>
      <c r="D10" s="39" t="s">
        <v>481</v>
      </c>
      <c r="E10" s="39">
        <f>VLOOKUP(A10,材料价格!A:D,3,FALSE)</f>
        <v>1.21</v>
      </c>
    </row>
    <row r="11" spans="1:5">
      <c r="A11" s="38" t="s">
        <v>264</v>
      </c>
      <c r="B11" s="38" t="s">
        <v>265</v>
      </c>
      <c r="C11" s="38">
        <v>1</v>
      </c>
      <c r="D11" s="39" t="s">
        <v>481</v>
      </c>
      <c r="E11" s="39">
        <f>VLOOKUP(A11,材料价格!A:D,3,FALSE)</f>
        <v>0.127</v>
      </c>
    </row>
    <row r="12" spans="1:5">
      <c r="A12" s="38" t="s">
        <v>266</v>
      </c>
      <c r="B12" s="38" t="s">
        <v>267</v>
      </c>
      <c r="C12" s="38">
        <v>1</v>
      </c>
      <c r="D12" s="39" t="s">
        <v>481</v>
      </c>
      <c r="E12" s="39">
        <f>VLOOKUP(A12,材料价格!A:D,3,FALSE)</f>
        <v>4.319</v>
      </c>
    </row>
    <row r="13" spans="1:5">
      <c r="A13" s="38" t="s">
        <v>268</v>
      </c>
      <c r="B13" s="38" t="s">
        <v>269</v>
      </c>
      <c r="C13" s="38">
        <v>1</v>
      </c>
      <c r="D13" s="39" t="s">
        <v>481</v>
      </c>
      <c r="E13" s="39">
        <f>VLOOKUP(A13,材料价格!A:D,3,FALSE)</f>
        <v>4.576</v>
      </c>
    </row>
    <row r="14" spans="1:5">
      <c r="A14" s="38" t="s">
        <v>270</v>
      </c>
      <c r="B14" s="38" t="s">
        <v>271</v>
      </c>
      <c r="C14" s="38">
        <v>1</v>
      </c>
      <c r="D14" s="39" t="s">
        <v>481</v>
      </c>
      <c r="E14" s="39">
        <f>VLOOKUP(A14,材料价格!A:D,3,FALSE)</f>
        <v>1.07799974074074</v>
      </c>
    </row>
    <row r="15" spans="1:5">
      <c r="A15" s="38" t="s">
        <v>272</v>
      </c>
      <c r="B15" s="38" t="s">
        <v>273</v>
      </c>
      <c r="C15" s="38">
        <v>2</v>
      </c>
      <c r="D15" s="39" t="s">
        <v>481</v>
      </c>
      <c r="E15" s="39">
        <f>VLOOKUP(A15,材料价格!A:D,3,FALSE)</f>
        <v>0.21</v>
      </c>
    </row>
    <row r="16" spans="1:5">
      <c r="A16" s="38" t="s">
        <v>274</v>
      </c>
      <c r="B16" s="38" t="s">
        <v>275</v>
      </c>
      <c r="C16" s="38">
        <v>1</v>
      </c>
      <c r="D16" s="39" t="s">
        <v>481</v>
      </c>
      <c r="E16" s="39">
        <f>VLOOKUP(A16,材料价格!A:D,3,FALSE)</f>
        <v>3.7</v>
      </c>
    </row>
    <row r="17" spans="1:5">
      <c r="A17" s="38" t="s">
        <v>276</v>
      </c>
      <c r="B17" s="38" t="s">
        <v>277</v>
      </c>
      <c r="C17" s="38">
        <v>1</v>
      </c>
      <c r="D17" s="39" t="s">
        <v>481</v>
      </c>
      <c r="E17" s="39">
        <f>VLOOKUP(A17,材料价格!A:D,3,FALSE)</f>
        <v>1.028</v>
      </c>
    </row>
    <row r="18" spans="1:5">
      <c r="A18" s="38" t="s">
        <v>278</v>
      </c>
      <c r="B18" s="38" t="s">
        <v>279</v>
      </c>
      <c r="C18" s="38">
        <v>1</v>
      </c>
      <c r="D18" s="39" t="s">
        <v>481</v>
      </c>
      <c r="E18" s="39">
        <f>VLOOKUP(A18,材料价格!A:D,3,FALSE)</f>
        <v>2.5</v>
      </c>
    </row>
    <row r="19" spans="1:5">
      <c r="A19" s="38" t="s">
        <v>280</v>
      </c>
      <c r="B19" s="38" t="s">
        <v>281</v>
      </c>
      <c r="C19" s="38">
        <v>1</v>
      </c>
      <c r="D19" s="39" t="s">
        <v>481</v>
      </c>
      <c r="E19" s="39">
        <f>VLOOKUP(A19,材料价格!A:D,3,FALSE)</f>
        <v>10.53</v>
      </c>
    </row>
    <row r="20" spans="1:5">
      <c r="A20" s="38" t="s">
        <v>283</v>
      </c>
      <c r="B20" s="38" t="s">
        <v>284</v>
      </c>
      <c r="C20" s="38">
        <v>1</v>
      </c>
      <c r="D20" s="39" t="s">
        <v>481</v>
      </c>
      <c r="E20" s="39">
        <f>VLOOKUP(A20,材料价格!A:D,3,FALSE)</f>
        <v>1.68</v>
      </c>
    </row>
    <row r="21" spans="1:5">
      <c r="A21" s="38" t="s">
        <v>285</v>
      </c>
      <c r="B21" s="38" t="s">
        <v>286</v>
      </c>
      <c r="C21" s="38">
        <v>1</v>
      </c>
      <c r="D21" s="39" t="s">
        <v>481</v>
      </c>
      <c r="E21" s="39">
        <f>VLOOKUP(A21,材料价格!A:D,3,FALSE)</f>
        <v>0</v>
      </c>
    </row>
    <row r="22" spans="1:5">
      <c r="A22" s="38" t="s">
        <v>288</v>
      </c>
      <c r="B22" s="38" t="s">
        <v>289</v>
      </c>
      <c r="C22" s="38">
        <v>1</v>
      </c>
      <c r="D22" s="39" t="s">
        <v>481</v>
      </c>
      <c r="E22" s="39">
        <f>VLOOKUP(A22,材料价格!A:D,3,FALSE)</f>
        <v>10.39</v>
      </c>
    </row>
    <row r="23" spans="1:5">
      <c r="A23" s="38" t="s">
        <v>291</v>
      </c>
      <c r="B23" s="38" t="s">
        <v>178</v>
      </c>
      <c r="C23" s="38">
        <v>4</v>
      </c>
      <c r="D23" s="39" t="s">
        <v>481</v>
      </c>
      <c r="E23" s="39">
        <f>VLOOKUP(A23,材料价格!A:D,3,FALSE)</f>
        <v>0.1425</v>
      </c>
    </row>
    <row r="24" spans="1:5">
      <c r="A24" s="38" t="s">
        <v>292</v>
      </c>
      <c r="B24" s="38" t="s">
        <v>293</v>
      </c>
      <c r="C24" s="38">
        <v>1</v>
      </c>
      <c r="D24" s="39" t="s">
        <v>481</v>
      </c>
      <c r="E24" s="39">
        <f>VLOOKUP(A24,材料价格!A:D,3,FALSE)</f>
        <v>32.23</v>
      </c>
    </row>
    <row r="25" spans="1:5">
      <c r="A25" s="38" t="s">
        <v>295</v>
      </c>
      <c r="B25" s="38" t="s">
        <v>296</v>
      </c>
      <c r="C25" s="38">
        <v>1</v>
      </c>
      <c r="D25" s="39" t="s">
        <v>481</v>
      </c>
      <c r="E25" s="39">
        <f>VLOOKUP(A25,材料价格!A:D,3,FALSE)</f>
        <v>2.12</v>
      </c>
    </row>
    <row r="26" spans="1:5">
      <c r="A26" s="38" t="s">
        <v>297</v>
      </c>
      <c r="B26" s="38" t="s">
        <v>298</v>
      </c>
      <c r="C26" s="38">
        <v>1</v>
      </c>
      <c r="D26" s="39" t="s">
        <v>481</v>
      </c>
      <c r="E26" s="39">
        <f>VLOOKUP(A26,材料价格!A:D,3,FALSE)</f>
        <v>4.839</v>
      </c>
    </row>
    <row r="27" spans="1:5">
      <c r="A27" s="38" t="s">
        <v>299</v>
      </c>
      <c r="B27" s="38" t="s">
        <v>300</v>
      </c>
      <c r="C27" s="38">
        <v>1</v>
      </c>
      <c r="D27" s="39" t="s">
        <v>481</v>
      </c>
      <c r="E27" s="39">
        <f>VLOOKUP(A27,材料价格!A:D,3,FALSE)</f>
        <v>0</v>
      </c>
    </row>
    <row r="28" spans="1:5">
      <c r="A28" s="38" t="s">
        <v>301</v>
      </c>
      <c r="B28" s="38" t="s">
        <v>302</v>
      </c>
      <c r="C28" s="38">
        <v>1</v>
      </c>
      <c r="D28" s="39" t="s">
        <v>481</v>
      </c>
      <c r="E28" s="39">
        <f>VLOOKUP(A28,材料价格!A:D,3,FALSE)</f>
        <v>0</v>
      </c>
    </row>
    <row r="29" spans="1:5">
      <c r="A29" s="38" t="s">
        <v>303</v>
      </c>
      <c r="B29" s="38" t="s">
        <v>304</v>
      </c>
      <c r="C29" s="38">
        <v>1</v>
      </c>
      <c r="D29" s="39" t="s">
        <v>481</v>
      </c>
      <c r="E29" s="39">
        <f>VLOOKUP(A29,材料价格!A:D,3,FALSE)</f>
        <v>2.1</v>
      </c>
    </row>
    <row r="30" spans="1:5">
      <c r="A30" s="38" t="s">
        <v>306</v>
      </c>
      <c r="B30" s="38" t="s">
        <v>307</v>
      </c>
      <c r="C30" s="38">
        <v>1</v>
      </c>
      <c r="D30" s="39" t="s">
        <v>481</v>
      </c>
      <c r="E30" s="39">
        <f>VLOOKUP(A30,材料价格!A:D,3,FALSE)</f>
        <v>12.75</v>
      </c>
    </row>
    <row r="31" spans="1:5">
      <c r="A31" s="38" t="s">
        <v>308</v>
      </c>
      <c r="B31" s="38" t="s">
        <v>309</v>
      </c>
      <c r="C31" s="38">
        <v>1</v>
      </c>
      <c r="D31" s="39" t="s">
        <v>481</v>
      </c>
      <c r="E31" s="39">
        <f>VLOOKUP(A31,材料价格!A:D,3,FALSE)</f>
        <v>90.75</v>
      </c>
    </row>
    <row r="32" spans="1:5">
      <c r="A32" s="38" t="s">
        <v>311</v>
      </c>
      <c r="B32" s="38" t="s">
        <v>178</v>
      </c>
      <c r="C32" s="38">
        <v>5</v>
      </c>
      <c r="D32" s="39" t="s">
        <v>481</v>
      </c>
      <c r="E32" s="39">
        <f>VLOOKUP(A32,材料价格!A:D,3,FALSE)</f>
        <v>0.2</v>
      </c>
    </row>
    <row r="33" spans="1:5">
      <c r="A33" s="38" t="s">
        <v>312</v>
      </c>
      <c r="B33" s="38" t="s">
        <v>313</v>
      </c>
      <c r="C33" s="38">
        <v>1</v>
      </c>
      <c r="D33" s="39" t="s">
        <v>481</v>
      </c>
      <c r="E33" s="39">
        <f>VLOOKUP(A33,材料价格!A:D,3,FALSE)</f>
        <v>0.552</v>
      </c>
    </row>
    <row r="34" spans="1:5">
      <c r="A34" s="38" t="s">
        <v>314</v>
      </c>
      <c r="B34" s="38" t="s">
        <v>315</v>
      </c>
      <c r="C34" s="38">
        <v>1</v>
      </c>
      <c r="D34" s="39" t="s">
        <v>481</v>
      </c>
      <c r="E34" s="39">
        <f>VLOOKUP(A34,材料价格!A:D,3,FALSE)</f>
        <v>4.5</v>
      </c>
    </row>
    <row r="35" spans="1:5">
      <c r="A35" s="38" t="s">
        <v>316</v>
      </c>
      <c r="B35" s="38" t="s">
        <v>317</v>
      </c>
      <c r="C35" s="38">
        <v>1</v>
      </c>
      <c r="D35" s="39" t="s">
        <v>481</v>
      </c>
      <c r="E35" s="39">
        <f>VLOOKUP(A35,材料价格!A:D,3,FALSE)</f>
        <v>0.79</v>
      </c>
    </row>
    <row r="36" spans="1:5">
      <c r="A36" s="38" t="s">
        <v>319</v>
      </c>
      <c r="B36" s="38" t="s">
        <v>320</v>
      </c>
      <c r="C36" s="38">
        <v>1</v>
      </c>
      <c r="D36" s="39" t="s">
        <v>481</v>
      </c>
      <c r="E36" s="39">
        <f>VLOOKUP(A36,材料价格!A:D,3,FALSE)</f>
        <v>10</v>
      </c>
    </row>
    <row r="37" spans="5:5">
      <c r="E37" s="39">
        <f>SUMPRODUCT(C3:C36,E3:E36)</f>
        <v>263.737999740741</v>
      </c>
    </row>
  </sheetData>
  <conditionalFormatting sqref="A2">
    <cfRule type="duplicateValues" dxfId="0" priority="1"/>
  </conditionalFormatting>
  <conditionalFormatting sqref="A3:A36">
    <cfRule type="duplicateValues" dxfId="0" priority="2"/>
  </conditionalFormatting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25" workbookViewId="0">
      <selection activeCell="B29" sqref="B29"/>
    </sheetView>
  </sheetViews>
  <sheetFormatPr defaultColWidth="9" defaultRowHeight="14.4" outlineLevelCol="4"/>
  <cols>
    <col min="1" max="1" width="11.4444444444444" customWidth="1"/>
    <col min="2" max="2" width="25.7314814814815" customWidth="1"/>
    <col min="3" max="3" width="11.4444444444444" customWidth="1"/>
  </cols>
  <sheetData>
    <row r="1" spans="1:2">
      <c r="A1" t="s">
        <v>448</v>
      </c>
      <c r="B1" t="s">
        <v>449</v>
      </c>
    </row>
    <row r="2" spans="1:5">
      <c r="A2" s="38" t="s">
        <v>143</v>
      </c>
      <c r="B2" s="38" t="s">
        <v>144</v>
      </c>
      <c r="C2" s="39" t="s">
        <v>472</v>
      </c>
      <c r="D2" s="39" t="s">
        <v>474</v>
      </c>
      <c r="E2" s="39" t="s">
        <v>19</v>
      </c>
    </row>
    <row r="3" spans="1:5">
      <c r="A3" s="38" t="s">
        <v>254</v>
      </c>
      <c r="B3" s="38" t="s">
        <v>255</v>
      </c>
      <c r="C3" s="38">
        <v>1</v>
      </c>
      <c r="D3" s="39" t="s">
        <v>481</v>
      </c>
      <c r="E3" s="39">
        <f>VLOOKUP(A3,材料价格!A:D,3,FALSE)</f>
        <v>0</v>
      </c>
    </row>
    <row r="4" spans="1:5">
      <c r="A4" s="38" t="s">
        <v>257</v>
      </c>
      <c r="B4" s="38" t="s">
        <v>258</v>
      </c>
      <c r="C4" s="38">
        <v>1</v>
      </c>
      <c r="D4" s="39" t="s">
        <v>481</v>
      </c>
      <c r="E4" s="39">
        <f>VLOOKUP(A4,材料价格!A:D,3,FALSE)</f>
        <v>0</v>
      </c>
    </row>
    <row r="5" spans="1:5">
      <c r="A5" s="38" t="s">
        <v>259</v>
      </c>
      <c r="B5" s="38" t="s">
        <v>260</v>
      </c>
      <c r="C5" s="38">
        <v>1</v>
      </c>
      <c r="D5" s="39" t="s">
        <v>481</v>
      </c>
      <c r="E5" s="39">
        <f>VLOOKUP(A5,材料价格!A:D,3,FALSE)</f>
        <v>47.69</v>
      </c>
    </row>
    <row r="6" spans="1:5">
      <c r="A6" s="38" t="s">
        <v>177</v>
      </c>
      <c r="B6" s="38" t="s">
        <v>178</v>
      </c>
      <c r="C6" s="38">
        <v>3</v>
      </c>
      <c r="D6" s="39" t="s">
        <v>481</v>
      </c>
      <c r="E6" s="39">
        <f>VLOOKUP(A6,材料价格!A:D,3,FALSE)</f>
        <v>0.0874</v>
      </c>
    </row>
    <row r="7" spans="1:5">
      <c r="A7" s="38" t="s">
        <v>180</v>
      </c>
      <c r="B7" s="38" t="s">
        <v>181</v>
      </c>
      <c r="C7" s="38">
        <v>3</v>
      </c>
      <c r="D7" s="39" t="s">
        <v>481</v>
      </c>
      <c r="E7" s="39">
        <f>VLOOKUP(A7,材料价格!A:D,3,FALSE)</f>
        <v>0.1074</v>
      </c>
    </row>
    <row r="8" spans="1:5">
      <c r="A8" s="38" t="s">
        <v>182</v>
      </c>
      <c r="B8" s="38" t="s">
        <v>181</v>
      </c>
      <c r="C8" s="38">
        <v>3</v>
      </c>
      <c r="D8" s="39" t="s">
        <v>481</v>
      </c>
      <c r="E8" s="39">
        <f>VLOOKUP(A8,材料价格!A:D,3,FALSE)</f>
        <v>0.1482</v>
      </c>
    </row>
    <row r="9" spans="1:5">
      <c r="A9" s="38" t="s">
        <v>183</v>
      </c>
      <c r="B9" s="38" t="s">
        <v>184</v>
      </c>
      <c r="C9" s="38">
        <v>1</v>
      </c>
      <c r="D9" s="39" t="s">
        <v>481</v>
      </c>
      <c r="E9" s="39">
        <f>VLOOKUP(A9,材料价格!A:D,3,FALSE)</f>
        <v>11.26</v>
      </c>
    </row>
    <row r="10" spans="1:5">
      <c r="A10" s="38" t="s">
        <v>261</v>
      </c>
      <c r="B10" s="38" t="s">
        <v>262</v>
      </c>
      <c r="C10" s="38">
        <v>1</v>
      </c>
      <c r="D10" s="39" t="s">
        <v>481</v>
      </c>
      <c r="E10" s="39">
        <f>VLOOKUP(A10,材料价格!A:D,3,FALSE)</f>
        <v>1.21</v>
      </c>
    </row>
    <row r="11" spans="1:5">
      <c r="A11" s="38" t="s">
        <v>264</v>
      </c>
      <c r="B11" s="38" t="s">
        <v>265</v>
      </c>
      <c r="C11" s="38">
        <v>1</v>
      </c>
      <c r="D11" s="39" t="s">
        <v>481</v>
      </c>
      <c r="E11" s="39">
        <f>VLOOKUP(A11,材料价格!A:D,3,FALSE)</f>
        <v>0.127</v>
      </c>
    </row>
    <row r="12" spans="1:5">
      <c r="A12" s="38" t="s">
        <v>266</v>
      </c>
      <c r="B12" s="38" t="s">
        <v>267</v>
      </c>
      <c r="C12" s="38">
        <v>1</v>
      </c>
      <c r="D12" s="39" t="s">
        <v>481</v>
      </c>
      <c r="E12" s="39">
        <f>VLOOKUP(A12,材料价格!A:D,3,FALSE)</f>
        <v>4.319</v>
      </c>
    </row>
    <row r="13" spans="1:5">
      <c r="A13" s="38" t="s">
        <v>268</v>
      </c>
      <c r="B13" s="38" t="s">
        <v>269</v>
      </c>
      <c r="C13" s="38">
        <v>1</v>
      </c>
      <c r="D13" s="39" t="s">
        <v>481</v>
      </c>
      <c r="E13" s="39">
        <f>VLOOKUP(A13,材料价格!A:D,3,FALSE)</f>
        <v>4.576</v>
      </c>
    </row>
    <row r="14" spans="1:5">
      <c r="A14" s="38" t="s">
        <v>270</v>
      </c>
      <c r="B14" s="38" t="s">
        <v>271</v>
      </c>
      <c r="C14" s="38">
        <v>1</v>
      </c>
      <c r="D14" s="39" t="s">
        <v>481</v>
      </c>
      <c r="E14" s="39">
        <f>VLOOKUP(A14,材料价格!A:D,3,FALSE)</f>
        <v>1.07799974074074</v>
      </c>
    </row>
    <row r="15" spans="1:5">
      <c r="A15" s="38" t="s">
        <v>272</v>
      </c>
      <c r="B15" s="38" t="s">
        <v>273</v>
      </c>
      <c r="C15" s="38">
        <v>2</v>
      </c>
      <c r="D15" s="39" t="s">
        <v>481</v>
      </c>
      <c r="E15" s="39">
        <f>VLOOKUP(A15,材料价格!A:D,3,FALSE)</f>
        <v>0.21</v>
      </c>
    </row>
    <row r="16" spans="1:5">
      <c r="A16" s="38" t="s">
        <v>274</v>
      </c>
      <c r="B16" s="38" t="s">
        <v>275</v>
      </c>
      <c r="C16" s="38">
        <v>1</v>
      </c>
      <c r="D16" s="39" t="s">
        <v>481</v>
      </c>
      <c r="E16" s="39">
        <f>VLOOKUP(A16,材料价格!A:D,3,FALSE)</f>
        <v>3.7</v>
      </c>
    </row>
    <row r="17" spans="1:5">
      <c r="A17" s="38" t="s">
        <v>276</v>
      </c>
      <c r="B17" s="38" t="s">
        <v>277</v>
      </c>
      <c r="C17" s="38">
        <v>1</v>
      </c>
      <c r="D17" s="39" t="s">
        <v>481</v>
      </c>
      <c r="E17" s="39">
        <f>VLOOKUP(A17,材料价格!A:D,3,FALSE)</f>
        <v>1.028</v>
      </c>
    </row>
    <row r="18" spans="1:5">
      <c r="A18" s="38" t="s">
        <v>278</v>
      </c>
      <c r="B18" s="38" t="s">
        <v>279</v>
      </c>
      <c r="C18" s="38">
        <v>1</v>
      </c>
      <c r="D18" s="39" t="s">
        <v>481</v>
      </c>
      <c r="E18" s="39">
        <f>VLOOKUP(A18,材料价格!A:D,3,FALSE)</f>
        <v>2.5</v>
      </c>
    </row>
    <row r="19" spans="1:5">
      <c r="A19" s="38" t="s">
        <v>280</v>
      </c>
      <c r="B19" s="38" t="s">
        <v>281</v>
      </c>
      <c r="C19" s="38">
        <v>1</v>
      </c>
      <c r="D19" s="39" t="s">
        <v>481</v>
      </c>
      <c r="E19" s="39">
        <f>VLOOKUP(A19,材料价格!A:D,3,FALSE)</f>
        <v>10.53</v>
      </c>
    </row>
    <row r="20" spans="1:5">
      <c r="A20" s="38" t="s">
        <v>283</v>
      </c>
      <c r="B20" s="38" t="s">
        <v>284</v>
      </c>
      <c r="C20" s="38">
        <v>1</v>
      </c>
      <c r="D20" s="39" t="s">
        <v>481</v>
      </c>
      <c r="E20" s="39">
        <f>VLOOKUP(A20,材料价格!A:D,3,FALSE)</f>
        <v>1.68</v>
      </c>
    </row>
    <row r="21" spans="1:5">
      <c r="A21" s="38" t="s">
        <v>285</v>
      </c>
      <c r="B21" s="38" t="s">
        <v>286</v>
      </c>
      <c r="C21" s="38">
        <v>1</v>
      </c>
      <c r="D21" s="39" t="s">
        <v>481</v>
      </c>
      <c r="E21" s="39">
        <f>VLOOKUP(A21,材料价格!A:D,3,FALSE)</f>
        <v>0</v>
      </c>
    </row>
    <row r="22" spans="1:5">
      <c r="A22" s="38" t="s">
        <v>288</v>
      </c>
      <c r="B22" s="38" t="s">
        <v>289</v>
      </c>
      <c r="C22" s="38">
        <v>1</v>
      </c>
      <c r="D22" s="39" t="s">
        <v>481</v>
      </c>
      <c r="E22" s="39">
        <f>VLOOKUP(A22,材料价格!A:D,3,FALSE)</f>
        <v>10.39</v>
      </c>
    </row>
    <row r="23" spans="1:5">
      <c r="A23" s="38" t="s">
        <v>291</v>
      </c>
      <c r="B23" s="38" t="s">
        <v>178</v>
      </c>
      <c r="C23" s="38">
        <v>4</v>
      </c>
      <c r="D23" s="39" t="s">
        <v>481</v>
      </c>
      <c r="E23" s="39">
        <f>VLOOKUP(A23,材料价格!A:D,3,FALSE)</f>
        <v>0.1425</v>
      </c>
    </row>
    <row r="24" spans="1:5">
      <c r="A24" s="38" t="s">
        <v>292</v>
      </c>
      <c r="B24" s="38" t="s">
        <v>293</v>
      </c>
      <c r="C24" s="38">
        <v>1</v>
      </c>
      <c r="D24" s="39" t="s">
        <v>481</v>
      </c>
      <c r="E24" s="39">
        <f>VLOOKUP(A24,材料价格!A:D,3,FALSE)</f>
        <v>32.23</v>
      </c>
    </row>
    <row r="25" spans="1:5">
      <c r="A25" s="38" t="s">
        <v>295</v>
      </c>
      <c r="B25" s="38" t="s">
        <v>296</v>
      </c>
      <c r="C25" s="38">
        <v>1</v>
      </c>
      <c r="D25" s="39" t="s">
        <v>481</v>
      </c>
      <c r="E25" s="39">
        <f>VLOOKUP(A25,材料价格!A:D,3,FALSE)</f>
        <v>2.12</v>
      </c>
    </row>
    <row r="26" spans="1:5">
      <c r="A26" s="38" t="s">
        <v>297</v>
      </c>
      <c r="B26" s="38" t="s">
        <v>298</v>
      </c>
      <c r="C26" s="38">
        <v>1</v>
      </c>
      <c r="D26" s="39" t="s">
        <v>481</v>
      </c>
      <c r="E26" s="39">
        <f>VLOOKUP(A26,材料价格!A:D,3,FALSE)</f>
        <v>4.839</v>
      </c>
    </row>
    <row r="27" spans="1:5">
      <c r="A27" s="38" t="s">
        <v>299</v>
      </c>
      <c r="B27" s="38" t="s">
        <v>300</v>
      </c>
      <c r="C27" s="38">
        <v>1</v>
      </c>
      <c r="D27" s="39" t="s">
        <v>481</v>
      </c>
      <c r="E27" s="39">
        <f>VLOOKUP(A27,材料价格!A:D,3,FALSE)</f>
        <v>0</v>
      </c>
    </row>
    <row r="28" spans="1:5">
      <c r="A28" s="38" t="s">
        <v>301</v>
      </c>
      <c r="B28" s="38" t="s">
        <v>302</v>
      </c>
      <c r="C28" s="38">
        <v>1</v>
      </c>
      <c r="D28" s="39" t="s">
        <v>481</v>
      </c>
      <c r="E28" s="39">
        <f>VLOOKUP(A28,材料价格!A:D,3,FALSE)</f>
        <v>0</v>
      </c>
    </row>
    <row r="29" spans="1:5">
      <c r="A29" s="38" t="s">
        <v>303</v>
      </c>
      <c r="B29" s="38" t="s">
        <v>304</v>
      </c>
      <c r="C29" s="38">
        <v>1</v>
      </c>
      <c r="D29" s="39" t="s">
        <v>481</v>
      </c>
      <c r="E29" s="39">
        <f>VLOOKUP(A29,材料价格!A:D,3,FALSE)</f>
        <v>2.1</v>
      </c>
    </row>
    <row r="30" spans="1:5">
      <c r="A30" s="38" t="s">
        <v>306</v>
      </c>
      <c r="B30" s="38" t="s">
        <v>307</v>
      </c>
      <c r="C30" s="38">
        <v>1</v>
      </c>
      <c r="D30" s="39" t="s">
        <v>481</v>
      </c>
      <c r="E30" s="39">
        <f>VLOOKUP(A30,材料价格!A:D,3,FALSE)</f>
        <v>12.75</v>
      </c>
    </row>
    <row r="31" spans="1:5">
      <c r="A31" s="38" t="s">
        <v>308</v>
      </c>
      <c r="B31" s="38" t="s">
        <v>309</v>
      </c>
      <c r="C31" s="38">
        <v>1</v>
      </c>
      <c r="D31" s="39" t="s">
        <v>481</v>
      </c>
      <c r="E31" s="39">
        <f>VLOOKUP(A31,材料价格!A:D,3,FALSE)</f>
        <v>90.75</v>
      </c>
    </row>
    <row r="32" spans="1:5">
      <c r="A32" s="38" t="s">
        <v>311</v>
      </c>
      <c r="B32" s="38" t="s">
        <v>178</v>
      </c>
      <c r="C32" s="38">
        <v>5</v>
      </c>
      <c r="D32" s="39" t="s">
        <v>481</v>
      </c>
      <c r="E32" s="39">
        <f>VLOOKUP(A32,材料价格!A:D,3,FALSE)</f>
        <v>0.2</v>
      </c>
    </row>
    <row r="33" spans="1:5">
      <c r="A33" s="38" t="s">
        <v>312</v>
      </c>
      <c r="B33" s="38" t="s">
        <v>313</v>
      </c>
      <c r="C33" s="38">
        <v>1</v>
      </c>
      <c r="D33" s="39" t="s">
        <v>481</v>
      </c>
      <c r="E33" s="39">
        <f>VLOOKUP(A33,材料价格!A:D,3,FALSE)</f>
        <v>0.552</v>
      </c>
    </row>
    <row r="34" spans="1:5">
      <c r="A34" s="38" t="s">
        <v>314</v>
      </c>
      <c r="B34" s="38" t="s">
        <v>315</v>
      </c>
      <c r="C34" s="38">
        <v>1</v>
      </c>
      <c r="D34" s="39" t="s">
        <v>481</v>
      </c>
      <c r="E34" s="39">
        <f>VLOOKUP(A34,材料价格!A:D,3,FALSE)</f>
        <v>4.5</v>
      </c>
    </row>
    <row r="35" spans="1:5">
      <c r="A35" s="38" t="s">
        <v>316</v>
      </c>
      <c r="B35" s="38" t="s">
        <v>317</v>
      </c>
      <c r="C35" s="38">
        <v>1</v>
      </c>
      <c r="D35" s="39" t="s">
        <v>481</v>
      </c>
      <c r="E35" s="39">
        <f>VLOOKUP(A35,材料价格!A:D,3,FALSE)</f>
        <v>0.79</v>
      </c>
    </row>
    <row r="36" spans="1:5">
      <c r="A36" s="38" t="s">
        <v>45</v>
      </c>
      <c r="B36" s="38" t="s">
        <v>321</v>
      </c>
      <c r="C36" s="38">
        <v>1</v>
      </c>
      <c r="D36" s="39" t="s">
        <v>481</v>
      </c>
      <c r="E36" s="39">
        <f>VLOOKUP(A36,材料价格!A:D,3,FALSE)</f>
        <v>29.6371967899321</v>
      </c>
    </row>
    <row r="37" spans="1:5">
      <c r="A37" s="38"/>
      <c r="B37" s="38"/>
      <c r="C37" s="38"/>
      <c r="D37" s="39"/>
      <c r="E37" s="39">
        <f>SUMPRODUCT(C3:C36,E3:E36)</f>
        <v>283.375196530673</v>
      </c>
    </row>
  </sheetData>
  <conditionalFormatting sqref="A2">
    <cfRule type="duplicateValues" dxfId="0" priority="2"/>
  </conditionalFormatting>
  <conditionalFormatting sqref="A37">
    <cfRule type="duplicateValues" dxfId="0" priority="1"/>
  </conditionalFormatting>
  <conditionalFormatting sqref="A3:A36">
    <cfRule type="duplicateValues" dxfId="0" priority="3"/>
  </conditionalFormatting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A37" sqref="$A37:$XFD37"/>
    </sheetView>
  </sheetViews>
  <sheetFormatPr defaultColWidth="9" defaultRowHeight="14.4" outlineLevelCol="4"/>
  <cols>
    <col min="1" max="1" width="14.6388888888889" customWidth="1"/>
    <col min="2" max="2" width="25.7314814814815" customWidth="1"/>
  </cols>
  <sheetData>
    <row r="1" spans="1:2">
      <c r="A1" t="s">
        <v>450</v>
      </c>
      <c r="B1" t="s">
        <v>451</v>
      </c>
    </row>
    <row r="2" spans="1:5">
      <c r="A2" s="38" t="s">
        <v>143</v>
      </c>
      <c r="B2" s="38" t="s">
        <v>144</v>
      </c>
      <c r="C2" s="39" t="s">
        <v>472</v>
      </c>
      <c r="D2" s="39" t="s">
        <v>474</v>
      </c>
      <c r="E2" s="39" t="s">
        <v>19</v>
      </c>
    </row>
    <row r="3" spans="1:5">
      <c r="A3" s="38" t="s">
        <v>254</v>
      </c>
      <c r="B3" s="38" t="s">
        <v>255</v>
      </c>
      <c r="C3" s="38">
        <v>1</v>
      </c>
      <c r="D3" s="39" t="s">
        <v>481</v>
      </c>
      <c r="E3" s="39">
        <f>VLOOKUP(A3,材料价格!A:D,3,FALSE)</f>
        <v>0</v>
      </c>
    </row>
    <row r="4" spans="1:5">
      <c r="A4" s="38" t="s">
        <v>257</v>
      </c>
      <c r="B4" s="38" t="s">
        <v>258</v>
      </c>
      <c r="C4" s="38">
        <v>1</v>
      </c>
      <c r="D4" s="39" t="s">
        <v>481</v>
      </c>
      <c r="E4" s="39">
        <f>VLOOKUP(A4,材料价格!A:D,3,FALSE)</f>
        <v>0</v>
      </c>
    </row>
    <row r="5" spans="1:5">
      <c r="A5" s="38" t="s">
        <v>259</v>
      </c>
      <c r="B5" s="38" t="s">
        <v>260</v>
      </c>
      <c r="C5" s="38">
        <v>1</v>
      </c>
      <c r="D5" s="39" t="s">
        <v>481</v>
      </c>
      <c r="E5" s="39">
        <f>VLOOKUP(A5,材料价格!A:D,3,FALSE)</f>
        <v>47.69</v>
      </c>
    </row>
    <row r="6" spans="1:5">
      <c r="A6" s="38" t="s">
        <v>177</v>
      </c>
      <c r="B6" s="38" t="s">
        <v>178</v>
      </c>
      <c r="C6" s="38">
        <v>3</v>
      </c>
      <c r="D6" s="39" t="s">
        <v>481</v>
      </c>
      <c r="E6" s="39">
        <f>VLOOKUP(A6,材料价格!A:D,3,FALSE)</f>
        <v>0.0874</v>
      </c>
    </row>
    <row r="7" spans="1:5">
      <c r="A7" s="38" t="s">
        <v>180</v>
      </c>
      <c r="B7" s="38" t="s">
        <v>181</v>
      </c>
      <c r="C7" s="38">
        <v>3</v>
      </c>
      <c r="D7" s="39" t="s">
        <v>481</v>
      </c>
      <c r="E7" s="39">
        <f>VLOOKUP(A7,材料价格!A:D,3,FALSE)</f>
        <v>0.1074</v>
      </c>
    </row>
    <row r="8" spans="1:5">
      <c r="A8" s="38" t="s">
        <v>182</v>
      </c>
      <c r="B8" s="38" t="s">
        <v>181</v>
      </c>
      <c r="C8" s="38">
        <v>3</v>
      </c>
      <c r="D8" s="39" t="s">
        <v>481</v>
      </c>
      <c r="E8" s="39">
        <f>VLOOKUP(A8,材料价格!A:D,3,FALSE)</f>
        <v>0.1482</v>
      </c>
    </row>
    <row r="9" spans="1:5">
      <c r="A9" s="38" t="s">
        <v>183</v>
      </c>
      <c r="B9" s="38" t="s">
        <v>184</v>
      </c>
      <c r="C9" s="38">
        <v>1</v>
      </c>
      <c r="D9" s="39" t="s">
        <v>481</v>
      </c>
      <c r="E9" s="39">
        <f>VLOOKUP(A9,材料价格!A:D,3,FALSE)</f>
        <v>11.26</v>
      </c>
    </row>
    <row r="10" spans="1:5">
      <c r="A10" s="38" t="s">
        <v>261</v>
      </c>
      <c r="B10" s="38" t="s">
        <v>262</v>
      </c>
      <c r="C10" s="38">
        <v>1</v>
      </c>
      <c r="D10" s="39" t="s">
        <v>481</v>
      </c>
      <c r="E10" s="39">
        <f>VLOOKUP(A10,材料价格!A:D,3,FALSE)</f>
        <v>1.21</v>
      </c>
    </row>
    <row r="11" spans="1:5">
      <c r="A11" s="38" t="s">
        <v>264</v>
      </c>
      <c r="B11" s="38" t="s">
        <v>265</v>
      </c>
      <c r="C11" s="38">
        <v>1</v>
      </c>
      <c r="D11" s="39" t="s">
        <v>481</v>
      </c>
      <c r="E11" s="39">
        <f>VLOOKUP(A11,材料价格!A:D,3,FALSE)</f>
        <v>0.127</v>
      </c>
    </row>
    <row r="12" spans="1:5">
      <c r="A12" s="38" t="s">
        <v>272</v>
      </c>
      <c r="B12" s="38" t="s">
        <v>273</v>
      </c>
      <c r="C12" s="38">
        <v>2</v>
      </c>
      <c r="D12" s="39" t="s">
        <v>481</v>
      </c>
      <c r="E12" s="39">
        <f>VLOOKUP(A12,材料价格!A:D,3,FALSE)</f>
        <v>0.21</v>
      </c>
    </row>
    <row r="13" spans="1:5">
      <c r="A13" s="38" t="s">
        <v>283</v>
      </c>
      <c r="B13" s="38" t="s">
        <v>284</v>
      </c>
      <c r="C13" s="38">
        <v>1</v>
      </c>
      <c r="D13" s="39" t="s">
        <v>481</v>
      </c>
      <c r="E13" s="39">
        <f>VLOOKUP(A13,材料价格!A:D,3,FALSE)</f>
        <v>1.68</v>
      </c>
    </row>
    <row r="14" spans="1:5">
      <c r="A14" s="38" t="s">
        <v>285</v>
      </c>
      <c r="B14" s="38" t="s">
        <v>286</v>
      </c>
      <c r="C14" s="38">
        <v>1</v>
      </c>
      <c r="D14" s="39" t="s">
        <v>481</v>
      </c>
      <c r="E14" s="39">
        <f>VLOOKUP(A14,材料价格!A:D,3,FALSE)</f>
        <v>0</v>
      </c>
    </row>
    <row r="15" spans="1:5">
      <c r="A15" s="38" t="s">
        <v>291</v>
      </c>
      <c r="B15" s="38" t="s">
        <v>178</v>
      </c>
      <c r="C15" s="38">
        <v>4</v>
      </c>
      <c r="D15" s="39" t="s">
        <v>481</v>
      </c>
      <c r="E15" s="39">
        <f>VLOOKUP(A15,材料价格!A:D,3,FALSE)</f>
        <v>0.1425</v>
      </c>
    </row>
    <row r="16" spans="1:5">
      <c r="A16" s="38" t="s">
        <v>299</v>
      </c>
      <c r="B16" s="38" t="s">
        <v>300</v>
      </c>
      <c r="C16" s="38">
        <v>1</v>
      </c>
      <c r="D16" s="39" t="s">
        <v>481</v>
      </c>
      <c r="E16" s="39">
        <f>VLOOKUP(A16,材料价格!A:D,3,FALSE)</f>
        <v>0</v>
      </c>
    </row>
    <row r="17" spans="1:5">
      <c r="A17" s="38" t="s">
        <v>301</v>
      </c>
      <c r="B17" s="38" t="s">
        <v>302</v>
      </c>
      <c r="C17" s="38">
        <v>1</v>
      </c>
      <c r="D17" s="39" t="s">
        <v>481</v>
      </c>
      <c r="E17" s="39">
        <f>VLOOKUP(A17,材料价格!A:D,3,FALSE)</f>
        <v>0</v>
      </c>
    </row>
    <row r="18" spans="1:5">
      <c r="A18" s="38" t="s">
        <v>308</v>
      </c>
      <c r="B18" s="38" t="s">
        <v>309</v>
      </c>
      <c r="C18" s="38">
        <v>1</v>
      </c>
      <c r="D18" s="39" t="s">
        <v>481</v>
      </c>
      <c r="E18" s="39">
        <f>VLOOKUP(A18,材料价格!A:D,3,FALSE)</f>
        <v>90.75</v>
      </c>
    </row>
    <row r="19" spans="1:5">
      <c r="A19" s="38" t="s">
        <v>311</v>
      </c>
      <c r="B19" s="38" t="s">
        <v>178</v>
      </c>
      <c r="C19" s="38">
        <v>5</v>
      </c>
      <c r="D19" s="39" t="s">
        <v>481</v>
      </c>
      <c r="E19" s="39">
        <f>VLOOKUP(A19,材料价格!A:D,3,FALSE)</f>
        <v>0.2</v>
      </c>
    </row>
    <row r="20" spans="1:5">
      <c r="A20" s="38" t="s">
        <v>322</v>
      </c>
      <c r="B20" s="38" t="s">
        <v>323</v>
      </c>
      <c r="C20" s="38">
        <v>1</v>
      </c>
      <c r="D20" s="39" t="s">
        <v>481</v>
      </c>
      <c r="E20" s="39">
        <f>VLOOKUP(A20,材料价格!A:D,3,FALSE)</f>
        <v>4.319</v>
      </c>
    </row>
    <row r="21" spans="1:5">
      <c r="A21" s="38" t="s">
        <v>324</v>
      </c>
      <c r="B21" s="38" t="s">
        <v>325</v>
      </c>
      <c r="C21" s="38">
        <v>1</v>
      </c>
      <c r="D21" s="39" t="s">
        <v>481</v>
      </c>
      <c r="E21" s="39">
        <f>VLOOKUP(A21,材料价格!A:D,3,FALSE)</f>
        <v>4.576</v>
      </c>
    </row>
    <row r="22" spans="1:5">
      <c r="A22" s="38" t="s">
        <v>326</v>
      </c>
      <c r="B22" s="38" t="s">
        <v>327</v>
      </c>
      <c r="C22" s="38">
        <v>1</v>
      </c>
      <c r="D22" s="39" t="s">
        <v>481</v>
      </c>
      <c r="E22" s="39">
        <f>VLOOKUP(A22,材料价格!A:D,3,FALSE)</f>
        <v>1.07799974074074</v>
      </c>
    </row>
    <row r="23" spans="1:5">
      <c r="A23" s="38" t="s">
        <v>328</v>
      </c>
      <c r="B23" s="38" t="s">
        <v>329</v>
      </c>
      <c r="C23" s="38">
        <v>1</v>
      </c>
      <c r="D23" s="39" t="s">
        <v>481</v>
      </c>
      <c r="E23" s="39">
        <f>VLOOKUP(A23,材料价格!A:D,3,FALSE)</f>
        <v>10.53</v>
      </c>
    </row>
    <row r="24" spans="1:5">
      <c r="A24" s="38" t="s">
        <v>35</v>
      </c>
      <c r="B24" s="38" t="s">
        <v>330</v>
      </c>
      <c r="C24" s="38">
        <v>1</v>
      </c>
      <c r="D24" s="39" t="s">
        <v>481</v>
      </c>
      <c r="E24" s="39">
        <f>VLOOKUP(A24,材料价格!A:D,3,FALSE)</f>
        <v>25.5680018523806</v>
      </c>
    </row>
    <row r="25" spans="1:5">
      <c r="A25" s="38" t="s">
        <v>331</v>
      </c>
      <c r="B25" s="38" t="s">
        <v>332</v>
      </c>
      <c r="C25" s="38">
        <v>1</v>
      </c>
      <c r="D25" s="39" t="s">
        <v>481</v>
      </c>
      <c r="E25" s="39">
        <f>VLOOKUP(A25,材料价格!A:D,3,FALSE)</f>
        <v>10.39</v>
      </c>
    </row>
    <row r="26" spans="1:5">
      <c r="A26" s="38" t="s">
        <v>333</v>
      </c>
      <c r="B26" s="38" t="s">
        <v>334</v>
      </c>
      <c r="C26" s="38">
        <v>1</v>
      </c>
      <c r="D26" s="39" t="s">
        <v>481</v>
      </c>
      <c r="E26" s="39">
        <f>VLOOKUP(A26,材料价格!A:D,3,FALSE)</f>
        <v>2.5</v>
      </c>
    </row>
    <row r="27" spans="1:5">
      <c r="A27" s="38" t="s">
        <v>335</v>
      </c>
      <c r="B27" s="38" t="s">
        <v>336</v>
      </c>
      <c r="C27" s="38">
        <v>1</v>
      </c>
      <c r="D27" s="39" t="s">
        <v>481</v>
      </c>
      <c r="E27" s="39">
        <f>VLOOKUP(A27,材料价格!A:D,3,FALSE)</f>
        <v>3.7</v>
      </c>
    </row>
    <row r="28" spans="1:5">
      <c r="A28" s="38" t="s">
        <v>337</v>
      </c>
      <c r="B28" s="38" t="s">
        <v>338</v>
      </c>
      <c r="C28" s="38">
        <v>1</v>
      </c>
      <c r="D28" s="39" t="s">
        <v>481</v>
      </c>
      <c r="E28" s="39">
        <f>VLOOKUP(A28,材料价格!A:D,3,FALSE)</f>
        <v>1.244</v>
      </c>
    </row>
    <row r="29" spans="1:5">
      <c r="A29" s="38" t="s">
        <v>339</v>
      </c>
      <c r="B29" s="38" t="s">
        <v>340</v>
      </c>
      <c r="C29" s="38">
        <v>1</v>
      </c>
      <c r="D29" s="39" t="s">
        <v>481</v>
      </c>
      <c r="E29" s="39">
        <f>VLOOKUP(A29,材料价格!A:D,3,FALSE)</f>
        <v>32.23</v>
      </c>
    </row>
    <row r="30" spans="1:5">
      <c r="A30" s="38" t="s">
        <v>341</v>
      </c>
      <c r="B30" s="38" t="s">
        <v>342</v>
      </c>
      <c r="C30" s="38">
        <v>1</v>
      </c>
      <c r="D30" s="39" t="s">
        <v>481</v>
      </c>
      <c r="E30" s="39">
        <f>VLOOKUP(A30,材料价格!A:D,3,FALSE)</f>
        <v>2.12</v>
      </c>
    </row>
    <row r="31" spans="1:5">
      <c r="A31" s="38" t="s">
        <v>343</v>
      </c>
      <c r="B31" s="38" t="s">
        <v>344</v>
      </c>
      <c r="C31" s="38">
        <v>1</v>
      </c>
      <c r="D31" s="39" t="s">
        <v>481</v>
      </c>
      <c r="E31" s="39">
        <f>VLOOKUP(A31,材料价格!A:D,3,FALSE)</f>
        <v>4.839</v>
      </c>
    </row>
    <row r="32" spans="1:5">
      <c r="A32" s="38" t="s">
        <v>345</v>
      </c>
      <c r="B32" s="38" t="s">
        <v>346</v>
      </c>
      <c r="C32" s="38">
        <v>1</v>
      </c>
      <c r="D32" s="39" t="s">
        <v>481</v>
      </c>
      <c r="E32" s="39">
        <f>VLOOKUP(A32,材料价格!A:D,3,FALSE)</f>
        <v>2.1</v>
      </c>
    </row>
    <row r="33" spans="1:5">
      <c r="A33" s="38" t="s">
        <v>347</v>
      </c>
      <c r="B33" s="38" t="s">
        <v>348</v>
      </c>
      <c r="C33" s="38">
        <v>1</v>
      </c>
      <c r="D33" s="39" t="s">
        <v>481</v>
      </c>
      <c r="E33" s="39">
        <f>VLOOKUP(A33,材料价格!A:D,3,FALSE)</f>
        <v>12.75</v>
      </c>
    </row>
    <row r="34" spans="1:5">
      <c r="A34" s="38" t="s">
        <v>349</v>
      </c>
      <c r="B34" s="38" t="s">
        <v>350</v>
      </c>
      <c r="C34" s="38">
        <v>1</v>
      </c>
      <c r="D34" s="39" t="s">
        <v>481</v>
      </c>
      <c r="E34" s="39">
        <f>VLOOKUP(A34,材料价格!A:D,3,FALSE)</f>
        <v>0.552</v>
      </c>
    </row>
    <row r="35" spans="1:5">
      <c r="A35" s="38" t="s">
        <v>351</v>
      </c>
      <c r="B35" s="38" t="s">
        <v>352</v>
      </c>
      <c r="C35" s="38">
        <v>1</v>
      </c>
      <c r="D35" s="39" t="s">
        <v>481</v>
      </c>
      <c r="E35" s="39">
        <f>VLOOKUP(A35,材料价格!A:D,3,FALSE)</f>
        <v>4.5</v>
      </c>
    </row>
    <row r="36" spans="1:5">
      <c r="A36" s="38" t="s">
        <v>353</v>
      </c>
      <c r="B36" s="38" t="s">
        <v>354</v>
      </c>
      <c r="C36" s="38">
        <v>1</v>
      </c>
      <c r="D36" s="39" t="s">
        <v>481</v>
      </c>
      <c r="E36" s="39">
        <f>VLOOKUP(A36,材料价格!A:D,3,FALSE)</f>
        <v>0.79</v>
      </c>
    </row>
    <row r="37" spans="1:5">
      <c r="A37" s="38"/>
      <c r="B37" s="38"/>
      <c r="C37" s="38"/>
      <c r="D37" s="39"/>
      <c r="E37" s="39">
        <f>SUMPRODUCT(C3:C36,E3:E36)</f>
        <v>279.522001593121</v>
      </c>
    </row>
  </sheetData>
  <conditionalFormatting sqref="A2">
    <cfRule type="duplicateValues" dxfId="0" priority="2"/>
  </conditionalFormatting>
  <conditionalFormatting sqref="A37">
    <cfRule type="duplicateValues" dxfId="0" priority="1"/>
  </conditionalFormatting>
  <conditionalFormatting sqref="A3:A36">
    <cfRule type="duplicateValues" dxfId="0" priority="3"/>
  </conditionalFormatting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19" workbookViewId="0">
      <selection activeCell="B31" sqref="B31"/>
    </sheetView>
  </sheetViews>
  <sheetFormatPr defaultColWidth="9" defaultRowHeight="14.4" outlineLevelCol="4"/>
  <cols>
    <col min="1" max="1" width="11.4444444444444" customWidth="1"/>
    <col min="2" max="2" width="25.7314814814815" customWidth="1"/>
    <col min="3" max="3" width="11.4444444444444" customWidth="1"/>
  </cols>
  <sheetData>
    <row r="1" spans="1:2">
      <c r="A1" t="s">
        <v>452</v>
      </c>
      <c r="B1" t="s">
        <v>453</v>
      </c>
    </row>
    <row r="2" spans="1:5">
      <c r="A2" s="38" t="s">
        <v>143</v>
      </c>
      <c r="B2" s="38" t="s">
        <v>144</v>
      </c>
      <c r="C2" s="39" t="s">
        <v>472</v>
      </c>
      <c r="D2" s="39" t="s">
        <v>474</v>
      </c>
      <c r="E2" s="39" t="s">
        <v>19</v>
      </c>
    </row>
    <row r="3" spans="1:5">
      <c r="A3" s="38" t="s">
        <v>254</v>
      </c>
      <c r="B3" s="38" t="s">
        <v>255</v>
      </c>
      <c r="C3" s="38">
        <v>1</v>
      </c>
      <c r="D3" s="39" t="s">
        <v>481</v>
      </c>
      <c r="E3" s="39">
        <f>VLOOKUP(A3,材料价格!A:D,3,FALSE)</f>
        <v>0</v>
      </c>
    </row>
    <row r="4" spans="1:5">
      <c r="A4" s="38" t="s">
        <v>257</v>
      </c>
      <c r="B4" s="38" t="s">
        <v>258</v>
      </c>
      <c r="C4" s="38">
        <v>1</v>
      </c>
      <c r="D4" s="39" t="s">
        <v>481</v>
      </c>
      <c r="E4" s="39">
        <f>VLOOKUP(A4,材料价格!A:D,3,FALSE)</f>
        <v>0</v>
      </c>
    </row>
    <row r="5" spans="1:5">
      <c r="A5" s="38" t="s">
        <v>259</v>
      </c>
      <c r="B5" s="38" t="s">
        <v>260</v>
      </c>
      <c r="C5" s="38">
        <v>1</v>
      </c>
      <c r="D5" s="39" t="s">
        <v>481</v>
      </c>
      <c r="E5" s="39">
        <f>VLOOKUP(A5,材料价格!A:D,3,FALSE)</f>
        <v>47.69</v>
      </c>
    </row>
    <row r="6" spans="1:5">
      <c r="A6" s="38" t="s">
        <v>177</v>
      </c>
      <c r="B6" s="38" t="s">
        <v>178</v>
      </c>
      <c r="C6" s="38">
        <v>3</v>
      </c>
      <c r="D6" s="39" t="s">
        <v>481</v>
      </c>
      <c r="E6" s="39">
        <f>VLOOKUP(A6,材料价格!A:D,3,FALSE)</f>
        <v>0.0874</v>
      </c>
    </row>
    <row r="7" spans="1:5">
      <c r="A7" s="38" t="s">
        <v>180</v>
      </c>
      <c r="B7" s="38" t="s">
        <v>181</v>
      </c>
      <c r="C7" s="38">
        <v>3</v>
      </c>
      <c r="D7" s="39" t="s">
        <v>481</v>
      </c>
      <c r="E7" s="39">
        <f>VLOOKUP(A7,材料价格!A:D,3,FALSE)</f>
        <v>0.1074</v>
      </c>
    </row>
    <row r="8" spans="1:5">
      <c r="A8" s="38" t="s">
        <v>182</v>
      </c>
      <c r="B8" s="38" t="s">
        <v>181</v>
      </c>
      <c r="C8" s="38">
        <v>3</v>
      </c>
      <c r="D8" s="39" t="s">
        <v>481</v>
      </c>
      <c r="E8" s="39">
        <f>VLOOKUP(A8,材料价格!A:D,3,FALSE)</f>
        <v>0.1482</v>
      </c>
    </row>
    <row r="9" spans="1:5">
      <c r="A9" s="38" t="s">
        <v>183</v>
      </c>
      <c r="B9" s="38" t="s">
        <v>184</v>
      </c>
      <c r="C9" s="38">
        <v>1</v>
      </c>
      <c r="D9" s="39" t="s">
        <v>481</v>
      </c>
      <c r="E9" s="39">
        <f>VLOOKUP(A9,材料价格!A:D,3,FALSE)</f>
        <v>11.26</v>
      </c>
    </row>
    <row r="10" spans="1:5">
      <c r="A10" s="38" t="s">
        <v>261</v>
      </c>
      <c r="B10" s="38" t="s">
        <v>262</v>
      </c>
      <c r="C10" s="38">
        <v>1</v>
      </c>
      <c r="D10" s="39" t="s">
        <v>481</v>
      </c>
      <c r="E10" s="39">
        <f>VLOOKUP(A10,材料价格!A:D,3,FALSE)</f>
        <v>1.21</v>
      </c>
    </row>
    <row r="11" spans="1:5">
      <c r="A11" s="38" t="s">
        <v>264</v>
      </c>
      <c r="B11" s="38" t="s">
        <v>265</v>
      </c>
      <c r="C11" s="38">
        <v>1</v>
      </c>
      <c r="D11" s="39" t="s">
        <v>481</v>
      </c>
      <c r="E11" s="39">
        <f>VLOOKUP(A11,材料价格!A:D,3,FALSE)</f>
        <v>0.127</v>
      </c>
    </row>
    <row r="12" spans="1:5">
      <c r="A12" s="38" t="s">
        <v>272</v>
      </c>
      <c r="B12" s="38" t="s">
        <v>273</v>
      </c>
      <c r="C12" s="38">
        <v>2</v>
      </c>
      <c r="D12" s="39" t="s">
        <v>481</v>
      </c>
      <c r="E12" s="39">
        <f>VLOOKUP(A12,材料价格!A:D,3,FALSE)</f>
        <v>0.21</v>
      </c>
    </row>
    <row r="13" spans="1:5">
      <c r="A13" s="38" t="s">
        <v>283</v>
      </c>
      <c r="B13" s="38" t="s">
        <v>284</v>
      </c>
      <c r="C13" s="38">
        <v>1</v>
      </c>
      <c r="D13" s="39" t="s">
        <v>481</v>
      </c>
      <c r="E13" s="39">
        <f>VLOOKUP(A13,材料价格!A:D,3,FALSE)</f>
        <v>1.68</v>
      </c>
    </row>
    <row r="14" spans="1:5">
      <c r="A14" s="38" t="s">
        <v>285</v>
      </c>
      <c r="B14" s="38" t="s">
        <v>286</v>
      </c>
      <c r="C14" s="38">
        <v>1</v>
      </c>
      <c r="D14" s="39" t="s">
        <v>481</v>
      </c>
      <c r="E14" s="39">
        <f>VLOOKUP(A14,材料价格!A:D,3,FALSE)</f>
        <v>0</v>
      </c>
    </row>
    <row r="15" spans="1:5">
      <c r="A15" s="38" t="s">
        <v>291</v>
      </c>
      <c r="B15" s="38" t="s">
        <v>178</v>
      </c>
      <c r="C15" s="38">
        <v>4</v>
      </c>
      <c r="D15" s="39" t="s">
        <v>481</v>
      </c>
      <c r="E15" s="39">
        <f>VLOOKUP(A15,材料价格!A:D,3,FALSE)</f>
        <v>0.1425</v>
      </c>
    </row>
    <row r="16" spans="1:5">
      <c r="A16" s="38" t="s">
        <v>299</v>
      </c>
      <c r="B16" s="38" t="s">
        <v>300</v>
      </c>
      <c r="C16" s="38">
        <v>1</v>
      </c>
      <c r="D16" s="39" t="s">
        <v>481</v>
      </c>
      <c r="E16" s="39">
        <f>VLOOKUP(A16,材料价格!A:D,3,FALSE)</f>
        <v>0</v>
      </c>
    </row>
    <row r="17" spans="1:5">
      <c r="A17" s="38" t="s">
        <v>301</v>
      </c>
      <c r="B17" s="38" t="s">
        <v>302</v>
      </c>
      <c r="C17" s="38">
        <v>1</v>
      </c>
      <c r="D17" s="39" t="s">
        <v>481</v>
      </c>
      <c r="E17" s="39">
        <f>VLOOKUP(A17,材料价格!A:D,3,FALSE)</f>
        <v>0</v>
      </c>
    </row>
    <row r="18" spans="1:5">
      <c r="A18" s="38" t="s">
        <v>308</v>
      </c>
      <c r="B18" s="38" t="s">
        <v>309</v>
      </c>
      <c r="C18" s="38">
        <v>1</v>
      </c>
      <c r="D18" s="39" t="s">
        <v>481</v>
      </c>
      <c r="E18" s="39">
        <f>VLOOKUP(A18,材料价格!A:D,3,FALSE)</f>
        <v>90.75</v>
      </c>
    </row>
    <row r="19" spans="1:5">
      <c r="A19" s="38" t="s">
        <v>311</v>
      </c>
      <c r="B19" s="38" t="s">
        <v>178</v>
      </c>
      <c r="C19" s="38">
        <v>5</v>
      </c>
      <c r="D19" s="39" t="s">
        <v>481</v>
      </c>
      <c r="E19" s="39">
        <f>VLOOKUP(A19,材料价格!A:D,3,FALSE)</f>
        <v>0.2</v>
      </c>
    </row>
    <row r="20" spans="1:5">
      <c r="A20" s="38" t="s">
        <v>322</v>
      </c>
      <c r="B20" s="38" t="s">
        <v>323</v>
      </c>
      <c r="C20" s="38">
        <v>1</v>
      </c>
      <c r="D20" s="39" t="s">
        <v>481</v>
      </c>
      <c r="E20" s="39">
        <f>VLOOKUP(A20,材料价格!A:D,3,FALSE)</f>
        <v>4.319</v>
      </c>
    </row>
    <row r="21" spans="1:5">
      <c r="A21" s="38" t="s">
        <v>324</v>
      </c>
      <c r="B21" s="38" t="s">
        <v>325</v>
      </c>
      <c r="C21" s="38">
        <v>1</v>
      </c>
      <c r="D21" s="39" t="s">
        <v>481</v>
      </c>
      <c r="E21" s="39">
        <f>VLOOKUP(A21,材料价格!A:D,3,FALSE)</f>
        <v>4.576</v>
      </c>
    </row>
    <row r="22" spans="1:5">
      <c r="A22" s="38" t="s">
        <v>326</v>
      </c>
      <c r="B22" s="38" t="s">
        <v>327</v>
      </c>
      <c r="C22" s="38">
        <v>1</v>
      </c>
      <c r="D22" s="39" t="s">
        <v>481</v>
      </c>
      <c r="E22" s="39">
        <f>VLOOKUP(A22,材料价格!A:D,3,FALSE)</f>
        <v>1.07799974074074</v>
      </c>
    </row>
    <row r="23" spans="1:5">
      <c r="A23" s="38" t="s">
        <v>328</v>
      </c>
      <c r="B23" s="38" t="s">
        <v>329</v>
      </c>
      <c r="C23" s="38">
        <v>1</v>
      </c>
      <c r="D23" s="39" t="s">
        <v>481</v>
      </c>
      <c r="E23" s="39">
        <f>VLOOKUP(A23,材料价格!A:D,3,FALSE)</f>
        <v>10.53</v>
      </c>
    </row>
    <row r="24" spans="1:5">
      <c r="A24" s="38" t="s">
        <v>331</v>
      </c>
      <c r="B24" s="38" t="s">
        <v>332</v>
      </c>
      <c r="C24" s="38">
        <v>1</v>
      </c>
      <c r="D24" s="39" t="s">
        <v>481</v>
      </c>
      <c r="E24" s="39">
        <f>VLOOKUP(A24,材料价格!A:D,3,FALSE)</f>
        <v>10.39</v>
      </c>
    </row>
    <row r="25" spans="1:5">
      <c r="A25" s="38" t="s">
        <v>333</v>
      </c>
      <c r="B25" s="38" t="s">
        <v>334</v>
      </c>
      <c r="C25" s="38">
        <v>1</v>
      </c>
      <c r="D25" s="39" t="s">
        <v>481</v>
      </c>
      <c r="E25" s="39">
        <f>VLOOKUP(A25,材料价格!A:D,3,FALSE)</f>
        <v>2.5</v>
      </c>
    </row>
    <row r="26" spans="1:5">
      <c r="A26" s="38" t="s">
        <v>335</v>
      </c>
      <c r="B26" s="38" t="s">
        <v>336</v>
      </c>
      <c r="C26" s="38">
        <v>1</v>
      </c>
      <c r="D26" s="39" t="s">
        <v>481</v>
      </c>
      <c r="E26" s="39">
        <f>VLOOKUP(A26,材料价格!A:D,3,FALSE)</f>
        <v>3.7</v>
      </c>
    </row>
    <row r="27" spans="1:5">
      <c r="A27" s="38" t="s">
        <v>337</v>
      </c>
      <c r="B27" s="38" t="s">
        <v>338</v>
      </c>
      <c r="C27" s="38">
        <v>1</v>
      </c>
      <c r="D27" s="39" t="s">
        <v>481</v>
      </c>
      <c r="E27" s="39">
        <f>VLOOKUP(A27,材料价格!A:D,3,FALSE)</f>
        <v>1.244</v>
      </c>
    </row>
    <row r="28" spans="1:5">
      <c r="A28" s="38" t="s">
        <v>339</v>
      </c>
      <c r="B28" s="38" t="s">
        <v>340</v>
      </c>
      <c r="C28" s="38">
        <v>1</v>
      </c>
      <c r="D28" s="39" t="s">
        <v>481</v>
      </c>
      <c r="E28" s="39">
        <f>VLOOKUP(A28,材料价格!A:D,3,FALSE)</f>
        <v>32.23</v>
      </c>
    </row>
    <row r="29" spans="1:5">
      <c r="A29" s="38" t="s">
        <v>341</v>
      </c>
      <c r="B29" s="38" t="s">
        <v>342</v>
      </c>
      <c r="C29" s="38">
        <v>1</v>
      </c>
      <c r="D29" s="39" t="s">
        <v>481</v>
      </c>
      <c r="E29" s="39">
        <f>VLOOKUP(A29,材料价格!A:D,3,FALSE)</f>
        <v>2.12</v>
      </c>
    </row>
    <row r="30" spans="1:5">
      <c r="A30" s="38" t="s">
        <v>343</v>
      </c>
      <c r="B30" s="38" t="s">
        <v>344</v>
      </c>
      <c r="C30" s="38">
        <v>1</v>
      </c>
      <c r="D30" s="39" t="s">
        <v>481</v>
      </c>
      <c r="E30" s="39">
        <f>VLOOKUP(A30,材料价格!A:D,3,FALSE)</f>
        <v>4.839</v>
      </c>
    </row>
    <row r="31" spans="1:5">
      <c r="A31" s="38" t="s">
        <v>345</v>
      </c>
      <c r="B31" s="38" t="s">
        <v>346</v>
      </c>
      <c r="C31" s="38">
        <v>1</v>
      </c>
      <c r="D31" s="39" t="s">
        <v>481</v>
      </c>
      <c r="E31" s="39">
        <f>VLOOKUP(A31,材料价格!A:D,3,FALSE)</f>
        <v>2.1</v>
      </c>
    </row>
    <row r="32" spans="1:5">
      <c r="A32" s="38" t="s">
        <v>347</v>
      </c>
      <c r="B32" s="38" t="s">
        <v>348</v>
      </c>
      <c r="C32" s="38">
        <v>1</v>
      </c>
      <c r="D32" s="39" t="s">
        <v>481</v>
      </c>
      <c r="E32" s="39">
        <f>VLOOKUP(A32,材料价格!A:D,3,FALSE)</f>
        <v>12.75</v>
      </c>
    </row>
    <row r="33" spans="1:5">
      <c r="A33" s="38" t="s">
        <v>349</v>
      </c>
      <c r="B33" s="38" t="s">
        <v>350</v>
      </c>
      <c r="C33" s="38">
        <v>1</v>
      </c>
      <c r="D33" s="39" t="s">
        <v>481</v>
      </c>
      <c r="E33" s="39">
        <f>VLOOKUP(A33,材料价格!A:D,3,FALSE)</f>
        <v>0.552</v>
      </c>
    </row>
    <row r="34" spans="1:5">
      <c r="A34" s="38" t="s">
        <v>351</v>
      </c>
      <c r="B34" s="38" t="s">
        <v>352</v>
      </c>
      <c r="C34" s="38">
        <v>1</v>
      </c>
      <c r="D34" s="39" t="s">
        <v>481</v>
      </c>
      <c r="E34" s="39">
        <f>VLOOKUP(A34,材料价格!A:D,3,FALSE)</f>
        <v>4.5</v>
      </c>
    </row>
    <row r="35" spans="1:5">
      <c r="A35" s="38" t="s">
        <v>353</v>
      </c>
      <c r="B35" s="38" t="s">
        <v>354</v>
      </c>
      <c r="C35" s="38">
        <v>1</v>
      </c>
      <c r="D35" s="39" t="s">
        <v>481</v>
      </c>
      <c r="E35" s="39">
        <f>VLOOKUP(A35,材料价格!A:D,3,FALSE)</f>
        <v>0.79</v>
      </c>
    </row>
    <row r="36" spans="1:5">
      <c r="A36" s="38" t="s">
        <v>39</v>
      </c>
      <c r="B36" s="38" t="s">
        <v>355</v>
      </c>
      <c r="C36" s="38">
        <v>1</v>
      </c>
      <c r="D36" s="39" t="s">
        <v>481</v>
      </c>
      <c r="E36" s="39">
        <f>VLOOKUP(A36,材料价格!A:D,3,FALSE)</f>
        <v>30.4798638614687</v>
      </c>
    </row>
    <row r="37" spans="1:5">
      <c r="A37" s="38"/>
      <c r="B37" s="38"/>
      <c r="C37" s="38"/>
      <c r="D37" s="39"/>
      <c r="E37" s="39">
        <f>SUMPRODUCT(C3:C36,E3:E36)</f>
        <v>284.433863602209</v>
      </c>
    </row>
  </sheetData>
  <conditionalFormatting sqref="A2">
    <cfRule type="duplicateValues" dxfId="0" priority="2"/>
  </conditionalFormatting>
  <conditionalFormatting sqref="A37">
    <cfRule type="duplicateValues" dxfId="0" priority="1"/>
  </conditionalFormatting>
  <conditionalFormatting sqref="A3:A36">
    <cfRule type="duplicateValues" dxfId="0" priority="3"/>
  </conditionalFormatting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8" sqref="H8"/>
    </sheetView>
  </sheetViews>
  <sheetFormatPr defaultColWidth="9" defaultRowHeight="14.4" outlineLevelCol="4"/>
  <cols>
    <col min="1" max="1" width="11.4444444444444" customWidth="1"/>
    <col min="2" max="2" width="25.7314814814815" customWidth="1"/>
  </cols>
  <sheetData>
    <row r="1" ht="20" customHeight="1" spans="1:2">
      <c r="A1" t="s">
        <v>454</v>
      </c>
      <c r="B1" t="s">
        <v>455</v>
      </c>
    </row>
    <row r="2" ht="20" customHeight="1" spans="1:5">
      <c r="A2" s="38" t="s">
        <v>143</v>
      </c>
      <c r="B2" s="38" t="s">
        <v>144</v>
      </c>
      <c r="C2" s="39" t="s">
        <v>472</v>
      </c>
      <c r="D2" s="39" t="s">
        <v>474</v>
      </c>
      <c r="E2" s="39" t="s">
        <v>19</v>
      </c>
    </row>
    <row r="3" ht="20" customHeight="1" spans="1:5">
      <c r="A3" s="38" t="s">
        <v>254</v>
      </c>
      <c r="B3" s="38" t="s">
        <v>255</v>
      </c>
      <c r="C3" s="38">
        <v>1</v>
      </c>
      <c r="D3" s="39" t="s">
        <v>481</v>
      </c>
      <c r="E3" s="39">
        <f>VLOOKUP(A3,材料价格!A:D,3,FALSE)</f>
        <v>0</v>
      </c>
    </row>
    <row r="4" ht="20" customHeight="1" spans="1:5">
      <c r="A4" s="38" t="s">
        <v>257</v>
      </c>
      <c r="B4" s="38" t="s">
        <v>258</v>
      </c>
      <c r="C4" s="38">
        <v>1</v>
      </c>
      <c r="D4" s="39" t="s">
        <v>481</v>
      </c>
      <c r="E4" s="39">
        <f>VLOOKUP(A4,材料价格!A:D,3,FALSE)</f>
        <v>0</v>
      </c>
    </row>
    <row r="5" ht="20" customHeight="1" spans="1:5">
      <c r="A5" s="38" t="s">
        <v>259</v>
      </c>
      <c r="B5" s="38" t="s">
        <v>260</v>
      </c>
      <c r="C5" s="38">
        <v>1</v>
      </c>
      <c r="D5" s="39" t="s">
        <v>481</v>
      </c>
      <c r="E5" s="39">
        <f>VLOOKUP(A5,材料价格!A:D,3,FALSE)</f>
        <v>47.69</v>
      </c>
    </row>
    <row r="6" ht="20" customHeight="1" spans="1:5">
      <c r="A6" s="38" t="s">
        <v>177</v>
      </c>
      <c r="B6" s="38" t="s">
        <v>178</v>
      </c>
      <c r="C6" s="38">
        <v>3</v>
      </c>
      <c r="D6" s="39" t="s">
        <v>481</v>
      </c>
      <c r="E6" s="39">
        <f>VLOOKUP(A6,材料价格!A:D,3,FALSE)</f>
        <v>0.0874</v>
      </c>
    </row>
    <row r="7" ht="20" customHeight="1" spans="1:5">
      <c r="A7" s="38" t="s">
        <v>180</v>
      </c>
      <c r="B7" s="38" t="s">
        <v>181</v>
      </c>
      <c r="C7" s="38">
        <v>3</v>
      </c>
      <c r="D7" s="39" t="s">
        <v>481</v>
      </c>
      <c r="E7" s="39">
        <f>VLOOKUP(A7,材料价格!A:D,3,FALSE)</f>
        <v>0.1074</v>
      </c>
    </row>
    <row r="8" ht="20" customHeight="1" spans="1:5">
      <c r="A8" s="38" t="s">
        <v>182</v>
      </c>
      <c r="B8" s="38" t="s">
        <v>181</v>
      </c>
      <c r="C8" s="38">
        <v>3</v>
      </c>
      <c r="D8" s="39" t="s">
        <v>481</v>
      </c>
      <c r="E8" s="39">
        <f>VLOOKUP(A8,材料价格!A:D,3,FALSE)</f>
        <v>0.1482</v>
      </c>
    </row>
    <row r="9" ht="20" customHeight="1" spans="1:5">
      <c r="A9" s="38" t="s">
        <v>183</v>
      </c>
      <c r="B9" s="38" t="s">
        <v>184</v>
      </c>
      <c r="C9" s="38">
        <v>1</v>
      </c>
      <c r="D9" s="39" t="s">
        <v>481</v>
      </c>
      <c r="E9" s="39">
        <f>VLOOKUP(A9,材料价格!A:D,3,FALSE)</f>
        <v>11.26</v>
      </c>
    </row>
    <row r="10" ht="20" customHeight="1" spans="1:5">
      <c r="A10" s="38" t="s">
        <v>261</v>
      </c>
      <c r="B10" s="38" t="s">
        <v>262</v>
      </c>
      <c r="C10" s="38">
        <v>1</v>
      </c>
      <c r="D10" s="39" t="s">
        <v>481</v>
      </c>
      <c r="E10" s="39">
        <f>VLOOKUP(A10,材料价格!A:D,3,FALSE)</f>
        <v>1.21</v>
      </c>
    </row>
    <row r="11" ht="20" customHeight="1" spans="1:5">
      <c r="A11" s="38" t="s">
        <v>264</v>
      </c>
      <c r="B11" s="38" t="s">
        <v>265</v>
      </c>
      <c r="C11" s="38">
        <v>1</v>
      </c>
      <c r="D11" s="39" t="s">
        <v>481</v>
      </c>
      <c r="E11" s="39">
        <f>VLOOKUP(A11,材料价格!A:D,3,FALSE)</f>
        <v>0.127</v>
      </c>
    </row>
    <row r="12" ht="20" customHeight="1" spans="1:5">
      <c r="A12" s="38" t="s">
        <v>272</v>
      </c>
      <c r="B12" s="38" t="s">
        <v>273</v>
      </c>
      <c r="C12" s="38">
        <v>2</v>
      </c>
      <c r="D12" s="39" t="s">
        <v>481</v>
      </c>
      <c r="E12" s="39">
        <f>VLOOKUP(A12,材料价格!A:D,3,FALSE)</f>
        <v>0.21</v>
      </c>
    </row>
    <row r="13" ht="20" customHeight="1" spans="1:5">
      <c r="A13" s="38" t="s">
        <v>283</v>
      </c>
      <c r="B13" s="38" t="s">
        <v>284</v>
      </c>
      <c r="C13" s="38">
        <v>1</v>
      </c>
      <c r="D13" s="39" t="s">
        <v>481</v>
      </c>
      <c r="E13" s="39">
        <f>VLOOKUP(A13,材料价格!A:D,3,FALSE)</f>
        <v>1.68</v>
      </c>
    </row>
    <row r="14" ht="20" customHeight="1" spans="1:5">
      <c r="A14" s="38" t="s">
        <v>285</v>
      </c>
      <c r="B14" s="38" t="s">
        <v>286</v>
      </c>
      <c r="C14" s="38">
        <v>1</v>
      </c>
      <c r="D14" s="39" t="s">
        <v>481</v>
      </c>
      <c r="E14" s="39">
        <f>VLOOKUP(A14,材料价格!A:D,3,FALSE)</f>
        <v>0</v>
      </c>
    </row>
    <row r="15" ht="20" customHeight="1" spans="1:5">
      <c r="A15" s="38" t="s">
        <v>291</v>
      </c>
      <c r="B15" s="38" t="s">
        <v>178</v>
      </c>
      <c r="C15" s="38">
        <v>4</v>
      </c>
      <c r="D15" s="39" t="s">
        <v>481</v>
      </c>
      <c r="E15" s="39">
        <f>VLOOKUP(A15,材料价格!A:D,3,FALSE)</f>
        <v>0.1425</v>
      </c>
    </row>
    <row r="16" ht="20" customHeight="1" spans="1:5">
      <c r="A16" s="38" t="s">
        <v>299</v>
      </c>
      <c r="B16" s="38" t="s">
        <v>300</v>
      </c>
      <c r="C16" s="38">
        <v>1</v>
      </c>
      <c r="D16" s="39" t="s">
        <v>481</v>
      </c>
      <c r="E16" s="39">
        <f>VLOOKUP(A16,材料价格!A:D,3,FALSE)</f>
        <v>0</v>
      </c>
    </row>
    <row r="17" ht="20" customHeight="1" spans="1:5">
      <c r="A17" s="38" t="s">
        <v>301</v>
      </c>
      <c r="B17" s="38" t="s">
        <v>302</v>
      </c>
      <c r="C17" s="38">
        <v>1</v>
      </c>
      <c r="D17" s="39" t="s">
        <v>481</v>
      </c>
      <c r="E17" s="39">
        <f>VLOOKUP(A17,材料价格!A:D,3,FALSE)</f>
        <v>0</v>
      </c>
    </row>
    <row r="18" ht="20" customHeight="1" spans="1:5">
      <c r="A18" s="38" t="s">
        <v>308</v>
      </c>
      <c r="B18" s="38" t="s">
        <v>309</v>
      </c>
      <c r="C18" s="38">
        <v>1</v>
      </c>
      <c r="D18" s="39" t="s">
        <v>481</v>
      </c>
      <c r="E18" s="39">
        <f>VLOOKUP(A18,材料价格!A:D,3,FALSE)</f>
        <v>90.75</v>
      </c>
    </row>
    <row r="19" ht="20" customHeight="1" spans="1:5">
      <c r="A19" s="38" t="s">
        <v>311</v>
      </c>
      <c r="B19" s="38" t="s">
        <v>178</v>
      </c>
      <c r="C19" s="38">
        <v>5</v>
      </c>
      <c r="D19" s="39" t="s">
        <v>481</v>
      </c>
      <c r="E19" s="39">
        <f>VLOOKUP(A19,材料价格!A:D,3,FALSE)</f>
        <v>0.2</v>
      </c>
    </row>
    <row r="20" ht="20" customHeight="1" spans="1:5">
      <c r="A20" s="38" t="s">
        <v>322</v>
      </c>
      <c r="B20" s="38" t="s">
        <v>323</v>
      </c>
      <c r="C20" s="38">
        <v>1</v>
      </c>
      <c r="D20" s="39" t="s">
        <v>481</v>
      </c>
      <c r="E20" s="39">
        <f>VLOOKUP(A20,材料价格!A:D,3,FALSE)</f>
        <v>4.319</v>
      </c>
    </row>
    <row r="21" ht="20" customHeight="1" spans="1:5">
      <c r="A21" s="38" t="s">
        <v>324</v>
      </c>
      <c r="B21" s="38" t="s">
        <v>325</v>
      </c>
      <c r="C21" s="38">
        <v>1</v>
      </c>
      <c r="D21" s="39" t="s">
        <v>481</v>
      </c>
      <c r="E21" s="39">
        <f>VLOOKUP(A21,材料价格!A:D,3,FALSE)</f>
        <v>4.576</v>
      </c>
    </row>
    <row r="22" ht="20" customHeight="1" spans="1:5">
      <c r="A22" s="38" t="s">
        <v>326</v>
      </c>
      <c r="B22" s="38" t="s">
        <v>327</v>
      </c>
      <c r="C22" s="38">
        <v>1</v>
      </c>
      <c r="D22" s="39" t="s">
        <v>481</v>
      </c>
      <c r="E22" s="39">
        <f>VLOOKUP(A22,材料价格!A:D,3,FALSE)</f>
        <v>1.07799974074074</v>
      </c>
    </row>
    <row r="23" ht="20" customHeight="1" spans="1:5">
      <c r="A23" s="38" t="s">
        <v>328</v>
      </c>
      <c r="B23" s="38" t="s">
        <v>329</v>
      </c>
      <c r="C23" s="38">
        <v>1</v>
      </c>
      <c r="D23" s="39" t="s">
        <v>481</v>
      </c>
      <c r="E23" s="39">
        <f>VLOOKUP(A23,材料价格!A:D,3,FALSE)</f>
        <v>10.53</v>
      </c>
    </row>
    <row r="24" ht="20" customHeight="1" spans="1:5">
      <c r="A24" s="38" t="s">
        <v>331</v>
      </c>
      <c r="B24" s="38" t="s">
        <v>332</v>
      </c>
      <c r="C24" s="38">
        <v>1</v>
      </c>
      <c r="D24" s="39" t="s">
        <v>481</v>
      </c>
      <c r="E24" s="39">
        <f>VLOOKUP(A24,材料价格!A:D,3,FALSE)</f>
        <v>10.39</v>
      </c>
    </row>
    <row r="25" ht="20" customHeight="1" spans="1:5">
      <c r="A25" s="38" t="s">
        <v>333</v>
      </c>
      <c r="B25" s="38" t="s">
        <v>334</v>
      </c>
      <c r="C25" s="38">
        <v>1</v>
      </c>
      <c r="D25" s="39" t="s">
        <v>481</v>
      </c>
      <c r="E25" s="39">
        <f>VLOOKUP(A25,材料价格!A:D,3,FALSE)</f>
        <v>2.5</v>
      </c>
    </row>
    <row r="26" ht="20" customHeight="1" spans="1:5">
      <c r="A26" s="38" t="s">
        <v>335</v>
      </c>
      <c r="B26" s="38" t="s">
        <v>336</v>
      </c>
      <c r="C26" s="38">
        <v>1</v>
      </c>
      <c r="D26" s="39" t="s">
        <v>481</v>
      </c>
      <c r="E26" s="39">
        <f>VLOOKUP(A26,材料价格!A:D,3,FALSE)</f>
        <v>3.7</v>
      </c>
    </row>
    <row r="27" ht="20" customHeight="1" spans="1:5">
      <c r="A27" s="38" t="s">
        <v>337</v>
      </c>
      <c r="B27" s="38" t="s">
        <v>338</v>
      </c>
      <c r="C27" s="38">
        <v>1</v>
      </c>
      <c r="D27" s="39" t="s">
        <v>481</v>
      </c>
      <c r="E27" s="39">
        <f>VLOOKUP(A27,材料价格!A:D,3,FALSE)</f>
        <v>1.244</v>
      </c>
    </row>
    <row r="28" ht="20" customHeight="1" spans="1:5">
      <c r="A28" s="38" t="s">
        <v>339</v>
      </c>
      <c r="B28" s="38" t="s">
        <v>340</v>
      </c>
      <c r="C28" s="38">
        <v>1</v>
      </c>
      <c r="D28" s="39" t="s">
        <v>481</v>
      </c>
      <c r="E28" s="39">
        <f>VLOOKUP(A28,材料价格!A:D,3,FALSE)</f>
        <v>32.23</v>
      </c>
    </row>
    <row r="29" ht="20" customHeight="1" spans="1:5">
      <c r="A29" s="38" t="s">
        <v>341</v>
      </c>
      <c r="B29" s="38" t="s">
        <v>342</v>
      </c>
      <c r="C29" s="38">
        <v>1</v>
      </c>
      <c r="D29" s="39" t="s">
        <v>481</v>
      </c>
      <c r="E29" s="39">
        <f>VLOOKUP(A29,材料价格!A:D,3,FALSE)</f>
        <v>2.12</v>
      </c>
    </row>
    <row r="30" ht="20" customHeight="1" spans="1:5">
      <c r="A30" s="38" t="s">
        <v>343</v>
      </c>
      <c r="B30" s="38" t="s">
        <v>344</v>
      </c>
      <c r="C30" s="38">
        <v>1</v>
      </c>
      <c r="D30" s="39" t="s">
        <v>481</v>
      </c>
      <c r="E30" s="39">
        <f>VLOOKUP(A30,材料价格!A:D,3,FALSE)</f>
        <v>4.839</v>
      </c>
    </row>
    <row r="31" ht="20" customHeight="1" spans="1:5">
      <c r="A31" s="38" t="s">
        <v>345</v>
      </c>
      <c r="B31" s="38" t="s">
        <v>346</v>
      </c>
      <c r="C31" s="38">
        <v>1</v>
      </c>
      <c r="D31" s="39" t="s">
        <v>481</v>
      </c>
      <c r="E31" s="39">
        <f>VLOOKUP(A31,材料价格!A:D,3,FALSE)</f>
        <v>2.1</v>
      </c>
    </row>
    <row r="32" ht="20" customHeight="1" spans="1:5">
      <c r="A32" s="38" t="s">
        <v>347</v>
      </c>
      <c r="B32" s="38" t="s">
        <v>348</v>
      </c>
      <c r="C32" s="38">
        <v>1</v>
      </c>
      <c r="D32" s="39" t="s">
        <v>481</v>
      </c>
      <c r="E32" s="39">
        <f>VLOOKUP(A32,材料价格!A:D,3,FALSE)</f>
        <v>12.75</v>
      </c>
    </row>
    <row r="33" ht="20" customHeight="1" spans="1:5">
      <c r="A33" s="38" t="s">
        <v>349</v>
      </c>
      <c r="B33" s="38" t="s">
        <v>350</v>
      </c>
      <c r="C33" s="38">
        <v>1</v>
      </c>
      <c r="D33" s="39" t="s">
        <v>481</v>
      </c>
      <c r="E33" s="39">
        <f>VLOOKUP(A33,材料价格!A:D,3,FALSE)</f>
        <v>0.552</v>
      </c>
    </row>
    <row r="34" ht="20" customHeight="1" spans="1:5">
      <c r="A34" s="38" t="s">
        <v>351</v>
      </c>
      <c r="B34" s="38" t="s">
        <v>352</v>
      </c>
      <c r="C34" s="38">
        <v>1</v>
      </c>
      <c r="D34" s="39" t="s">
        <v>481</v>
      </c>
      <c r="E34" s="39">
        <f>VLOOKUP(A34,材料价格!A:D,3,FALSE)</f>
        <v>4.5</v>
      </c>
    </row>
    <row r="35" ht="20" customHeight="1" spans="1:5">
      <c r="A35" s="38" t="s">
        <v>353</v>
      </c>
      <c r="B35" s="38" t="s">
        <v>354</v>
      </c>
      <c r="C35" s="38">
        <v>1</v>
      </c>
      <c r="D35" s="39" t="s">
        <v>481</v>
      </c>
      <c r="E35" s="39">
        <f>VLOOKUP(A35,材料价格!A:D,3,FALSE)</f>
        <v>0.79</v>
      </c>
    </row>
    <row r="36" ht="20" customHeight="1" spans="1:5">
      <c r="A36" s="38" t="s">
        <v>356</v>
      </c>
      <c r="B36" s="38" t="s">
        <v>357</v>
      </c>
      <c r="C36" s="38">
        <v>1</v>
      </c>
      <c r="D36" s="39" t="s">
        <v>481</v>
      </c>
      <c r="E36" s="39">
        <f>VLOOKUP(A36,材料价格!A:D,3,FALSE)</f>
        <v>10</v>
      </c>
    </row>
    <row r="37" ht="20" customHeight="1" spans="1:5">
      <c r="A37" s="38"/>
      <c r="B37" s="38"/>
      <c r="C37" s="38"/>
      <c r="D37" s="39"/>
      <c r="E37" s="39">
        <f>SUMPRODUCT(C3:C36,E3:E36)</f>
        <v>263.953999740741</v>
      </c>
    </row>
    <row r="38" ht="20" customHeight="1"/>
    <row r="39" ht="20" customHeight="1"/>
    <row r="40" ht="20" customHeight="1"/>
  </sheetData>
  <conditionalFormatting sqref="A2">
    <cfRule type="duplicateValues" dxfId="0" priority="2"/>
  </conditionalFormatting>
  <conditionalFormatting sqref="A37">
    <cfRule type="duplicateValues" dxfId="0" priority="1"/>
  </conditionalFormatting>
  <conditionalFormatting sqref="A3:A36">
    <cfRule type="duplicateValues" dxfId="0" priority="3"/>
  </conditionalFormatting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H8" sqref="H8"/>
    </sheetView>
  </sheetViews>
  <sheetFormatPr defaultColWidth="9" defaultRowHeight="14.4" outlineLevelCol="4"/>
  <cols>
    <col min="1" max="1" width="11.4444444444444" customWidth="1"/>
    <col min="2" max="2" width="25.7314814814815" customWidth="1"/>
    <col min="3" max="3" width="11.4444444444444" customWidth="1"/>
  </cols>
  <sheetData>
    <row r="1" ht="18" customHeight="1" spans="1:2">
      <c r="A1" t="s">
        <v>456</v>
      </c>
      <c r="B1" t="s">
        <v>457</v>
      </c>
    </row>
    <row r="2" ht="18" customHeight="1" spans="1:5">
      <c r="A2" s="38" t="s">
        <v>143</v>
      </c>
      <c r="B2" s="38" t="s">
        <v>144</v>
      </c>
      <c r="C2" s="39" t="s">
        <v>472</v>
      </c>
      <c r="D2" s="39" t="s">
        <v>474</v>
      </c>
      <c r="E2" s="39" t="s">
        <v>19</v>
      </c>
    </row>
    <row r="3" ht="18" customHeight="1" spans="1:5">
      <c r="A3" s="38" t="s">
        <v>254</v>
      </c>
      <c r="B3" s="38" t="s">
        <v>255</v>
      </c>
      <c r="C3" s="38">
        <v>1</v>
      </c>
      <c r="D3" s="39" t="s">
        <v>481</v>
      </c>
      <c r="E3" s="39">
        <f>VLOOKUP(A3,材料价格!A:D,3,FALSE)</f>
        <v>0</v>
      </c>
    </row>
    <row r="4" ht="18" customHeight="1" spans="1:5">
      <c r="A4" s="38" t="s">
        <v>257</v>
      </c>
      <c r="B4" s="38" t="s">
        <v>258</v>
      </c>
      <c r="C4" s="38">
        <v>1</v>
      </c>
      <c r="D4" s="39" t="s">
        <v>481</v>
      </c>
      <c r="E4" s="39">
        <f>VLOOKUP(A4,材料价格!A:D,3,FALSE)</f>
        <v>0</v>
      </c>
    </row>
    <row r="5" ht="18" customHeight="1" spans="1:5">
      <c r="A5" s="38" t="s">
        <v>259</v>
      </c>
      <c r="B5" s="38" t="s">
        <v>260</v>
      </c>
      <c r="C5" s="38">
        <v>1</v>
      </c>
      <c r="D5" s="39" t="s">
        <v>481</v>
      </c>
      <c r="E5" s="39">
        <f>VLOOKUP(A5,材料价格!A:D,3,FALSE)</f>
        <v>47.69</v>
      </c>
    </row>
    <row r="6" ht="18" customHeight="1" spans="1:5">
      <c r="A6" s="38" t="s">
        <v>177</v>
      </c>
      <c r="B6" s="38" t="s">
        <v>178</v>
      </c>
      <c r="C6" s="38">
        <v>3</v>
      </c>
      <c r="D6" s="39" t="s">
        <v>481</v>
      </c>
      <c r="E6" s="39">
        <f>VLOOKUP(A6,材料价格!A:D,3,FALSE)</f>
        <v>0.0874</v>
      </c>
    </row>
    <row r="7" ht="18" customHeight="1" spans="1:5">
      <c r="A7" s="38" t="s">
        <v>180</v>
      </c>
      <c r="B7" s="38" t="s">
        <v>181</v>
      </c>
      <c r="C7" s="38">
        <v>3</v>
      </c>
      <c r="D7" s="39" t="s">
        <v>481</v>
      </c>
      <c r="E7" s="39">
        <f>VLOOKUP(A7,材料价格!A:D,3,FALSE)</f>
        <v>0.1074</v>
      </c>
    </row>
    <row r="8" ht="18" customHeight="1" spans="1:5">
      <c r="A8" s="38" t="s">
        <v>182</v>
      </c>
      <c r="B8" s="38" t="s">
        <v>181</v>
      </c>
      <c r="C8" s="38">
        <v>3</v>
      </c>
      <c r="D8" s="39" t="s">
        <v>481</v>
      </c>
      <c r="E8" s="39">
        <f>VLOOKUP(A8,材料价格!A:D,3,FALSE)</f>
        <v>0.1482</v>
      </c>
    </row>
    <row r="9" ht="18" customHeight="1" spans="1:5">
      <c r="A9" s="38" t="s">
        <v>183</v>
      </c>
      <c r="B9" s="38" t="s">
        <v>184</v>
      </c>
      <c r="C9" s="38">
        <v>1</v>
      </c>
      <c r="D9" s="39" t="s">
        <v>481</v>
      </c>
      <c r="E9" s="39">
        <f>VLOOKUP(A9,材料价格!A:D,3,FALSE)</f>
        <v>11.26</v>
      </c>
    </row>
    <row r="10" ht="18" customHeight="1" spans="1:5">
      <c r="A10" s="38" t="s">
        <v>261</v>
      </c>
      <c r="B10" s="38" t="s">
        <v>262</v>
      </c>
      <c r="C10" s="38">
        <v>1</v>
      </c>
      <c r="D10" s="39" t="s">
        <v>481</v>
      </c>
      <c r="E10" s="39">
        <f>VLOOKUP(A10,材料价格!A:D,3,FALSE)</f>
        <v>1.21</v>
      </c>
    </row>
    <row r="11" ht="18" customHeight="1" spans="1:5">
      <c r="A11" s="38" t="s">
        <v>264</v>
      </c>
      <c r="B11" s="38" t="s">
        <v>265</v>
      </c>
      <c r="C11" s="38">
        <v>1</v>
      </c>
      <c r="D11" s="39" t="s">
        <v>481</v>
      </c>
      <c r="E11" s="39">
        <f>VLOOKUP(A11,材料价格!A:D,3,FALSE)</f>
        <v>0.127</v>
      </c>
    </row>
    <row r="12" ht="18" customHeight="1" spans="1:5">
      <c r="A12" s="38" t="s">
        <v>272</v>
      </c>
      <c r="B12" s="38" t="s">
        <v>273</v>
      </c>
      <c r="C12" s="38">
        <v>2</v>
      </c>
      <c r="D12" s="39" t="s">
        <v>481</v>
      </c>
      <c r="E12" s="39">
        <f>VLOOKUP(A12,材料价格!A:D,3,FALSE)</f>
        <v>0.21</v>
      </c>
    </row>
    <row r="13" ht="18" customHeight="1" spans="1:5">
      <c r="A13" s="38" t="s">
        <v>283</v>
      </c>
      <c r="B13" s="38" t="s">
        <v>284</v>
      </c>
      <c r="C13" s="38">
        <v>1</v>
      </c>
      <c r="D13" s="39" t="s">
        <v>481</v>
      </c>
      <c r="E13" s="39">
        <f>VLOOKUP(A13,材料价格!A:D,3,FALSE)</f>
        <v>1.68</v>
      </c>
    </row>
    <row r="14" ht="18" customHeight="1" spans="1:5">
      <c r="A14" s="38" t="s">
        <v>285</v>
      </c>
      <c r="B14" s="38" t="s">
        <v>286</v>
      </c>
      <c r="C14" s="38">
        <v>1</v>
      </c>
      <c r="D14" s="39" t="s">
        <v>481</v>
      </c>
      <c r="E14" s="39">
        <f>VLOOKUP(A14,材料价格!A:D,3,FALSE)</f>
        <v>0</v>
      </c>
    </row>
    <row r="15" ht="18" customHeight="1" spans="1:5">
      <c r="A15" s="38" t="s">
        <v>291</v>
      </c>
      <c r="B15" s="38" t="s">
        <v>178</v>
      </c>
      <c r="C15" s="38">
        <v>4</v>
      </c>
      <c r="D15" s="39" t="s">
        <v>481</v>
      </c>
      <c r="E15" s="39">
        <f>VLOOKUP(A15,材料价格!A:D,3,FALSE)</f>
        <v>0.1425</v>
      </c>
    </row>
    <row r="16" ht="18" customHeight="1" spans="1:5">
      <c r="A16" s="38" t="s">
        <v>299</v>
      </c>
      <c r="B16" s="38" t="s">
        <v>300</v>
      </c>
      <c r="C16" s="38">
        <v>1</v>
      </c>
      <c r="D16" s="39" t="s">
        <v>481</v>
      </c>
      <c r="E16" s="39">
        <f>VLOOKUP(A16,材料价格!A:D,3,FALSE)</f>
        <v>0</v>
      </c>
    </row>
    <row r="17" ht="18" customHeight="1" spans="1:5">
      <c r="A17" s="38" t="s">
        <v>301</v>
      </c>
      <c r="B17" s="38" t="s">
        <v>302</v>
      </c>
      <c r="C17" s="38">
        <v>1</v>
      </c>
      <c r="D17" s="39" t="s">
        <v>481</v>
      </c>
      <c r="E17" s="39">
        <f>VLOOKUP(A17,材料价格!A:D,3,FALSE)</f>
        <v>0</v>
      </c>
    </row>
    <row r="18" ht="18" customHeight="1" spans="1:5">
      <c r="A18" s="38" t="s">
        <v>308</v>
      </c>
      <c r="B18" s="38" t="s">
        <v>309</v>
      </c>
      <c r="C18" s="38">
        <v>1</v>
      </c>
      <c r="D18" s="39" t="s">
        <v>481</v>
      </c>
      <c r="E18" s="39">
        <f>VLOOKUP(A18,材料价格!A:D,3,FALSE)</f>
        <v>90.75</v>
      </c>
    </row>
    <row r="19" ht="18" customHeight="1" spans="1:5">
      <c r="A19" s="38" t="s">
        <v>311</v>
      </c>
      <c r="B19" s="38" t="s">
        <v>178</v>
      </c>
      <c r="C19" s="38">
        <v>5</v>
      </c>
      <c r="D19" s="39" t="s">
        <v>481</v>
      </c>
      <c r="E19" s="39">
        <f>VLOOKUP(A19,材料价格!A:D,3,FALSE)</f>
        <v>0.2</v>
      </c>
    </row>
    <row r="20" ht="18" customHeight="1" spans="1:5">
      <c r="A20" s="38" t="s">
        <v>322</v>
      </c>
      <c r="B20" s="38" t="s">
        <v>323</v>
      </c>
      <c r="C20" s="38">
        <v>1</v>
      </c>
      <c r="D20" s="39" t="s">
        <v>481</v>
      </c>
      <c r="E20" s="39">
        <f>VLOOKUP(A20,材料价格!A:D,3,FALSE)</f>
        <v>4.319</v>
      </c>
    </row>
    <row r="21" ht="18" customHeight="1" spans="1:5">
      <c r="A21" s="38" t="s">
        <v>324</v>
      </c>
      <c r="B21" s="38" t="s">
        <v>325</v>
      </c>
      <c r="C21" s="38">
        <v>1</v>
      </c>
      <c r="D21" s="39" t="s">
        <v>481</v>
      </c>
      <c r="E21" s="39">
        <f>VLOOKUP(A21,材料价格!A:D,3,FALSE)</f>
        <v>4.576</v>
      </c>
    </row>
    <row r="22" ht="18" customHeight="1" spans="1:5">
      <c r="A22" s="38" t="s">
        <v>326</v>
      </c>
      <c r="B22" s="38" t="s">
        <v>327</v>
      </c>
      <c r="C22" s="38">
        <v>1</v>
      </c>
      <c r="D22" s="39" t="s">
        <v>481</v>
      </c>
      <c r="E22" s="39">
        <f>VLOOKUP(A22,材料价格!A:D,3,FALSE)</f>
        <v>1.07799974074074</v>
      </c>
    </row>
    <row r="23" ht="18" customHeight="1" spans="1:5">
      <c r="A23" s="38" t="s">
        <v>328</v>
      </c>
      <c r="B23" s="38" t="s">
        <v>329</v>
      </c>
      <c r="C23" s="38">
        <v>1</v>
      </c>
      <c r="D23" s="39" t="s">
        <v>481</v>
      </c>
      <c r="E23" s="39">
        <f>VLOOKUP(A23,材料价格!A:D,3,FALSE)</f>
        <v>10.53</v>
      </c>
    </row>
    <row r="24" ht="18" customHeight="1" spans="1:5">
      <c r="A24" s="38" t="s">
        <v>331</v>
      </c>
      <c r="B24" s="38" t="s">
        <v>332</v>
      </c>
      <c r="C24" s="38">
        <v>1</v>
      </c>
      <c r="D24" s="39" t="s">
        <v>481</v>
      </c>
      <c r="E24" s="39">
        <f>VLOOKUP(A24,材料价格!A:D,3,FALSE)</f>
        <v>10.39</v>
      </c>
    </row>
    <row r="25" ht="18" customHeight="1" spans="1:5">
      <c r="A25" s="38" t="s">
        <v>333</v>
      </c>
      <c r="B25" s="38" t="s">
        <v>334</v>
      </c>
      <c r="C25" s="38">
        <v>1</v>
      </c>
      <c r="D25" s="39" t="s">
        <v>481</v>
      </c>
      <c r="E25" s="39">
        <f>VLOOKUP(A25,材料价格!A:D,3,FALSE)</f>
        <v>2.5</v>
      </c>
    </row>
    <row r="26" ht="18" customHeight="1" spans="1:5">
      <c r="A26" s="38" t="s">
        <v>335</v>
      </c>
      <c r="B26" s="38" t="s">
        <v>336</v>
      </c>
      <c r="C26" s="38">
        <v>1</v>
      </c>
      <c r="D26" s="39" t="s">
        <v>481</v>
      </c>
      <c r="E26" s="39">
        <f>VLOOKUP(A26,材料价格!A:D,3,FALSE)</f>
        <v>3.7</v>
      </c>
    </row>
    <row r="27" ht="18" customHeight="1" spans="1:5">
      <c r="A27" s="38" t="s">
        <v>337</v>
      </c>
      <c r="B27" s="38" t="s">
        <v>338</v>
      </c>
      <c r="C27" s="38">
        <v>1</v>
      </c>
      <c r="D27" s="39" t="s">
        <v>481</v>
      </c>
      <c r="E27" s="39">
        <f>VLOOKUP(A27,材料价格!A:D,3,FALSE)</f>
        <v>1.244</v>
      </c>
    </row>
    <row r="28" ht="18" customHeight="1" spans="1:5">
      <c r="A28" s="38" t="s">
        <v>339</v>
      </c>
      <c r="B28" s="38" t="s">
        <v>340</v>
      </c>
      <c r="C28" s="38">
        <v>1</v>
      </c>
      <c r="D28" s="39" t="s">
        <v>481</v>
      </c>
      <c r="E28" s="39">
        <f>VLOOKUP(A28,材料价格!A:D,3,FALSE)</f>
        <v>32.23</v>
      </c>
    </row>
    <row r="29" ht="18" customHeight="1" spans="1:5">
      <c r="A29" s="38" t="s">
        <v>341</v>
      </c>
      <c r="B29" s="38" t="s">
        <v>342</v>
      </c>
      <c r="C29" s="38">
        <v>1</v>
      </c>
      <c r="D29" s="39" t="s">
        <v>481</v>
      </c>
      <c r="E29" s="39">
        <f>VLOOKUP(A29,材料价格!A:D,3,FALSE)</f>
        <v>2.12</v>
      </c>
    </row>
    <row r="30" ht="18" customHeight="1" spans="1:5">
      <c r="A30" s="38" t="s">
        <v>343</v>
      </c>
      <c r="B30" s="38" t="s">
        <v>344</v>
      </c>
      <c r="C30" s="38">
        <v>1</v>
      </c>
      <c r="D30" s="39" t="s">
        <v>481</v>
      </c>
      <c r="E30" s="39">
        <f>VLOOKUP(A30,材料价格!A:D,3,FALSE)</f>
        <v>4.839</v>
      </c>
    </row>
    <row r="31" ht="18" customHeight="1" spans="1:5">
      <c r="A31" s="38" t="s">
        <v>345</v>
      </c>
      <c r="B31" s="38" t="s">
        <v>346</v>
      </c>
      <c r="C31" s="38">
        <v>1</v>
      </c>
      <c r="D31" s="39" t="s">
        <v>481</v>
      </c>
      <c r="E31" s="39">
        <f>VLOOKUP(A31,材料价格!A:D,3,FALSE)</f>
        <v>2.1</v>
      </c>
    </row>
    <row r="32" ht="18" customHeight="1" spans="1:5">
      <c r="A32" s="38" t="s">
        <v>347</v>
      </c>
      <c r="B32" s="38" t="s">
        <v>348</v>
      </c>
      <c r="C32" s="38">
        <v>1</v>
      </c>
      <c r="D32" s="39" t="s">
        <v>481</v>
      </c>
      <c r="E32" s="39">
        <f>VLOOKUP(A32,材料价格!A:D,3,FALSE)</f>
        <v>12.75</v>
      </c>
    </row>
    <row r="33" ht="18" customHeight="1" spans="1:5">
      <c r="A33" s="38" t="s">
        <v>349</v>
      </c>
      <c r="B33" s="38" t="s">
        <v>350</v>
      </c>
      <c r="C33" s="38">
        <v>1</v>
      </c>
      <c r="D33" s="39" t="s">
        <v>481</v>
      </c>
      <c r="E33" s="39">
        <f>VLOOKUP(A33,材料价格!A:D,3,FALSE)</f>
        <v>0.552</v>
      </c>
    </row>
    <row r="34" ht="18" customHeight="1" spans="1:5">
      <c r="A34" s="38" t="s">
        <v>351</v>
      </c>
      <c r="B34" s="38" t="s">
        <v>352</v>
      </c>
      <c r="C34" s="38">
        <v>1</v>
      </c>
      <c r="D34" s="39" t="s">
        <v>481</v>
      </c>
      <c r="E34" s="39">
        <f>VLOOKUP(A34,材料价格!A:D,3,FALSE)</f>
        <v>4.5</v>
      </c>
    </row>
    <row r="35" ht="18" customHeight="1" spans="1:5">
      <c r="A35" s="38" t="s">
        <v>353</v>
      </c>
      <c r="B35" s="38" t="s">
        <v>354</v>
      </c>
      <c r="C35" s="38">
        <v>1</v>
      </c>
      <c r="D35" s="39" t="s">
        <v>481</v>
      </c>
      <c r="E35" s="39">
        <f>VLOOKUP(A35,材料价格!A:D,3,FALSE)</f>
        <v>0.79</v>
      </c>
    </row>
    <row r="36" ht="18" customHeight="1" spans="1:5">
      <c r="A36" s="38" t="s">
        <v>43</v>
      </c>
      <c r="B36" s="38" t="s">
        <v>358</v>
      </c>
      <c r="C36" s="38">
        <v>1</v>
      </c>
      <c r="D36" s="39" t="s">
        <v>481</v>
      </c>
      <c r="E36" s="39">
        <f>VLOOKUP(A36,材料价格!A:D,3,FALSE)</f>
        <v>29.6371967899321</v>
      </c>
    </row>
    <row r="37" ht="18" customHeight="1" spans="1:5">
      <c r="A37" s="38"/>
      <c r="B37" s="38"/>
      <c r="C37" s="38"/>
      <c r="D37" s="39"/>
      <c r="E37" s="39">
        <f>SUMPRODUCT(C3:C36,E3:E36)</f>
        <v>283.591196530673</v>
      </c>
    </row>
  </sheetData>
  <conditionalFormatting sqref="A2">
    <cfRule type="duplicateValues" dxfId="0" priority="2"/>
  </conditionalFormatting>
  <conditionalFormatting sqref="A37">
    <cfRule type="duplicateValues" dxfId="0" priority="1"/>
  </conditionalFormatting>
  <conditionalFormatting sqref="A3:A36">
    <cfRule type="duplicateValues" dxfId="0" priority="3"/>
  </conditionalFormatting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workbookViewId="0">
      <selection activeCell="O4" sqref="O4"/>
    </sheetView>
  </sheetViews>
  <sheetFormatPr defaultColWidth="9" defaultRowHeight="14.4"/>
  <cols>
    <col min="1" max="1" width="11.3796296296296" style="1" customWidth="1"/>
    <col min="2" max="2" width="14.5" style="1" customWidth="1"/>
    <col min="3" max="3" width="13" style="1" customWidth="1"/>
    <col min="4" max="4" width="10.75" style="1" customWidth="1"/>
    <col min="5" max="5" width="11.1296296296296" style="1" customWidth="1"/>
    <col min="6" max="6" width="16" style="2" customWidth="1"/>
    <col min="7" max="8" width="11.1296296296296" style="2" customWidth="1"/>
    <col min="9" max="9" width="9.62962962962963" style="1" customWidth="1"/>
    <col min="10" max="10" width="12.6296296296296" style="1"/>
    <col min="11" max="11" width="12.8796296296296" style="1" customWidth="1"/>
    <col min="12" max="12" width="12.8796296296296" style="2" customWidth="1"/>
    <col min="13" max="14" width="9" style="1"/>
    <col min="15" max="15" width="7.22222222222222" style="3" customWidth="1"/>
    <col min="16" max="16384" width="9" style="1"/>
  </cols>
  <sheetData>
    <row r="1" s="1" customFormat="1" spans="6:15">
      <c r="F1" s="2"/>
      <c r="G1" s="2"/>
      <c r="H1" s="2"/>
      <c r="L1" s="2"/>
      <c r="O1" s="3"/>
    </row>
    <row r="2" s="1" customFormat="1" spans="1:15">
      <c r="A2" s="4" t="s">
        <v>524</v>
      </c>
      <c r="B2" s="4" t="s">
        <v>525</v>
      </c>
      <c r="C2" s="4" t="s">
        <v>459</v>
      </c>
      <c r="D2" s="4" t="s">
        <v>526</v>
      </c>
      <c r="E2" s="4" t="s">
        <v>527</v>
      </c>
      <c r="F2" s="5" t="s">
        <v>528</v>
      </c>
      <c r="G2" s="5" t="s">
        <v>529</v>
      </c>
      <c r="H2" s="5" t="s">
        <v>530</v>
      </c>
      <c r="I2" s="4" t="s">
        <v>531</v>
      </c>
      <c r="J2" s="4" t="s">
        <v>10</v>
      </c>
      <c r="K2" s="4" t="s">
        <v>532</v>
      </c>
      <c r="L2" s="5" t="s">
        <v>533</v>
      </c>
      <c r="M2" s="4" t="s">
        <v>534</v>
      </c>
      <c r="N2" s="4" t="s">
        <v>535</v>
      </c>
      <c r="O2" s="3" t="s">
        <v>536</v>
      </c>
    </row>
    <row r="3" s="1" customFormat="1" spans="1:15">
      <c r="A3" s="4" t="s">
        <v>537</v>
      </c>
      <c r="B3" s="4" t="s">
        <v>538</v>
      </c>
      <c r="C3" s="6">
        <v>16.92</v>
      </c>
      <c r="D3" s="7">
        <f>L17</f>
        <v>4.1255</v>
      </c>
      <c r="E3" s="4">
        <v>3.31</v>
      </c>
      <c r="F3" s="8">
        <f>E3*0.1</f>
        <v>0.331</v>
      </c>
      <c r="G3" s="8">
        <f>G27/E9</f>
        <v>1.74058524173028</v>
      </c>
      <c r="H3" s="8">
        <v>1.5</v>
      </c>
      <c r="I3" s="7">
        <f>F33/E9</f>
        <v>0.436810856658185</v>
      </c>
      <c r="J3" s="7">
        <f>F40</f>
        <v>2.33333333333333</v>
      </c>
      <c r="K3" s="32">
        <f>F36/E9</f>
        <v>0.737123139794896</v>
      </c>
      <c r="L3" s="33">
        <v>0.4</v>
      </c>
      <c r="M3" s="4">
        <f>G46</f>
        <v>1.25</v>
      </c>
      <c r="N3" s="34">
        <f>SUM(D3:M3)</f>
        <v>16.1643525715167</v>
      </c>
      <c r="O3" s="3">
        <f>C3-N3+L3</f>
        <v>1.15564742848331</v>
      </c>
    </row>
    <row r="4" s="1" customFormat="1" spans="1:15">
      <c r="A4" s="4" t="s">
        <v>537</v>
      </c>
      <c r="B4" s="4" t="s">
        <v>539</v>
      </c>
      <c r="C4" s="6">
        <v>25.57</v>
      </c>
      <c r="D4" s="7">
        <f>L20</f>
        <v>4.41544</v>
      </c>
      <c r="E4" s="4">
        <v>5.49</v>
      </c>
      <c r="F4" s="8">
        <f>E4*0.1</f>
        <v>0.549</v>
      </c>
      <c r="G4" s="8">
        <f>G27/E10</f>
        <v>2.2191403081914</v>
      </c>
      <c r="H4" s="8">
        <v>1.5</v>
      </c>
      <c r="I4" s="7">
        <f>F33/E10</f>
        <v>0.556907272235739</v>
      </c>
      <c r="J4" s="7">
        <f>F41</f>
        <v>3.11111111111111</v>
      </c>
      <c r="K4" s="32">
        <f>F36/E10</f>
        <v>0.939787166064538</v>
      </c>
      <c r="L4" s="33">
        <v>0.4</v>
      </c>
      <c r="M4" s="35">
        <f>G47</f>
        <v>2.5</v>
      </c>
      <c r="N4" s="34">
        <f>SUM(D4:M4)</f>
        <v>21.6813858576028</v>
      </c>
      <c r="O4" s="3">
        <f>C4-N4+L4</f>
        <v>4.28861414239721</v>
      </c>
    </row>
    <row r="5" s="1" customFormat="1" spans="1:15">
      <c r="A5" s="4" t="s">
        <v>540</v>
      </c>
      <c r="B5" s="4" t="s">
        <v>541</v>
      </c>
      <c r="C5" s="6">
        <v>18.2</v>
      </c>
      <c r="D5" s="7">
        <f>L23</f>
        <v>4.41544</v>
      </c>
      <c r="E5" s="4">
        <v>4.09</v>
      </c>
      <c r="F5" s="8">
        <f>E5*0.1</f>
        <v>0.409</v>
      </c>
      <c r="G5" s="8">
        <f>G27/E11</f>
        <v>1.90013888888889</v>
      </c>
      <c r="H5" s="8">
        <v>1.5</v>
      </c>
      <c r="I5" s="7">
        <f>F33/E11</f>
        <v>0.476851851851852</v>
      </c>
      <c r="J5" s="7">
        <f>F42</f>
        <v>2.33333333333333</v>
      </c>
      <c r="K5" s="32">
        <f>F36/E11</f>
        <v>0.804692760942761</v>
      </c>
      <c r="L5" s="33">
        <v>0.4</v>
      </c>
      <c r="M5" s="7">
        <f>G48</f>
        <v>0.767746913580247</v>
      </c>
      <c r="N5" s="34">
        <f>SUM(D5:M5)</f>
        <v>17.0972037485971</v>
      </c>
      <c r="O5" s="3"/>
    </row>
    <row r="6" s="1" customFormat="1" spans="6:15">
      <c r="F6" s="2"/>
      <c r="G6" s="2"/>
      <c r="H6" s="2"/>
      <c r="L6" s="2"/>
      <c r="O6" s="3"/>
    </row>
    <row r="7" spans="1:1">
      <c r="A7" s="1" t="s">
        <v>542</v>
      </c>
    </row>
    <row r="8" spans="1:5">
      <c r="A8" s="4" t="s">
        <v>524</v>
      </c>
      <c r="B8" s="4" t="s">
        <v>525</v>
      </c>
      <c r="C8" s="5" t="s">
        <v>543</v>
      </c>
      <c r="D8" s="5" t="s">
        <v>544</v>
      </c>
      <c r="E8" s="5" t="s">
        <v>545</v>
      </c>
    </row>
    <row r="9" spans="1:5">
      <c r="A9" s="4" t="s">
        <v>537</v>
      </c>
      <c r="B9" s="4" t="s">
        <v>538</v>
      </c>
      <c r="C9" s="5">
        <v>524</v>
      </c>
      <c r="D9" s="9">
        <v>0.9</v>
      </c>
      <c r="E9" s="10">
        <f t="shared" ref="E9:E11" si="0">C9*D9</f>
        <v>471.6</v>
      </c>
    </row>
    <row r="10" spans="1:5">
      <c r="A10" s="4" t="s">
        <v>537</v>
      </c>
      <c r="B10" s="4" t="s">
        <v>539</v>
      </c>
      <c r="C10" s="5">
        <v>411</v>
      </c>
      <c r="D10" s="9">
        <v>0.9</v>
      </c>
      <c r="E10" s="10">
        <f t="shared" si="0"/>
        <v>369.9</v>
      </c>
    </row>
    <row r="11" spans="1:5">
      <c r="A11" s="4" t="s">
        <v>540</v>
      </c>
      <c r="B11" s="4" t="s">
        <v>541</v>
      </c>
      <c r="C11" s="5">
        <v>480</v>
      </c>
      <c r="D11" s="9">
        <v>0.9</v>
      </c>
      <c r="E11" s="10">
        <f t="shared" si="0"/>
        <v>432</v>
      </c>
    </row>
    <row r="12" s="1" customFormat="1" spans="6:15">
      <c r="F12" s="2"/>
      <c r="G12" s="2"/>
      <c r="H12" s="2"/>
      <c r="L12" s="2"/>
      <c r="O12" s="3"/>
    </row>
    <row r="13" spans="1:1">
      <c r="A13" s="1" t="s">
        <v>526</v>
      </c>
    </row>
    <row r="14" s="1" customFormat="1" spans="1:15">
      <c r="A14" s="5" t="s">
        <v>524</v>
      </c>
      <c r="B14" s="11" t="s">
        <v>525</v>
      </c>
      <c r="C14" s="11" t="s">
        <v>546</v>
      </c>
      <c r="D14" s="12" t="s">
        <v>547</v>
      </c>
      <c r="E14" s="12" t="s">
        <v>548</v>
      </c>
      <c r="F14" s="12" t="s">
        <v>549</v>
      </c>
      <c r="G14" s="13" t="s">
        <v>550</v>
      </c>
      <c r="H14" s="13" t="s">
        <v>549</v>
      </c>
      <c r="I14" s="36" t="s">
        <v>551</v>
      </c>
      <c r="J14" s="36" t="s">
        <v>548</v>
      </c>
      <c r="K14" s="36" t="s">
        <v>549</v>
      </c>
      <c r="L14" s="5" t="s">
        <v>25</v>
      </c>
      <c r="O14" s="3"/>
    </row>
    <row r="15" s="1" customFormat="1" spans="1:15">
      <c r="A15" s="5" t="s">
        <v>537</v>
      </c>
      <c r="B15" s="14" t="s">
        <v>538</v>
      </c>
      <c r="C15" s="11" t="s">
        <v>552</v>
      </c>
      <c r="D15" s="15">
        <v>15</v>
      </c>
      <c r="E15" s="15"/>
      <c r="F15" s="15">
        <v>6</v>
      </c>
      <c r="G15" s="15">
        <v>20</v>
      </c>
      <c r="H15" s="15">
        <v>8</v>
      </c>
      <c r="I15" s="15">
        <v>15</v>
      </c>
      <c r="J15" s="15">
        <v>6</v>
      </c>
      <c r="K15" s="15">
        <v>10</v>
      </c>
      <c r="L15" s="5">
        <f t="shared" ref="L15:L18" si="1">SUM(D15:K15)</f>
        <v>80</v>
      </c>
      <c r="O15" s="3"/>
    </row>
    <row r="16" s="1" customFormat="1" spans="1:15">
      <c r="A16" s="5"/>
      <c r="B16" s="16"/>
      <c r="C16" s="17" t="s">
        <v>553</v>
      </c>
      <c r="D16" s="15">
        <v>0.05346</v>
      </c>
      <c r="E16" s="15"/>
      <c r="F16" s="15">
        <v>0.02424</v>
      </c>
      <c r="G16" s="15">
        <v>0.058</v>
      </c>
      <c r="H16" s="15">
        <v>0.02424</v>
      </c>
      <c r="I16" s="15">
        <v>0.072</v>
      </c>
      <c r="J16" s="15">
        <v>0.08364</v>
      </c>
      <c r="K16" s="15">
        <v>0.02424</v>
      </c>
      <c r="L16" s="5"/>
      <c r="O16" s="3"/>
    </row>
    <row r="17" s="1" customFormat="1" spans="1:15">
      <c r="A17" s="5"/>
      <c r="B17" s="16"/>
      <c r="C17" s="17" t="s">
        <v>554</v>
      </c>
      <c r="D17" s="15">
        <f t="shared" ref="D17:K17" si="2">D15*D16</f>
        <v>0.8019</v>
      </c>
      <c r="E17" s="15"/>
      <c r="F17" s="15">
        <f t="shared" si="2"/>
        <v>0.14544</v>
      </c>
      <c r="G17" s="15">
        <f t="shared" si="2"/>
        <v>1.16</v>
      </c>
      <c r="H17" s="15">
        <f t="shared" si="2"/>
        <v>0.19392</v>
      </c>
      <c r="I17" s="15">
        <f t="shared" si="2"/>
        <v>1.08</v>
      </c>
      <c r="J17" s="15">
        <f t="shared" si="2"/>
        <v>0.50184</v>
      </c>
      <c r="K17" s="15">
        <f t="shared" si="2"/>
        <v>0.2424</v>
      </c>
      <c r="L17" s="37">
        <f t="shared" si="1"/>
        <v>4.1255</v>
      </c>
      <c r="O17" s="3"/>
    </row>
    <row r="18" s="1" customFormat="1" spans="1:15">
      <c r="A18" s="5"/>
      <c r="B18" s="14" t="s">
        <v>539</v>
      </c>
      <c r="C18" s="11" t="s">
        <v>552</v>
      </c>
      <c r="D18" s="15">
        <v>16</v>
      </c>
      <c r="E18" s="15"/>
      <c r="F18" s="15">
        <v>8</v>
      </c>
      <c r="G18" s="15">
        <v>22</v>
      </c>
      <c r="H18" s="5">
        <v>8</v>
      </c>
      <c r="I18" s="15">
        <v>16</v>
      </c>
      <c r="J18" s="15">
        <v>6</v>
      </c>
      <c r="K18" s="15">
        <v>10</v>
      </c>
      <c r="L18" s="5">
        <f t="shared" si="1"/>
        <v>86</v>
      </c>
      <c r="O18" s="3"/>
    </row>
    <row r="19" s="1" customFormat="1" spans="1:15">
      <c r="A19" s="5"/>
      <c r="B19" s="16"/>
      <c r="C19" s="17" t="s">
        <v>553</v>
      </c>
      <c r="D19" s="15">
        <v>0.05346</v>
      </c>
      <c r="E19" s="15"/>
      <c r="F19" s="15">
        <v>0.02424</v>
      </c>
      <c r="G19" s="15">
        <v>0.058</v>
      </c>
      <c r="H19" s="15">
        <v>0.02424</v>
      </c>
      <c r="I19" s="15">
        <v>0.072</v>
      </c>
      <c r="J19" s="15">
        <v>0.08364</v>
      </c>
      <c r="K19" s="15">
        <v>0.02424</v>
      </c>
      <c r="L19" s="5"/>
      <c r="O19" s="3"/>
    </row>
    <row r="20" s="1" customFormat="1" spans="1:15">
      <c r="A20" s="5"/>
      <c r="B20" s="18"/>
      <c r="C20" s="17" t="s">
        <v>554</v>
      </c>
      <c r="D20" s="15">
        <f t="shared" ref="D20:K20" si="3">D18*D19</f>
        <v>0.85536</v>
      </c>
      <c r="E20" s="15"/>
      <c r="F20" s="15">
        <f t="shared" si="3"/>
        <v>0.19392</v>
      </c>
      <c r="G20" s="15">
        <f t="shared" si="3"/>
        <v>1.276</v>
      </c>
      <c r="H20" s="15">
        <f t="shared" si="3"/>
        <v>0.19392</v>
      </c>
      <c r="I20" s="15">
        <f t="shared" si="3"/>
        <v>1.152</v>
      </c>
      <c r="J20" s="15">
        <f t="shared" si="3"/>
        <v>0.50184</v>
      </c>
      <c r="K20" s="15">
        <f t="shared" si="3"/>
        <v>0.2424</v>
      </c>
      <c r="L20" s="37">
        <f t="shared" ref="L20:L23" si="4">SUM(D20:K20)</f>
        <v>4.41544</v>
      </c>
      <c r="O20" s="3"/>
    </row>
    <row r="21" s="1" customFormat="1" spans="1:15">
      <c r="A21" s="5" t="s">
        <v>540</v>
      </c>
      <c r="B21" s="19" t="s">
        <v>555</v>
      </c>
      <c r="C21" s="11" t="s">
        <v>552</v>
      </c>
      <c r="D21" s="15">
        <v>16</v>
      </c>
      <c r="E21" s="15"/>
      <c r="F21" s="15">
        <v>8</v>
      </c>
      <c r="G21" s="15">
        <v>22</v>
      </c>
      <c r="H21" s="5">
        <v>8</v>
      </c>
      <c r="I21" s="15">
        <v>16</v>
      </c>
      <c r="J21" s="15">
        <v>6</v>
      </c>
      <c r="K21" s="15">
        <v>10</v>
      </c>
      <c r="L21" s="5">
        <f t="shared" si="4"/>
        <v>86</v>
      </c>
      <c r="O21" s="3"/>
    </row>
    <row r="22" s="1" customFormat="1" spans="1:15">
      <c r="A22" s="5"/>
      <c r="B22" s="19"/>
      <c r="C22" s="17" t="s">
        <v>553</v>
      </c>
      <c r="D22" s="15">
        <v>0.05346</v>
      </c>
      <c r="E22" s="15"/>
      <c r="F22" s="15">
        <v>0.02424</v>
      </c>
      <c r="G22" s="15">
        <v>0.058</v>
      </c>
      <c r="H22" s="15">
        <v>0.02424</v>
      </c>
      <c r="I22" s="15">
        <v>0.072</v>
      </c>
      <c r="J22" s="15">
        <v>0.08364</v>
      </c>
      <c r="K22" s="15">
        <v>0.02424</v>
      </c>
      <c r="L22" s="5"/>
      <c r="O22" s="3"/>
    </row>
    <row r="23" s="1" customFormat="1" spans="1:15">
      <c r="A23" s="5"/>
      <c r="B23" s="19"/>
      <c r="C23" s="17" t="s">
        <v>554</v>
      </c>
      <c r="D23" s="15">
        <f t="shared" ref="D23:K23" si="5">D21*D22</f>
        <v>0.85536</v>
      </c>
      <c r="E23" s="15"/>
      <c r="F23" s="15">
        <f t="shared" si="5"/>
        <v>0.19392</v>
      </c>
      <c r="G23" s="15">
        <f t="shared" si="5"/>
        <v>1.276</v>
      </c>
      <c r="H23" s="5">
        <f t="shared" si="5"/>
        <v>0.19392</v>
      </c>
      <c r="I23" s="15">
        <f t="shared" si="5"/>
        <v>1.152</v>
      </c>
      <c r="J23" s="15">
        <f t="shared" si="5"/>
        <v>0.50184</v>
      </c>
      <c r="K23" s="15">
        <f t="shared" si="5"/>
        <v>0.2424</v>
      </c>
      <c r="L23" s="37">
        <f t="shared" si="4"/>
        <v>4.41544</v>
      </c>
      <c r="O23" s="3"/>
    </row>
    <row r="24" s="1" customFormat="1" spans="6:15">
      <c r="F24" s="2"/>
      <c r="G24" s="2"/>
      <c r="H24" s="2"/>
      <c r="L24" s="2"/>
      <c r="O24" s="3"/>
    </row>
    <row r="25" spans="1:1">
      <c r="A25" s="1" t="s">
        <v>529</v>
      </c>
    </row>
    <row r="26" spans="1:7">
      <c r="A26" s="11" t="s">
        <v>556</v>
      </c>
      <c r="B26" s="11" t="s">
        <v>557</v>
      </c>
      <c r="C26" s="11" t="s">
        <v>558</v>
      </c>
      <c r="D26" s="11" t="s">
        <v>559</v>
      </c>
      <c r="E26" s="11" t="s">
        <v>560</v>
      </c>
      <c r="F26" s="11" t="s">
        <v>561</v>
      </c>
      <c r="G26" s="11" t="s">
        <v>562</v>
      </c>
    </row>
    <row r="27" spans="1:7">
      <c r="A27" s="20" t="s">
        <v>563</v>
      </c>
      <c r="B27" s="20">
        <v>800</v>
      </c>
      <c r="C27" s="21">
        <v>0.6</v>
      </c>
      <c r="D27" s="20">
        <f t="shared" ref="D27:D30" si="6">B27*C27</f>
        <v>480</v>
      </c>
      <c r="E27" s="20">
        <v>0.8</v>
      </c>
      <c r="F27" s="22">
        <f t="shared" ref="F27:F30" si="7">D27*E27</f>
        <v>384</v>
      </c>
      <c r="G27" s="22">
        <f>F30+F29+F28+F27</f>
        <v>820.86</v>
      </c>
    </row>
    <row r="28" spans="1:7">
      <c r="A28" s="20" t="s">
        <v>564</v>
      </c>
      <c r="B28" s="20">
        <v>289</v>
      </c>
      <c r="C28" s="21">
        <v>0.3</v>
      </c>
      <c r="D28" s="20">
        <f t="shared" si="6"/>
        <v>86.7</v>
      </c>
      <c r="E28" s="20">
        <v>4.6</v>
      </c>
      <c r="F28" s="22">
        <f t="shared" si="7"/>
        <v>398.82</v>
      </c>
      <c r="G28" s="22"/>
    </row>
    <row r="29" spans="1:7">
      <c r="A29" s="20" t="s">
        <v>565</v>
      </c>
      <c r="B29" s="20">
        <v>1118</v>
      </c>
      <c r="C29" s="21">
        <v>0.4</v>
      </c>
      <c r="D29" s="20">
        <f t="shared" si="6"/>
        <v>447.2</v>
      </c>
      <c r="E29" s="20">
        <v>0.075</v>
      </c>
      <c r="F29" s="22">
        <f t="shared" si="7"/>
        <v>33.54</v>
      </c>
      <c r="G29" s="22"/>
    </row>
    <row r="30" spans="1:7">
      <c r="A30" s="20" t="s">
        <v>566</v>
      </c>
      <c r="B30" s="20">
        <v>5</v>
      </c>
      <c r="C30" s="21">
        <v>0.1</v>
      </c>
      <c r="D30" s="20">
        <f t="shared" si="6"/>
        <v>0.5</v>
      </c>
      <c r="E30" s="20">
        <v>9</v>
      </c>
      <c r="F30" s="22">
        <f t="shared" si="7"/>
        <v>4.5</v>
      </c>
      <c r="G30" s="22"/>
    </row>
    <row r="31" s="1" customFormat="1" spans="6:15">
      <c r="F31" s="2"/>
      <c r="G31" s="2"/>
      <c r="H31" s="2"/>
      <c r="L31" s="2"/>
      <c r="O31" s="3"/>
    </row>
    <row r="32" spans="1:1">
      <c r="A32" s="1" t="s">
        <v>531</v>
      </c>
    </row>
    <row r="33" ht="24" customHeight="1" spans="1:6">
      <c r="A33" s="23" t="s">
        <v>567</v>
      </c>
      <c r="B33" s="24" t="s">
        <v>568</v>
      </c>
      <c r="C33" s="24"/>
      <c r="D33" s="24"/>
      <c r="E33" s="24"/>
      <c r="F33" s="25">
        <v>206</v>
      </c>
    </row>
    <row r="34" s="1" customFormat="1" spans="6:15">
      <c r="F34" s="2"/>
      <c r="G34" s="2"/>
      <c r="H34" s="2"/>
      <c r="L34" s="2"/>
      <c r="O34" s="3"/>
    </row>
    <row r="35" spans="1:1">
      <c r="A35" s="1" t="s">
        <v>569</v>
      </c>
    </row>
    <row r="36" ht="49" customHeight="1" spans="1:6">
      <c r="A36" s="26" t="s">
        <v>570</v>
      </c>
      <c r="B36" s="26" t="s">
        <v>571</v>
      </c>
      <c r="C36" s="26">
        <v>3823.9</v>
      </c>
      <c r="D36" s="27" t="s">
        <v>572</v>
      </c>
      <c r="E36" s="27"/>
      <c r="F36" s="28">
        <f>C36/11</f>
        <v>347.627272727273</v>
      </c>
    </row>
    <row r="37" s="1" customFormat="1" spans="6:15">
      <c r="F37" s="2"/>
      <c r="G37" s="2"/>
      <c r="H37" s="2"/>
      <c r="L37" s="2"/>
      <c r="O37" s="3"/>
    </row>
    <row r="38" spans="1:1">
      <c r="A38" s="1" t="s">
        <v>10</v>
      </c>
    </row>
    <row r="39" spans="1:7">
      <c r="A39" s="4" t="s">
        <v>524</v>
      </c>
      <c r="B39" s="4" t="s">
        <v>525</v>
      </c>
      <c r="C39" s="23" t="s">
        <v>573</v>
      </c>
      <c r="D39" s="29" t="s">
        <v>574</v>
      </c>
      <c r="E39" s="23" t="s">
        <v>575</v>
      </c>
      <c r="F39" s="23" t="s">
        <v>576</v>
      </c>
      <c r="G39" s="30"/>
    </row>
    <row r="40" spans="1:6">
      <c r="A40" s="4" t="s">
        <v>537</v>
      </c>
      <c r="B40" s="4" t="s">
        <v>538</v>
      </c>
      <c r="C40" s="4">
        <v>4</v>
      </c>
      <c r="D40" s="4">
        <v>2</v>
      </c>
      <c r="E40" s="4">
        <v>21</v>
      </c>
      <c r="F40" s="31">
        <f t="shared" ref="F40:F42" si="8">(C40+D40)*C9/60*E40/E9</f>
        <v>2.33333333333333</v>
      </c>
    </row>
    <row r="41" spans="1:6">
      <c r="A41" s="4" t="s">
        <v>537</v>
      </c>
      <c r="B41" s="4" t="s">
        <v>539</v>
      </c>
      <c r="C41" s="4">
        <v>5</v>
      </c>
      <c r="D41" s="4">
        <v>3</v>
      </c>
      <c r="E41" s="4">
        <v>21</v>
      </c>
      <c r="F41" s="31">
        <f t="shared" si="8"/>
        <v>3.11111111111111</v>
      </c>
    </row>
    <row r="42" spans="1:6">
      <c r="A42" s="4" t="s">
        <v>540</v>
      </c>
      <c r="B42" s="4" t="s">
        <v>541</v>
      </c>
      <c r="C42" s="4">
        <v>4</v>
      </c>
      <c r="D42" s="4">
        <v>2</v>
      </c>
      <c r="E42" s="4">
        <v>21</v>
      </c>
      <c r="F42" s="31">
        <f t="shared" si="8"/>
        <v>2.33333333333333</v>
      </c>
    </row>
    <row r="43" s="1" customFormat="1" spans="6:15">
      <c r="F43" s="2"/>
      <c r="G43" s="2"/>
      <c r="H43" s="2"/>
      <c r="L43" s="2"/>
      <c r="O43" s="3"/>
    </row>
    <row r="44" spans="1:1">
      <c r="A44" s="1" t="s">
        <v>577</v>
      </c>
    </row>
    <row r="45" spans="1:7">
      <c r="A45" s="4" t="s">
        <v>524</v>
      </c>
      <c r="B45" s="4" t="s">
        <v>525</v>
      </c>
      <c r="C45" s="5" t="s">
        <v>578</v>
      </c>
      <c r="D45" s="5" t="s">
        <v>579</v>
      </c>
      <c r="E45" s="5" t="s">
        <v>580</v>
      </c>
      <c r="F45" s="5" t="s">
        <v>581</v>
      </c>
      <c r="G45" s="5" t="s">
        <v>582</v>
      </c>
    </row>
    <row r="46" spans="1:7">
      <c r="A46" s="4" t="s">
        <v>537</v>
      </c>
      <c r="B46" s="4" t="s">
        <v>538</v>
      </c>
      <c r="C46" s="5">
        <v>6000</v>
      </c>
      <c r="D46" s="5">
        <v>24</v>
      </c>
      <c r="E46" s="5">
        <v>288</v>
      </c>
      <c r="F46" s="5">
        <v>110</v>
      </c>
      <c r="G46" s="5">
        <f t="shared" ref="G46:G48" si="9">(D46*F46+C46)/D46/E46</f>
        <v>1.25</v>
      </c>
    </row>
    <row r="47" spans="1:7">
      <c r="A47" s="4" t="s">
        <v>537</v>
      </c>
      <c r="B47" s="4" t="s">
        <v>539</v>
      </c>
      <c r="C47" s="5">
        <v>6000</v>
      </c>
      <c r="D47" s="5">
        <v>24</v>
      </c>
      <c r="E47" s="5">
        <v>144</v>
      </c>
      <c r="F47" s="5">
        <v>110</v>
      </c>
      <c r="G47" s="5">
        <f t="shared" si="9"/>
        <v>2.5</v>
      </c>
    </row>
    <row r="48" spans="1:7">
      <c r="A48" s="4" t="s">
        <v>540</v>
      </c>
      <c r="B48" s="4" t="s">
        <v>541</v>
      </c>
      <c r="C48" s="5">
        <v>2300</v>
      </c>
      <c r="D48" s="5">
        <v>24</v>
      </c>
      <c r="E48" s="5">
        <v>216</v>
      </c>
      <c r="F48" s="5">
        <v>70</v>
      </c>
      <c r="G48" s="31">
        <f t="shared" si="9"/>
        <v>0.767746913580247</v>
      </c>
    </row>
  </sheetData>
  <mergeCells count="8">
    <mergeCell ref="B33:E33"/>
    <mergeCell ref="D36:E36"/>
    <mergeCell ref="A15:A20"/>
    <mergeCell ref="A21:A23"/>
    <mergeCell ref="B15:B17"/>
    <mergeCell ref="B18:B20"/>
    <mergeCell ref="B21:B23"/>
    <mergeCell ref="G27:G30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8"/>
  <sheetViews>
    <sheetView zoomScale="85" zoomScaleNormal="85" workbookViewId="0">
      <selection activeCell="J6" sqref="J6"/>
    </sheetView>
  </sheetViews>
  <sheetFormatPr defaultColWidth="9" defaultRowHeight="14.4"/>
  <cols>
    <col min="1" max="1" width="11.6388888888889" style="242" customWidth="1"/>
    <col min="2" max="2" width="26.0925925925926" style="242" customWidth="1"/>
    <col min="3" max="3" width="13.9074074074074" style="242" customWidth="1"/>
    <col min="4" max="4" width="8.09259259259259" style="242" customWidth="1"/>
    <col min="5" max="5" width="22.3611111111111" style="242" customWidth="1"/>
    <col min="6" max="6" width="13.7314814814815" style="243" customWidth="1"/>
    <col min="7" max="8" width="11.4444444444444" style="243" customWidth="1"/>
    <col min="9" max="9" width="45" style="244" customWidth="1"/>
    <col min="10" max="10" width="45" style="242" customWidth="1"/>
    <col min="11" max="11" width="9" style="242"/>
    <col min="12" max="12" width="18.3611111111111" style="242" customWidth="1"/>
    <col min="13" max="15" width="9" style="242"/>
    <col min="16" max="16" width="31.0925925925926" style="242" customWidth="1"/>
    <col min="17" max="17" width="12.6388888888889" style="242"/>
    <col min="18" max="16384" width="9" style="242"/>
  </cols>
  <sheetData>
    <row r="1" ht="22" customHeight="1" spans="1:9">
      <c r="A1" s="245" t="s">
        <v>142</v>
      </c>
      <c r="B1" s="245"/>
      <c r="C1" s="245"/>
      <c r="D1" s="245"/>
      <c r="E1" s="245"/>
      <c r="F1" s="245"/>
      <c r="G1" s="245"/>
      <c r="H1" s="245"/>
      <c r="I1" s="250"/>
    </row>
    <row r="2" ht="42" customHeight="1" spans="1:9">
      <c r="A2" s="38" t="s">
        <v>143</v>
      </c>
      <c r="B2" s="38" t="s">
        <v>144</v>
      </c>
      <c r="C2" s="246" t="s">
        <v>145</v>
      </c>
      <c r="D2" s="246" t="s">
        <v>146</v>
      </c>
      <c r="E2" s="247" t="s">
        <v>147</v>
      </c>
      <c r="F2" s="248" t="s">
        <v>148</v>
      </c>
      <c r="G2" s="248" t="s">
        <v>149</v>
      </c>
      <c r="H2" s="248" t="s">
        <v>150</v>
      </c>
      <c r="I2" s="248" t="s">
        <v>151</v>
      </c>
    </row>
    <row r="3" ht="23" customHeight="1" spans="1:9">
      <c r="A3" s="38" t="s">
        <v>152</v>
      </c>
      <c r="B3" s="38" t="s">
        <v>153</v>
      </c>
      <c r="C3" s="249">
        <v>0.03</v>
      </c>
      <c r="D3" s="249">
        <v>0.03</v>
      </c>
      <c r="E3" s="38" t="s">
        <v>154</v>
      </c>
      <c r="F3" s="249" t="s">
        <v>155</v>
      </c>
      <c r="G3" s="249"/>
      <c r="H3" s="249" t="str">
        <f>IF(F3=""&amp;G3="","",IF(F3="",IF(G3="","",C3-G3),C3-F3))</f>
        <v/>
      </c>
      <c r="I3" s="248"/>
    </row>
    <row r="4" ht="23" customHeight="1" spans="1:9">
      <c r="A4" s="38" t="s">
        <v>134</v>
      </c>
      <c r="B4" s="38" t="s">
        <v>156</v>
      </c>
      <c r="C4" s="249">
        <v>1.68551592987407</v>
      </c>
      <c r="D4" s="249">
        <v>1.68551592987407</v>
      </c>
      <c r="E4" s="38" t="s">
        <v>157</v>
      </c>
      <c r="F4" s="249">
        <v>1.02515682857143</v>
      </c>
      <c r="G4" s="249"/>
      <c r="H4" s="249">
        <f>IF(F4=""&amp;G4="","",IF(F4="",IF(G4="","",C4-G4),C4-F4))</f>
        <v>0.66035910130264</v>
      </c>
      <c r="I4" s="248"/>
    </row>
    <row r="5" ht="23" customHeight="1" spans="1:9">
      <c r="A5" s="38" t="s">
        <v>158</v>
      </c>
      <c r="B5" s="38" t="s">
        <v>159</v>
      </c>
      <c r="C5" s="249">
        <v>0.3</v>
      </c>
      <c r="D5" s="249">
        <v>0.3</v>
      </c>
      <c r="E5" s="38" t="s">
        <v>160</v>
      </c>
      <c r="F5" s="249" t="s">
        <v>155</v>
      </c>
      <c r="G5" s="249"/>
      <c r="H5" s="249" t="str">
        <f t="shared" ref="H5:H35" si="0">IF(F5=""&amp;G5="","",IF(F5="",IF(G5="","",C5-G5),C5-F5))</f>
        <v/>
      </c>
      <c r="I5" s="248"/>
    </row>
    <row r="6" ht="23" customHeight="1" spans="1:9">
      <c r="A6" s="38" t="s">
        <v>132</v>
      </c>
      <c r="B6" s="38" t="s">
        <v>133</v>
      </c>
      <c r="C6" s="249">
        <v>3.12247400133333</v>
      </c>
      <c r="D6" s="249">
        <v>3.12247400133333</v>
      </c>
      <c r="E6" s="38" t="s">
        <v>157</v>
      </c>
      <c r="F6" s="249">
        <v>2.54614114285714</v>
      </c>
      <c r="G6" s="249"/>
      <c r="H6" s="249">
        <f t="shared" si="0"/>
        <v>0.57633285847619</v>
      </c>
      <c r="I6" s="248"/>
    </row>
    <row r="7" ht="23" customHeight="1" spans="1:9">
      <c r="A7" s="38" t="s">
        <v>140</v>
      </c>
      <c r="B7" s="38" t="s">
        <v>141</v>
      </c>
      <c r="C7" s="249">
        <v>0.731881996622222</v>
      </c>
      <c r="D7" s="249">
        <v>0.731881996622222</v>
      </c>
      <c r="E7" s="38" t="s">
        <v>157</v>
      </c>
      <c r="F7" s="249">
        <v>0.703918628571429</v>
      </c>
      <c r="G7" s="249"/>
      <c r="H7" s="249">
        <f t="shared" si="0"/>
        <v>0.027963368050793</v>
      </c>
      <c r="I7" s="248"/>
    </row>
    <row r="8" ht="23" customHeight="1" spans="1:9">
      <c r="A8" s="38" t="s">
        <v>138</v>
      </c>
      <c r="B8" s="38" t="s">
        <v>139</v>
      </c>
      <c r="C8" s="249">
        <v>0.291909888682222</v>
      </c>
      <c r="D8" s="249">
        <v>0.291909888682222</v>
      </c>
      <c r="E8" s="38" t="s">
        <v>157</v>
      </c>
      <c r="F8" s="249">
        <v>0.211725525</v>
      </c>
      <c r="G8" s="249"/>
      <c r="H8" s="249">
        <f t="shared" si="0"/>
        <v>0.080184363682222</v>
      </c>
      <c r="I8" s="248"/>
    </row>
    <row r="9" ht="30" customHeight="1" spans="1:9">
      <c r="A9" s="38" t="s">
        <v>161</v>
      </c>
      <c r="B9" s="38" t="s">
        <v>162</v>
      </c>
      <c r="C9" s="249">
        <v>5.81</v>
      </c>
      <c r="D9" s="249">
        <f>5.36/1.13</f>
        <v>4.74336283185841</v>
      </c>
      <c r="E9" s="38" t="s">
        <v>163</v>
      </c>
      <c r="F9" s="249" t="s">
        <v>155</v>
      </c>
      <c r="G9" s="249"/>
      <c r="H9" s="249" t="str">
        <f t="shared" si="0"/>
        <v/>
      </c>
      <c r="I9" s="248" t="s">
        <v>164</v>
      </c>
    </row>
    <row r="10" ht="26" customHeight="1" spans="1:9">
      <c r="A10" s="38" t="s">
        <v>165</v>
      </c>
      <c r="B10" s="38" t="s">
        <v>166</v>
      </c>
      <c r="C10" s="249">
        <v>0.18</v>
      </c>
      <c r="D10" s="249">
        <v>0.18</v>
      </c>
      <c r="E10" s="38" t="s">
        <v>167</v>
      </c>
      <c r="F10" s="249" t="s">
        <v>155</v>
      </c>
      <c r="G10" s="249"/>
      <c r="H10" s="249" t="str">
        <f t="shared" si="0"/>
        <v/>
      </c>
      <c r="I10" s="248"/>
    </row>
    <row r="11" ht="23" customHeight="1" spans="1:9">
      <c r="A11" s="38" t="s">
        <v>168</v>
      </c>
      <c r="B11" s="38" t="s">
        <v>169</v>
      </c>
      <c r="C11" s="249">
        <v>0.4</v>
      </c>
      <c r="D11" s="249">
        <v>0.4</v>
      </c>
      <c r="E11" s="38"/>
      <c r="F11" s="249" t="s">
        <v>155</v>
      </c>
      <c r="G11" s="249"/>
      <c r="H11" s="249" t="str">
        <f t="shared" si="0"/>
        <v/>
      </c>
      <c r="I11" s="248"/>
    </row>
    <row r="12" ht="23" customHeight="1" spans="1:9">
      <c r="A12" s="38" t="s">
        <v>170</v>
      </c>
      <c r="B12" s="38" t="s">
        <v>171</v>
      </c>
      <c r="C12" s="249">
        <v>0.3</v>
      </c>
      <c r="D12" s="249">
        <v>0.3</v>
      </c>
      <c r="E12" s="38" t="s">
        <v>172</v>
      </c>
      <c r="F12" s="249" t="s">
        <v>155</v>
      </c>
      <c r="G12" s="249"/>
      <c r="H12" s="249" t="str">
        <f t="shared" si="0"/>
        <v/>
      </c>
      <c r="I12" s="248"/>
    </row>
    <row r="13" ht="49" customHeight="1" spans="1:9">
      <c r="A13" s="38" t="s">
        <v>173</v>
      </c>
      <c r="B13" s="38" t="s">
        <v>174</v>
      </c>
      <c r="C13" s="249">
        <v>4.2</v>
      </c>
      <c r="D13" s="249">
        <v>4.2</v>
      </c>
      <c r="E13" s="38" t="s">
        <v>175</v>
      </c>
      <c r="F13" s="249" t="s">
        <v>155</v>
      </c>
      <c r="G13" s="249"/>
      <c r="H13" s="249" t="str">
        <f t="shared" si="0"/>
        <v/>
      </c>
      <c r="I13" s="248" t="s">
        <v>176</v>
      </c>
    </row>
    <row r="14" ht="23" customHeight="1" spans="1:9">
      <c r="A14" s="38" t="s">
        <v>177</v>
      </c>
      <c r="B14" s="38" t="s">
        <v>178</v>
      </c>
      <c r="C14" s="249">
        <v>0.0874</v>
      </c>
      <c r="D14" s="249"/>
      <c r="E14" s="38" t="s">
        <v>179</v>
      </c>
      <c r="F14" s="249" t="s">
        <v>155</v>
      </c>
      <c r="G14" s="249"/>
      <c r="H14" s="249" t="str">
        <f t="shared" si="0"/>
        <v/>
      </c>
      <c r="I14" s="248"/>
    </row>
    <row r="15" ht="23" customHeight="1" spans="1:9">
      <c r="A15" s="38" t="s">
        <v>180</v>
      </c>
      <c r="B15" s="38" t="s">
        <v>181</v>
      </c>
      <c r="C15" s="249">
        <v>0.1074</v>
      </c>
      <c r="D15" s="249"/>
      <c r="E15" s="38" t="s">
        <v>179</v>
      </c>
      <c r="F15" s="249" t="s">
        <v>155</v>
      </c>
      <c r="G15" s="249"/>
      <c r="H15" s="249" t="str">
        <f t="shared" si="0"/>
        <v/>
      </c>
      <c r="I15" s="248"/>
    </row>
    <row r="16" ht="23" customHeight="1" spans="1:9">
      <c r="A16" s="38" t="s">
        <v>182</v>
      </c>
      <c r="B16" s="38" t="s">
        <v>181</v>
      </c>
      <c r="C16" s="249">
        <v>0.1482</v>
      </c>
      <c r="D16" s="249"/>
      <c r="E16" s="38" t="s">
        <v>179</v>
      </c>
      <c r="F16" s="249" t="s">
        <v>155</v>
      </c>
      <c r="G16" s="249"/>
      <c r="H16" s="249" t="str">
        <f t="shared" si="0"/>
        <v/>
      </c>
      <c r="I16" s="248"/>
    </row>
    <row r="17" ht="23" customHeight="1" spans="1:9">
      <c r="A17" s="38" t="s">
        <v>183</v>
      </c>
      <c r="B17" s="38" t="s">
        <v>184</v>
      </c>
      <c r="C17" s="249">
        <v>11.26</v>
      </c>
      <c r="D17" s="249"/>
      <c r="E17" s="38" t="s">
        <v>185</v>
      </c>
      <c r="F17" s="249" t="s">
        <v>155</v>
      </c>
      <c r="G17" s="249"/>
      <c r="H17" s="249" t="str">
        <f t="shared" si="0"/>
        <v/>
      </c>
      <c r="I17" s="248"/>
    </row>
    <row r="18" ht="23" customHeight="1" spans="1:9">
      <c r="A18" s="38" t="s">
        <v>186</v>
      </c>
      <c r="B18" s="38" t="s">
        <v>187</v>
      </c>
      <c r="C18" s="249">
        <v>1.5</v>
      </c>
      <c r="D18" s="249"/>
      <c r="E18" s="38" t="s">
        <v>188</v>
      </c>
      <c r="F18" s="249" t="s">
        <v>155</v>
      </c>
      <c r="G18" s="249"/>
      <c r="H18" s="249" t="str">
        <f t="shared" si="0"/>
        <v/>
      </c>
      <c r="I18" s="248"/>
    </row>
    <row r="19" ht="23" customHeight="1" spans="1:9">
      <c r="A19" s="38" t="s">
        <v>189</v>
      </c>
      <c r="B19" s="38" t="s">
        <v>190</v>
      </c>
      <c r="C19" s="249">
        <v>1.84</v>
      </c>
      <c r="D19" s="249"/>
      <c r="E19" s="38" t="s">
        <v>163</v>
      </c>
      <c r="F19" s="249" t="s">
        <v>155</v>
      </c>
      <c r="G19" s="249"/>
      <c r="H19" s="249" t="str">
        <f t="shared" si="0"/>
        <v/>
      </c>
      <c r="I19" s="248" t="s">
        <v>191</v>
      </c>
    </row>
    <row r="20" ht="23" customHeight="1" spans="1:9">
      <c r="A20" s="38" t="s">
        <v>192</v>
      </c>
      <c r="B20" s="38" t="s">
        <v>193</v>
      </c>
      <c r="C20" s="249">
        <v>0.135</v>
      </c>
      <c r="D20" s="249"/>
      <c r="E20" s="38" t="s">
        <v>194</v>
      </c>
      <c r="F20" s="249" t="s">
        <v>155</v>
      </c>
      <c r="G20" s="249"/>
      <c r="H20" s="249" t="str">
        <f t="shared" si="0"/>
        <v/>
      </c>
      <c r="I20" s="248"/>
    </row>
    <row r="21" ht="23" customHeight="1" spans="1:9">
      <c r="A21" s="38" t="s">
        <v>195</v>
      </c>
      <c r="B21" s="38" t="s">
        <v>196</v>
      </c>
      <c r="C21" s="249">
        <v>10.8</v>
      </c>
      <c r="D21" s="249"/>
      <c r="E21" s="38" t="s">
        <v>197</v>
      </c>
      <c r="F21" s="249" t="s">
        <v>155</v>
      </c>
      <c r="G21" s="249"/>
      <c r="H21" s="249" t="str">
        <f t="shared" si="0"/>
        <v/>
      </c>
      <c r="I21" s="248"/>
    </row>
    <row r="22" ht="23" customHeight="1" spans="1:9">
      <c r="A22" s="38" t="s">
        <v>198</v>
      </c>
      <c r="B22" s="38" t="s">
        <v>199</v>
      </c>
      <c r="C22" s="249">
        <v>0</v>
      </c>
      <c r="D22" s="249"/>
      <c r="E22" s="38" t="s">
        <v>197</v>
      </c>
      <c r="F22" s="249" t="s">
        <v>155</v>
      </c>
      <c r="G22" s="249"/>
      <c r="H22" s="249" t="str">
        <f t="shared" si="0"/>
        <v/>
      </c>
      <c r="I22" s="248"/>
    </row>
    <row r="23" ht="23" customHeight="1" spans="1:9">
      <c r="A23" s="38" t="s">
        <v>200</v>
      </c>
      <c r="B23" s="38" t="s">
        <v>201</v>
      </c>
      <c r="C23" s="249">
        <v>2.97</v>
      </c>
      <c r="D23" s="249"/>
      <c r="E23" s="38" t="s">
        <v>194</v>
      </c>
      <c r="F23" s="249" t="s">
        <v>155</v>
      </c>
      <c r="G23" s="249"/>
      <c r="H23" s="249" t="str">
        <f t="shared" si="0"/>
        <v/>
      </c>
      <c r="I23" s="248"/>
    </row>
    <row r="24" ht="23" customHeight="1" spans="1:9">
      <c r="A24" s="38" t="s">
        <v>53</v>
      </c>
      <c r="B24" s="38" t="s">
        <v>202</v>
      </c>
      <c r="C24" s="249">
        <v>17.6113035853025</v>
      </c>
      <c r="D24" s="249"/>
      <c r="E24" s="38" t="s">
        <v>157</v>
      </c>
      <c r="F24" s="249" t="s">
        <v>155</v>
      </c>
      <c r="G24" s="249">
        <v>12.6593428571429</v>
      </c>
      <c r="H24" s="249">
        <f t="shared" si="0"/>
        <v>4.9519607281596</v>
      </c>
      <c r="I24" s="248"/>
    </row>
    <row r="25" ht="23" customHeight="1" spans="1:9">
      <c r="A25" s="38" t="s">
        <v>203</v>
      </c>
      <c r="B25" s="38" t="s">
        <v>204</v>
      </c>
      <c r="C25" s="249">
        <v>17.1</v>
      </c>
      <c r="D25" s="249"/>
      <c r="E25" s="38" t="s">
        <v>205</v>
      </c>
      <c r="F25" s="249" t="s">
        <v>155</v>
      </c>
      <c r="G25" s="249" t="s">
        <v>155</v>
      </c>
      <c r="H25" s="249" t="str">
        <f t="shared" si="0"/>
        <v/>
      </c>
      <c r="I25" s="248"/>
    </row>
    <row r="26" ht="23" customHeight="1" spans="1:9">
      <c r="A26" s="38" t="s">
        <v>206</v>
      </c>
      <c r="B26" s="38" t="s">
        <v>207</v>
      </c>
      <c r="C26" s="249">
        <v>4.015</v>
      </c>
      <c r="D26" s="249"/>
      <c r="E26" s="38" t="s">
        <v>194</v>
      </c>
      <c r="F26" s="249" t="s">
        <v>155</v>
      </c>
      <c r="G26" s="249"/>
      <c r="H26" s="249" t="str">
        <f t="shared" si="0"/>
        <v/>
      </c>
      <c r="I26" s="248"/>
    </row>
    <row r="27" ht="23" customHeight="1" spans="1:9">
      <c r="A27" s="38" t="s">
        <v>208</v>
      </c>
      <c r="B27" s="38" t="s">
        <v>209</v>
      </c>
      <c r="C27" s="249">
        <v>4.528</v>
      </c>
      <c r="D27" s="249"/>
      <c r="E27" s="38" t="s">
        <v>194</v>
      </c>
      <c r="F27" s="249" t="s">
        <v>155</v>
      </c>
      <c r="G27" s="249"/>
      <c r="H27" s="249" t="str">
        <f t="shared" si="0"/>
        <v/>
      </c>
      <c r="I27" s="248"/>
    </row>
    <row r="28" ht="23" customHeight="1" spans="1:9">
      <c r="A28" s="38" t="s">
        <v>210</v>
      </c>
      <c r="B28" s="38" t="s">
        <v>211</v>
      </c>
      <c r="C28" s="249">
        <v>6.5</v>
      </c>
      <c r="D28" s="249"/>
      <c r="E28" s="38" t="s">
        <v>194</v>
      </c>
      <c r="F28" s="249" t="s">
        <v>155</v>
      </c>
      <c r="G28" s="249"/>
      <c r="H28" s="249" t="str">
        <f t="shared" si="0"/>
        <v/>
      </c>
      <c r="I28" s="248"/>
    </row>
    <row r="29" ht="23" customHeight="1" spans="1:9">
      <c r="A29" s="38" t="s">
        <v>212</v>
      </c>
      <c r="B29" s="38" t="s">
        <v>213</v>
      </c>
      <c r="C29" s="249">
        <v>1.01351982962963</v>
      </c>
      <c r="D29" s="249"/>
      <c r="E29" s="38" t="s">
        <v>157</v>
      </c>
      <c r="F29" s="249"/>
      <c r="G29" s="249"/>
      <c r="H29" s="249" t="str">
        <f t="shared" si="0"/>
        <v/>
      </c>
      <c r="I29" s="248"/>
    </row>
    <row r="30" ht="23" customHeight="1" spans="1:9">
      <c r="A30" s="38" t="s">
        <v>214</v>
      </c>
      <c r="B30" s="38" t="s">
        <v>215</v>
      </c>
      <c r="C30" s="249">
        <v>0.67</v>
      </c>
      <c r="D30" s="249"/>
      <c r="E30" s="38" t="s">
        <v>216</v>
      </c>
      <c r="F30" s="249" t="s">
        <v>155</v>
      </c>
      <c r="G30" s="249"/>
      <c r="H30" s="249" t="str">
        <f t="shared" si="0"/>
        <v/>
      </c>
      <c r="I30" s="248"/>
    </row>
    <row r="31" ht="23" customHeight="1" spans="1:9">
      <c r="A31" s="38" t="s">
        <v>217</v>
      </c>
      <c r="B31" s="38" t="s">
        <v>218</v>
      </c>
      <c r="C31" s="249">
        <v>3.7</v>
      </c>
      <c r="D31" s="249"/>
      <c r="E31" s="38" t="s">
        <v>219</v>
      </c>
      <c r="F31" s="249" t="s">
        <v>155</v>
      </c>
      <c r="G31" s="249"/>
      <c r="H31" s="249" t="str">
        <f t="shared" si="0"/>
        <v/>
      </c>
      <c r="I31" s="248"/>
    </row>
    <row r="32" ht="23" customHeight="1" spans="1:9">
      <c r="A32" s="38" t="s">
        <v>220</v>
      </c>
      <c r="B32" s="38" t="s">
        <v>221</v>
      </c>
      <c r="C32" s="249">
        <v>2.4</v>
      </c>
      <c r="D32" s="249"/>
      <c r="E32" s="38" t="s">
        <v>222</v>
      </c>
      <c r="F32" s="249" t="s">
        <v>155</v>
      </c>
      <c r="G32" s="249"/>
      <c r="H32" s="249" t="str">
        <f t="shared" si="0"/>
        <v/>
      </c>
      <c r="I32" s="248"/>
    </row>
    <row r="33" ht="23" customHeight="1" spans="1:9">
      <c r="A33" s="38" t="s">
        <v>223</v>
      </c>
      <c r="B33" s="38" t="s">
        <v>224</v>
      </c>
      <c r="C33" s="249">
        <v>0.861</v>
      </c>
      <c r="D33" s="249"/>
      <c r="E33" s="38" t="s">
        <v>194</v>
      </c>
      <c r="F33" s="249" t="s">
        <v>155</v>
      </c>
      <c r="G33" s="249"/>
      <c r="H33" s="249" t="str">
        <f t="shared" si="0"/>
        <v/>
      </c>
      <c r="I33" s="248"/>
    </row>
    <row r="34" ht="23" customHeight="1" spans="1:9">
      <c r="A34" s="38" t="s">
        <v>57</v>
      </c>
      <c r="B34" s="38" t="s">
        <v>225</v>
      </c>
      <c r="C34" s="249">
        <v>18.2741404934966</v>
      </c>
      <c r="D34" s="249"/>
      <c r="E34" s="38" t="s">
        <v>157</v>
      </c>
      <c r="F34" s="249" t="s">
        <v>155</v>
      </c>
      <c r="G34" s="249">
        <v>13.6775571428571</v>
      </c>
      <c r="H34" s="249">
        <f t="shared" si="0"/>
        <v>4.5965833506395</v>
      </c>
      <c r="I34" s="248"/>
    </row>
    <row r="35" ht="23" customHeight="1" spans="1:9">
      <c r="A35" s="38" t="s">
        <v>61</v>
      </c>
      <c r="B35" s="38" t="s">
        <v>226</v>
      </c>
      <c r="C35" s="249">
        <v>17.4824186309314</v>
      </c>
      <c r="D35" s="249"/>
      <c r="E35" s="38" t="s">
        <v>157</v>
      </c>
      <c r="F35" s="249" t="s">
        <v>155</v>
      </c>
      <c r="G35" s="249">
        <v>12.4549857142857</v>
      </c>
      <c r="H35" s="249">
        <f t="shared" si="0"/>
        <v>5.0274329166457</v>
      </c>
      <c r="I35" s="248"/>
    </row>
    <row r="36" ht="23" customHeight="1" spans="1:9">
      <c r="A36" s="38" t="s">
        <v>65</v>
      </c>
      <c r="B36" s="38" t="s">
        <v>227</v>
      </c>
      <c r="C36" s="249">
        <v>19.0750684242313</v>
      </c>
      <c r="D36" s="249"/>
      <c r="E36" s="38" t="s">
        <v>157</v>
      </c>
      <c r="F36" s="249" t="s">
        <v>155</v>
      </c>
      <c r="G36" s="249">
        <v>14.9264142857143</v>
      </c>
      <c r="H36" s="249">
        <f t="shared" ref="H36:H67" si="1">IF(F36=""&amp;G36="","",IF(F36="",IF(G36="","",C36-G36),C36-F36))</f>
        <v>4.148654138517</v>
      </c>
      <c r="I36" s="248"/>
    </row>
    <row r="37" ht="23" customHeight="1" spans="1:9">
      <c r="A37" s="38" t="s">
        <v>49</v>
      </c>
      <c r="B37" s="38" t="s">
        <v>228</v>
      </c>
      <c r="C37" s="249">
        <v>16.9208484726002</v>
      </c>
      <c r="D37" s="249"/>
      <c r="E37" s="38" t="s">
        <v>157</v>
      </c>
      <c r="F37" s="249" t="s">
        <v>155</v>
      </c>
      <c r="G37" s="249">
        <v>11.5814857142857</v>
      </c>
      <c r="H37" s="249">
        <f t="shared" si="1"/>
        <v>5.3393627583145</v>
      </c>
      <c r="I37" s="248"/>
    </row>
    <row r="38" ht="23" customHeight="1" spans="1:9">
      <c r="A38" s="38" t="s">
        <v>229</v>
      </c>
      <c r="B38" s="38" t="s">
        <v>230</v>
      </c>
      <c r="C38" s="249">
        <v>2.97</v>
      </c>
      <c r="D38" s="249"/>
      <c r="E38" s="38" t="s">
        <v>194</v>
      </c>
      <c r="F38" s="249" t="s">
        <v>155</v>
      </c>
      <c r="G38" s="249"/>
      <c r="H38" s="249" t="str">
        <f t="shared" si="1"/>
        <v/>
      </c>
      <c r="I38" s="248"/>
    </row>
    <row r="39" ht="23" customHeight="1" spans="1:9">
      <c r="A39" s="38" t="s">
        <v>47</v>
      </c>
      <c r="B39" s="38" t="s">
        <v>231</v>
      </c>
      <c r="C39" s="249">
        <v>16.9208484726002</v>
      </c>
      <c r="D39" s="249"/>
      <c r="E39" s="38" t="s">
        <v>157</v>
      </c>
      <c r="F39" s="249" t="s">
        <v>155</v>
      </c>
      <c r="G39" s="249">
        <v>11.5814857142857</v>
      </c>
      <c r="H39" s="249">
        <f t="shared" si="1"/>
        <v>5.3393627583145</v>
      </c>
      <c r="I39" s="248"/>
    </row>
    <row r="40" ht="23" customHeight="1" spans="1:9">
      <c r="A40" s="38" t="s">
        <v>232</v>
      </c>
      <c r="B40" s="38" t="s">
        <v>233</v>
      </c>
      <c r="C40" s="249">
        <v>17.1</v>
      </c>
      <c r="D40" s="249"/>
      <c r="E40" s="38" t="s">
        <v>205</v>
      </c>
      <c r="F40" s="249" t="s">
        <v>155</v>
      </c>
      <c r="G40" s="249"/>
      <c r="H40" s="249" t="str">
        <f t="shared" si="1"/>
        <v/>
      </c>
      <c r="I40" s="248"/>
    </row>
    <row r="41" ht="23" customHeight="1" spans="1:9">
      <c r="A41" s="38" t="s">
        <v>234</v>
      </c>
      <c r="B41" s="38" t="s">
        <v>235</v>
      </c>
      <c r="C41" s="249">
        <v>4.015</v>
      </c>
      <c r="D41" s="249"/>
      <c r="E41" s="38" t="s">
        <v>194</v>
      </c>
      <c r="F41" s="249" t="s">
        <v>155</v>
      </c>
      <c r="G41" s="249"/>
      <c r="H41" s="249" t="str">
        <f t="shared" si="1"/>
        <v/>
      </c>
      <c r="I41" s="248"/>
    </row>
    <row r="42" ht="23" customHeight="1" spans="1:9">
      <c r="A42" s="38" t="s">
        <v>236</v>
      </c>
      <c r="B42" s="38" t="s">
        <v>237</v>
      </c>
      <c r="C42" s="249">
        <v>4.528</v>
      </c>
      <c r="D42" s="249"/>
      <c r="E42" s="38" t="s">
        <v>194</v>
      </c>
      <c r="F42" s="249" t="s">
        <v>155</v>
      </c>
      <c r="G42" s="249"/>
      <c r="H42" s="249" t="str">
        <f t="shared" si="1"/>
        <v/>
      </c>
      <c r="I42" s="248"/>
    </row>
    <row r="43" ht="23" customHeight="1" spans="1:9">
      <c r="A43" s="38" t="s">
        <v>238</v>
      </c>
      <c r="B43" s="38" t="s">
        <v>239</v>
      </c>
      <c r="C43" s="249">
        <v>6.5</v>
      </c>
      <c r="D43" s="249"/>
      <c r="E43" s="38" t="s">
        <v>194</v>
      </c>
      <c r="F43" s="249" t="s">
        <v>155</v>
      </c>
      <c r="G43" s="249"/>
      <c r="H43" s="249" t="str">
        <f t="shared" si="1"/>
        <v/>
      </c>
      <c r="I43" s="248"/>
    </row>
    <row r="44" ht="23" customHeight="1" spans="1:9">
      <c r="A44" s="38" t="s">
        <v>240</v>
      </c>
      <c r="B44" s="38" t="s">
        <v>241</v>
      </c>
      <c r="C44" s="249">
        <v>1.01351982962963</v>
      </c>
      <c r="D44" s="249"/>
      <c r="E44" s="38" t="s">
        <v>157</v>
      </c>
      <c r="F44" s="249"/>
      <c r="G44" s="249"/>
      <c r="H44" s="249" t="str">
        <f t="shared" si="1"/>
        <v/>
      </c>
      <c r="I44" s="248"/>
    </row>
    <row r="45" ht="23" customHeight="1" spans="1:9">
      <c r="A45" s="38" t="s">
        <v>242</v>
      </c>
      <c r="B45" s="38" t="s">
        <v>243</v>
      </c>
      <c r="C45" s="249">
        <v>0.67</v>
      </c>
      <c r="D45" s="249"/>
      <c r="E45" s="38" t="s">
        <v>194</v>
      </c>
      <c r="F45" s="249" t="s">
        <v>155</v>
      </c>
      <c r="G45" s="249"/>
      <c r="H45" s="249" t="str">
        <f t="shared" si="1"/>
        <v/>
      </c>
      <c r="I45" s="248"/>
    </row>
    <row r="46" ht="23" customHeight="1" spans="1:9">
      <c r="A46" s="38" t="s">
        <v>244</v>
      </c>
      <c r="B46" s="38" t="s">
        <v>245</v>
      </c>
      <c r="C46" s="249">
        <v>2.4</v>
      </c>
      <c r="D46" s="249"/>
      <c r="E46" s="38" t="s">
        <v>222</v>
      </c>
      <c r="F46" s="249" t="s">
        <v>155</v>
      </c>
      <c r="G46" s="249" t="s">
        <v>155</v>
      </c>
      <c r="H46" s="249" t="str">
        <f t="shared" si="1"/>
        <v/>
      </c>
      <c r="I46" s="248"/>
    </row>
    <row r="47" ht="23" customHeight="1" spans="1:9">
      <c r="A47" s="38" t="s">
        <v>246</v>
      </c>
      <c r="B47" s="38" t="s">
        <v>247</v>
      </c>
      <c r="C47" s="249">
        <v>3.7</v>
      </c>
      <c r="D47" s="249"/>
      <c r="E47" s="38" t="s">
        <v>219</v>
      </c>
      <c r="F47" s="249" t="s">
        <v>155</v>
      </c>
      <c r="G47" s="249" t="s">
        <v>155</v>
      </c>
      <c r="H47" s="249" t="str">
        <f t="shared" si="1"/>
        <v/>
      </c>
      <c r="I47" s="248"/>
    </row>
    <row r="48" ht="23" customHeight="1" spans="1:9">
      <c r="A48" s="38" t="s">
        <v>248</v>
      </c>
      <c r="B48" s="38" t="s">
        <v>249</v>
      </c>
      <c r="C48" s="249">
        <v>0.861</v>
      </c>
      <c r="D48" s="249"/>
      <c r="E48" s="38" t="s">
        <v>194</v>
      </c>
      <c r="F48" s="249" t="s">
        <v>155</v>
      </c>
      <c r="G48" s="249"/>
      <c r="H48" s="249" t="str">
        <f t="shared" si="1"/>
        <v/>
      </c>
      <c r="I48" s="248"/>
    </row>
    <row r="49" ht="23" customHeight="1" spans="1:9">
      <c r="A49" s="38" t="s">
        <v>63</v>
      </c>
      <c r="B49" s="38" t="s">
        <v>250</v>
      </c>
      <c r="C49" s="249">
        <v>19.0750684242313</v>
      </c>
      <c r="D49" s="249"/>
      <c r="E49" s="38" t="s">
        <v>157</v>
      </c>
      <c r="F49" s="249" t="s">
        <v>155</v>
      </c>
      <c r="G49" s="249">
        <v>14.9264142857143</v>
      </c>
      <c r="H49" s="249">
        <f t="shared" si="1"/>
        <v>4.148654138517</v>
      </c>
      <c r="I49" s="248"/>
    </row>
    <row r="50" ht="23" customHeight="1" spans="1:9">
      <c r="A50" s="38" t="s">
        <v>59</v>
      </c>
      <c r="B50" s="38" t="s">
        <v>251</v>
      </c>
      <c r="C50" s="249">
        <v>17.4824186309314</v>
      </c>
      <c r="D50" s="249"/>
      <c r="E50" s="38" t="s">
        <v>157</v>
      </c>
      <c r="F50" s="249" t="s">
        <v>155</v>
      </c>
      <c r="G50" s="249">
        <v>12.4549857142857</v>
      </c>
      <c r="H50" s="249">
        <f t="shared" si="1"/>
        <v>5.0274329166457</v>
      </c>
      <c r="I50" s="248"/>
    </row>
    <row r="51" ht="23" customHeight="1" spans="1:9">
      <c r="A51" s="38" t="s">
        <v>55</v>
      </c>
      <c r="B51" s="38" t="s">
        <v>252</v>
      </c>
      <c r="C51" s="249">
        <v>18.2741404934966</v>
      </c>
      <c r="D51" s="249"/>
      <c r="E51" s="38" t="s">
        <v>157</v>
      </c>
      <c r="F51" s="249" t="s">
        <v>155</v>
      </c>
      <c r="G51" s="249">
        <v>13.6775571428571</v>
      </c>
      <c r="H51" s="249">
        <f t="shared" si="1"/>
        <v>4.5965833506395</v>
      </c>
      <c r="I51" s="248"/>
    </row>
    <row r="52" ht="23" customHeight="1" spans="1:9">
      <c r="A52" s="38" t="s">
        <v>51</v>
      </c>
      <c r="B52" s="38" t="s">
        <v>253</v>
      </c>
      <c r="C52" s="249">
        <v>17.6113035853025</v>
      </c>
      <c r="D52" s="249"/>
      <c r="E52" s="38" t="s">
        <v>157</v>
      </c>
      <c r="F52" s="249" t="s">
        <v>155</v>
      </c>
      <c r="G52" s="249">
        <v>12.6593428571429</v>
      </c>
      <c r="H52" s="249">
        <f t="shared" si="1"/>
        <v>4.9519607281596</v>
      </c>
      <c r="I52" s="248"/>
    </row>
    <row r="53" ht="23" customHeight="1" spans="1:9">
      <c r="A53" s="38" t="s">
        <v>254</v>
      </c>
      <c r="B53" s="38" t="s">
        <v>255</v>
      </c>
      <c r="C53" s="249">
        <v>0</v>
      </c>
      <c r="D53" s="249"/>
      <c r="E53" s="38" t="s">
        <v>256</v>
      </c>
      <c r="F53" s="249" t="s">
        <v>155</v>
      </c>
      <c r="G53" s="249" t="s">
        <v>155</v>
      </c>
      <c r="H53" s="249" t="str">
        <f t="shared" si="1"/>
        <v/>
      </c>
      <c r="I53" s="248"/>
    </row>
    <row r="54" ht="23" customHeight="1" spans="1:9">
      <c r="A54" s="38" t="s">
        <v>257</v>
      </c>
      <c r="B54" s="38" t="s">
        <v>258</v>
      </c>
      <c r="C54" s="249">
        <v>0</v>
      </c>
      <c r="D54" s="249"/>
      <c r="E54" s="38" t="s">
        <v>256</v>
      </c>
      <c r="F54" s="249" t="s">
        <v>155</v>
      </c>
      <c r="G54" s="249" t="s">
        <v>155</v>
      </c>
      <c r="H54" s="249" t="str">
        <f t="shared" si="1"/>
        <v/>
      </c>
      <c r="I54" s="248"/>
    </row>
    <row r="55" ht="23" customHeight="1" spans="1:9">
      <c r="A55" s="38" t="s">
        <v>259</v>
      </c>
      <c r="B55" s="38" t="s">
        <v>260</v>
      </c>
      <c r="C55" s="249">
        <v>47.69</v>
      </c>
      <c r="D55" s="249"/>
      <c r="E55" s="38" t="s">
        <v>256</v>
      </c>
      <c r="F55" s="249" t="s">
        <v>155</v>
      </c>
      <c r="G55" s="249" t="s">
        <v>155</v>
      </c>
      <c r="H55" s="249" t="str">
        <f t="shared" si="1"/>
        <v/>
      </c>
      <c r="I55" s="248"/>
    </row>
    <row r="56" ht="23" customHeight="1" spans="1:9">
      <c r="A56" s="38" t="s">
        <v>261</v>
      </c>
      <c r="B56" s="38" t="s">
        <v>262</v>
      </c>
      <c r="C56" s="249">
        <v>1.21</v>
      </c>
      <c r="D56" s="249"/>
      <c r="E56" s="38" t="s">
        <v>263</v>
      </c>
      <c r="F56" s="249" t="s">
        <v>155</v>
      </c>
      <c r="G56" s="249" t="s">
        <v>155</v>
      </c>
      <c r="H56" s="249" t="str">
        <f t="shared" si="1"/>
        <v/>
      </c>
      <c r="I56" s="248"/>
    </row>
    <row r="57" ht="23" customHeight="1" spans="1:9">
      <c r="A57" s="38" t="s">
        <v>264</v>
      </c>
      <c r="B57" s="38" t="s">
        <v>265</v>
      </c>
      <c r="C57" s="249">
        <v>0.127</v>
      </c>
      <c r="D57" s="249"/>
      <c r="E57" s="38" t="s">
        <v>194</v>
      </c>
      <c r="F57" s="249" t="s">
        <v>155</v>
      </c>
      <c r="G57" s="249"/>
      <c r="H57" s="249" t="str">
        <f t="shared" si="1"/>
        <v/>
      </c>
      <c r="I57" s="248"/>
    </row>
    <row r="58" ht="23" customHeight="1" spans="1:9">
      <c r="A58" s="38" t="s">
        <v>266</v>
      </c>
      <c r="B58" s="38" t="s">
        <v>267</v>
      </c>
      <c r="C58" s="249">
        <v>4.319</v>
      </c>
      <c r="D58" s="249"/>
      <c r="E58" s="38" t="s">
        <v>194</v>
      </c>
      <c r="F58" s="249" t="s">
        <v>155</v>
      </c>
      <c r="G58" s="249"/>
      <c r="H58" s="249" t="str">
        <f t="shared" si="1"/>
        <v/>
      </c>
      <c r="I58" s="248"/>
    </row>
    <row r="59" ht="23" customHeight="1" spans="1:9">
      <c r="A59" s="38" t="s">
        <v>268</v>
      </c>
      <c r="B59" s="38" t="s">
        <v>269</v>
      </c>
      <c r="C59" s="249">
        <v>4.576</v>
      </c>
      <c r="D59" s="249"/>
      <c r="E59" s="38" t="s">
        <v>194</v>
      </c>
      <c r="F59" s="249" t="s">
        <v>155</v>
      </c>
      <c r="G59" s="249"/>
      <c r="H59" s="249" t="str">
        <f t="shared" si="1"/>
        <v/>
      </c>
      <c r="I59" s="248"/>
    </row>
    <row r="60" ht="23" customHeight="1" spans="1:9">
      <c r="A60" s="38" t="s">
        <v>270</v>
      </c>
      <c r="B60" s="38" t="s">
        <v>271</v>
      </c>
      <c r="C60" s="249">
        <v>1.07799974074074</v>
      </c>
      <c r="D60" s="249"/>
      <c r="E60" s="38" t="s">
        <v>157</v>
      </c>
      <c r="F60" s="249"/>
      <c r="G60" s="249"/>
      <c r="H60" s="249" t="str">
        <f t="shared" si="1"/>
        <v/>
      </c>
      <c r="I60" s="248"/>
    </row>
    <row r="61" ht="23" customHeight="1" spans="1:9">
      <c r="A61" s="38" t="s">
        <v>272</v>
      </c>
      <c r="B61" s="38" t="s">
        <v>273</v>
      </c>
      <c r="C61" s="249">
        <v>0.21</v>
      </c>
      <c r="D61" s="249"/>
      <c r="E61" s="38" t="s">
        <v>263</v>
      </c>
      <c r="F61" s="249" t="s">
        <v>155</v>
      </c>
      <c r="G61" s="249"/>
      <c r="H61" s="249" t="str">
        <f t="shared" si="1"/>
        <v/>
      </c>
      <c r="I61" s="248"/>
    </row>
    <row r="62" ht="23" customHeight="1" spans="1:9">
      <c r="A62" s="38" t="s">
        <v>274</v>
      </c>
      <c r="B62" s="38" t="s">
        <v>275</v>
      </c>
      <c r="C62" s="249">
        <v>3.7</v>
      </c>
      <c r="D62" s="249"/>
      <c r="E62" s="38" t="s">
        <v>219</v>
      </c>
      <c r="F62" s="249" t="s">
        <v>155</v>
      </c>
      <c r="G62" s="249"/>
      <c r="H62" s="249" t="str">
        <f t="shared" si="1"/>
        <v/>
      </c>
      <c r="I62" s="248"/>
    </row>
    <row r="63" ht="23" customHeight="1" spans="1:9">
      <c r="A63" s="38" t="s">
        <v>276</v>
      </c>
      <c r="B63" s="38" t="s">
        <v>277</v>
      </c>
      <c r="C63" s="249">
        <v>1.028</v>
      </c>
      <c r="D63" s="249"/>
      <c r="E63" s="38" t="s">
        <v>194</v>
      </c>
      <c r="F63" s="249" t="s">
        <v>155</v>
      </c>
      <c r="G63" s="249"/>
      <c r="H63" s="249" t="str">
        <f t="shared" si="1"/>
        <v/>
      </c>
      <c r="I63" s="248"/>
    </row>
    <row r="64" ht="23" customHeight="1" spans="1:9">
      <c r="A64" s="38" t="s">
        <v>278</v>
      </c>
      <c r="B64" s="38" t="s">
        <v>279</v>
      </c>
      <c r="C64" s="249">
        <v>2.5</v>
      </c>
      <c r="D64" s="249"/>
      <c r="E64" s="38" t="s">
        <v>222</v>
      </c>
      <c r="F64" s="249" t="s">
        <v>155</v>
      </c>
      <c r="G64" s="249"/>
      <c r="H64" s="249" t="str">
        <f t="shared" si="1"/>
        <v/>
      </c>
      <c r="I64" s="248"/>
    </row>
    <row r="65" ht="23" customHeight="1" spans="1:9">
      <c r="A65" s="38" t="s">
        <v>280</v>
      </c>
      <c r="B65" s="38" t="s">
        <v>281</v>
      </c>
      <c r="C65" s="249">
        <v>10.53</v>
      </c>
      <c r="D65" s="249"/>
      <c r="E65" s="38" t="s">
        <v>282</v>
      </c>
      <c r="F65" s="249" t="s">
        <v>155</v>
      </c>
      <c r="G65" s="249"/>
      <c r="H65" s="249" t="str">
        <f t="shared" si="1"/>
        <v/>
      </c>
      <c r="I65" s="248"/>
    </row>
    <row r="66" ht="23" customHeight="1" spans="1:9">
      <c r="A66" s="38" t="s">
        <v>283</v>
      </c>
      <c r="B66" s="38" t="s">
        <v>284</v>
      </c>
      <c r="C66" s="249">
        <v>1.68</v>
      </c>
      <c r="D66" s="249"/>
      <c r="E66" s="38" t="s">
        <v>256</v>
      </c>
      <c r="F66" s="249" t="s">
        <v>155</v>
      </c>
      <c r="G66" s="249"/>
      <c r="H66" s="249" t="str">
        <f t="shared" si="1"/>
        <v/>
      </c>
      <c r="I66" s="248"/>
    </row>
    <row r="67" ht="23" customHeight="1" spans="1:9">
      <c r="A67" s="38" t="s">
        <v>285</v>
      </c>
      <c r="B67" s="38" t="s">
        <v>286</v>
      </c>
      <c r="C67" s="249">
        <v>0</v>
      </c>
      <c r="D67" s="249"/>
      <c r="E67" s="38" t="s">
        <v>256</v>
      </c>
      <c r="F67" s="249" t="s">
        <v>155</v>
      </c>
      <c r="G67" s="249" t="s">
        <v>155</v>
      </c>
      <c r="H67" s="249" t="str">
        <f t="shared" si="1"/>
        <v/>
      </c>
      <c r="I67" s="248"/>
    </row>
    <row r="68" ht="23" customHeight="1" spans="1:9">
      <c r="A68" s="38" t="s">
        <v>37</v>
      </c>
      <c r="B68" s="38" t="s">
        <v>287</v>
      </c>
      <c r="C68" s="249">
        <v>25.5680018523806</v>
      </c>
      <c r="D68" s="249"/>
      <c r="E68" s="38" t="s">
        <v>157</v>
      </c>
      <c r="F68" s="249" t="s">
        <v>155</v>
      </c>
      <c r="G68" s="249">
        <v>13.7672</v>
      </c>
      <c r="H68" s="249">
        <f t="shared" ref="H68:H99" si="2">IF(F68=""&amp;G68="","",IF(F68="",IF(G68="","",C68-G68),C68-F68))</f>
        <v>11.8008018523806</v>
      </c>
      <c r="I68" s="248"/>
    </row>
    <row r="69" ht="23" customHeight="1" spans="1:9">
      <c r="A69" s="38" t="s">
        <v>288</v>
      </c>
      <c r="B69" s="38" t="s">
        <v>289</v>
      </c>
      <c r="C69" s="249">
        <v>10.39</v>
      </c>
      <c r="D69" s="249"/>
      <c r="E69" s="38" t="s">
        <v>290</v>
      </c>
      <c r="F69" s="249" t="s">
        <v>155</v>
      </c>
      <c r="G69" s="249" t="s">
        <v>155</v>
      </c>
      <c r="H69" s="249" t="str">
        <f t="shared" si="2"/>
        <v/>
      </c>
      <c r="I69" s="248"/>
    </row>
    <row r="70" ht="23" customHeight="1" spans="1:9">
      <c r="A70" s="38" t="s">
        <v>291</v>
      </c>
      <c r="B70" s="38" t="s">
        <v>178</v>
      </c>
      <c r="C70" s="249">
        <v>0.1425</v>
      </c>
      <c r="D70" s="249"/>
      <c r="E70" s="38" t="s">
        <v>179</v>
      </c>
      <c r="F70" s="249" t="s">
        <v>155</v>
      </c>
      <c r="G70" s="249" t="s">
        <v>155</v>
      </c>
      <c r="H70" s="249" t="str">
        <f t="shared" si="2"/>
        <v/>
      </c>
      <c r="I70" s="248"/>
    </row>
    <row r="71" ht="23" customHeight="1" spans="1:9">
      <c r="A71" s="38" t="s">
        <v>292</v>
      </c>
      <c r="B71" s="38" t="s">
        <v>293</v>
      </c>
      <c r="C71" s="249">
        <v>32.23</v>
      </c>
      <c r="D71" s="249"/>
      <c r="E71" s="38" t="s">
        <v>294</v>
      </c>
      <c r="F71" s="249" t="s">
        <v>155</v>
      </c>
      <c r="G71" s="249" t="s">
        <v>155</v>
      </c>
      <c r="H71" s="249" t="str">
        <f t="shared" si="2"/>
        <v/>
      </c>
      <c r="I71" s="248"/>
    </row>
    <row r="72" ht="23" customHeight="1" spans="1:9">
      <c r="A72" s="38" t="s">
        <v>295</v>
      </c>
      <c r="B72" s="38" t="s">
        <v>296</v>
      </c>
      <c r="C72" s="249">
        <v>2.12</v>
      </c>
      <c r="D72" s="249"/>
      <c r="E72" s="38" t="s">
        <v>294</v>
      </c>
      <c r="F72" s="249" t="s">
        <v>155</v>
      </c>
      <c r="G72" s="249"/>
      <c r="H72" s="249" t="str">
        <f t="shared" si="2"/>
        <v/>
      </c>
      <c r="I72" s="248"/>
    </row>
    <row r="73" ht="23" customHeight="1" spans="1:9">
      <c r="A73" s="38" t="s">
        <v>297</v>
      </c>
      <c r="B73" s="38" t="s">
        <v>298</v>
      </c>
      <c r="C73" s="249">
        <v>4.839</v>
      </c>
      <c r="D73" s="249"/>
      <c r="E73" s="38" t="s">
        <v>194</v>
      </c>
      <c r="F73" s="249" t="s">
        <v>155</v>
      </c>
      <c r="G73" s="249"/>
      <c r="H73" s="249" t="str">
        <f t="shared" si="2"/>
        <v/>
      </c>
      <c r="I73" s="248"/>
    </row>
    <row r="74" ht="23" customHeight="1" spans="1:9">
      <c r="A74" s="38" t="s">
        <v>299</v>
      </c>
      <c r="B74" s="38" t="s">
        <v>300</v>
      </c>
      <c r="C74" s="249">
        <v>0</v>
      </c>
      <c r="D74" s="249"/>
      <c r="E74" s="38" t="s">
        <v>256</v>
      </c>
      <c r="F74" s="249" t="s">
        <v>155</v>
      </c>
      <c r="G74" s="249"/>
      <c r="H74" s="249" t="str">
        <f t="shared" si="2"/>
        <v/>
      </c>
      <c r="I74" s="248"/>
    </row>
    <row r="75" ht="23" customHeight="1" spans="1:9">
      <c r="A75" s="38" t="s">
        <v>301</v>
      </c>
      <c r="B75" s="38" t="s">
        <v>302</v>
      </c>
      <c r="C75" s="249">
        <v>0</v>
      </c>
      <c r="D75" s="249"/>
      <c r="E75" s="38" t="s">
        <v>256</v>
      </c>
      <c r="F75" s="249" t="s">
        <v>155</v>
      </c>
      <c r="G75" s="249"/>
      <c r="H75" s="249" t="str">
        <f t="shared" si="2"/>
        <v/>
      </c>
      <c r="I75" s="248"/>
    </row>
    <row r="76" ht="23" customHeight="1" spans="1:9">
      <c r="A76" s="38" t="s">
        <v>303</v>
      </c>
      <c r="B76" s="38" t="s">
        <v>304</v>
      </c>
      <c r="C76" s="249">
        <v>2.1</v>
      </c>
      <c r="D76" s="249"/>
      <c r="E76" s="38" t="s">
        <v>305</v>
      </c>
      <c r="F76" s="249" t="s">
        <v>155</v>
      </c>
      <c r="G76" s="249"/>
      <c r="H76" s="249" t="str">
        <f t="shared" si="2"/>
        <v/>
      </c>
      <c r="I76" s="248"/>
    </row>
    <row r="77" ht="23" customHeight="1" spans="1:9">
      <c r="A77" s="38" t="s">
        <v>306</v>
      </c>
      <c r="B77" s="38" t="s">
        <v>307</v>
      </c>
      <c r="C77" s="249">
        <v>12.75</v>
      </c>
      <c r="D77" s="249"/>
      <c r="E77" s="38" t="s">
        <v>290</v>
      </c>
      <c r="F77" s="249" t="s">
        <v>155</v>
      </c>
      <c r="G77" s="249"/>
      <c r="H77" s="249" t="str">
        <f t="shared" si="2"/>
        <v/>
      </c>
      <c r="I77" s="248"/>
    </row>
    <row r="78" ht="23" customHeight="1" spans="1:9">
      <c r="A78" s="38" t="s">
        <v>308</v>
      </c>
      <c r="B78" s="38" t="s">
        <v>309</v>
      </c>
      <c r="C78" s="249">
        <v>90.75</v>
      </c>
      <c r="D78" s="249"/>
      <c r="E78" s="38" t="s">
        <v>310</v>
      </c>
      <c r="F78" s="249" t="s">
        <v>155</v>
      </c>
      <c r="G78" s="249"/>
      <c r="H78" s="249" t="str">
        <f t="shared" si="2"/>
        <v/>
      </c>
      <c r="I78" s="248"/>
    </row>
    <row r="79" ht="23" customHeight="1" spans="1:9">
      <c r="A79" s="38" t="s">
        <v>311</v>
      </c>
      <c r="B79" s="38" t="s">
        <v>178</v>
      </c>
      <c r="C79" s="249">
        <v>0.2</v>
      </c>
      <c r="D79" s="249"/>
      <c r="E79" s="38" t="s">
        <v>179</v>
      </c>
      <c r="F79" s="249" t="s">
        <v>155</v>
      </c>
      <c r="G79" s="249"/>
      <c r="H79" s="249" t="str">
        <f t="shared" si="2"/>
        <v/>
      </c>
      <c r="I79" s="248"/>
    </row>
    <row r="80" ht="23" customHeight="1" spans="1:9">
      <c r="A80" s="38" t="s">
        <v>312</v>
      </c>
      <c r="B80" s="38" t="s">
        <v>313</v>
      </c>
      <c r="C80" s="249">
        <v>0.552</v>
      </c>
      <c r="D80" s="249"/>
      <c r="E80" s="38" t="s">
        <v>194</v>
      </c>
      <c r="F80" s="249" t="s">
        <v>155</v>
      </c>
      <c r="G80" s="249"/>
      <c r="H80" s="249" t="str">
        <f t="shared" si="2"/>
        <v/>
      </c>
      <c r="I80" s="248"/>
    </row>
    <row r="81" ht="23" customHeight="1" spans="1:9">
      <c r="A81" s="38" t="s">
        <v>314</v>
      </c>
      <c r="B81" s="38" t="s">
        <v>315</v>
      </c>
      <c r="C81" s="249">
        <v>4.5</v>
      </c>
      <c r="D81" s="249"/>
      <c r="E81" s="38" t="s">
        <v>194</v>
      </c>
      <c r="F81" s="249" t="s">
        <v>155</v>
      </c>
      <c r="G81" s="249"/>
      <c r="H81" s="249" t="str">
        <f t="shared" si="2"/>
        <v/>
      </c>
      <c r="I81" s="248"/>
    </row>
    <row r="82" ht="23" customHeight="1" spans="1:9">
      <c r="A82" s="38" t="s">
        <v>316</v>
      </c>
      <c r="B82" s="38" t="s">
        <v>317</v>
      </c>
      <c r="C82" s="249">
        <v>0.79</v>
      </c>
      <c r="D82" s="249"/>
      <c r="E82" s="38" t="s">
        <v>194</v>
      </c>
      <c r="F82" s="249" t="s">
        <v>155</v>
      </c>
      <c r="G82" s="249"/>
      <c r="H82" s="249" t="str">
        <f t="shared" si="2"/>
        <v/>
      </c>
      <c r="I82" s="248"/>
    </row>
    <row r="83" ht="23" customHeight="1" spans="1:9">
      <c r="A83" s="38" t="s">
        <v>41</v>
      </c>
      <c r="B83" s="38" t="s">
        <v>318</v>
      </c>
      <c r="C83" s="249">
        <v>30.4798638614687</v>
      </c>
      <c r="D83" s="249"/>
      <c r="E83" s="38" t="s">
        <v>157</v>
      </c>
      <c r="F83" s="249" t="s">
        <v>155</v>
      </c>
      <c r="G83" s="249">
        <v>20.0956</v>
      </c>
      <c r="H83" s="249">
        <f t="shared" si="2"/>
        <v>10.3842638614687</v>
      </c>
      <c r="I83" s="248"/>
    </row>
    <row r="84" ht="23" customHeight="1" spans="1:9">
      <c r="A84" s="38" t="s">
        <v>319</v>
      </c>
      <c r="B84" s="38" t="s">
        <v>320</v>
      </c>
      <c r="C84" s="249">
        <v>10</v>
      </c>
      <c r="D84" s="249"/>
      <c r="E84" s="38" t="s">
        <v>157</v>
      </c>
      <c r="F84" s="249" t="s">
        <v>155</v>
      </c>
      <c r="G84" s="249" t="s">
        <v>155</v>
      </c>
      <c r="H84" s="249" t="str">
        <f t="shared" si="2"/>
        <v/>
      </c>
      <c r="I84" s="248"/>
    </row>
    <row r="85" ht="23" customHeight="1" spans="1:9">
      <c r="A85" s="38" t="s">
        <v>45</v>
      </c>
      <c r="B85" s="38" t="s">
        <v>321</v>
      </c>
      <c r="C85" s="249">
        <v>29.6371967899321</v>
      </c>
      <c r="D85" s="249"/>
      <c r="E85" s="38" t="s">
        <v>157</v>
      </c>
      <c r="F85" s="249" t="s">
        <v>155</v>
      </c>
      <c r="G85" s="249">
        <v>19.01535545</v>
      </c>
      <c r="H85" s="249">
        <f t="shared" si="2"/>
        <v>10.6218413399321</v>
      </c>
      <c r="I85" s="248"/>
    </row>
    <row r="86" ht="23" customHeight="1" spans="1:9">
      <c r="A86" s="38" t="s">
        <v>322</v>
      </c>
      <c r="B86" s="38" t="s">
        <v>323</v>
      </c>
      <c r="C86" s="249">
        <v>4.319</v>
      </c>
      <c r="D86" s="249"/>
      <c r="E86" s="38" t="s">
        <v>194</v>
      </c>
      <c r="F86" s="249" t="s">
        <v>155</v>
      </c>
      <c r="G86" s="249"/>
      <c r="H86" s="249" t="str">
        <f t="shared" si="2"/>
        <v/>
      </c>
      <c r="I86" s="248"/>
    </row>
    <row r="87" ht="23" customHeight="1" spans="1:9">
      <c r="A87" s="38" t="s">
        <v>324</v>
      </c>
      <c r="B87" s="38" t="s">
        <v>325</v>
      </c>
      <c r="C87" s="249">
        <v>4.576</v>
      </c>
      <c r="D87" s="249"/>
      <c r="E87" s="38" t="s">
        <v>194</v>
      </c>
      <c r="F87" s="249" t="s">
        <v>155</v>
      </c>
      <c r="G87" s="249"/>
      <c r="H87" s="249" t="str">
        <f t="shared" si="2"/>
        <v/>
      </c>
      <c r="I87" s="248"/>
    </row>
    <row r="88" ht="23" customHeight="1" spans="1:9">
      <c r="A88" s="38" t="s">
        <v>326</v>
      </c>
      <c r="B88" s="38" t="s">
        <v>327</v>
      </c>
      <c r="C88" s="249">
        <v>1.07799974074074</v>
      </c>
      <c r="D88" s="249"/>
      <c r="E88" s="38" t="s">
        <v>157</v>
      </c>
      <c r="F88" s="249"/>
      <c r="G88" s="249"/>
      <c r="H88" s="249" t="str">
        <f t="shared" si="2"/>
        <v/>
      </c>
      <c r="I88" s="248"/>
    </row>
    <row r="89" ht="23" customHeight="1" spans="1:9">
      <c r="A89" s="38" t="s">
        <v>328</v>
      </c>
      <c r="B89" s="38" t="s">
        <v>329</v>
      </c>
      <c r="C89" s="249">
        <v>10.53</v>
      </c>
      <c r="D89" s="249"/>
      <c r="E89" s="38" t="s">
        <v>282</v>
      </c>
      <c r="F89" s="249" t="s">
        <v>155</v>
      </c>
      <c r="G89" s="249" t="s">
        <v>155</v>
      </c>
      <c r="H89" s="249" t="str">
        <f t="shared" si="2"/>
        <v/>
      </c>
      <c r="I89" s="248"/>
    </row>
    <row r="90" ht="23" customHeight="1" spans="1:9">
      <c r="A90" s="38" t="s">
        <v>35</v>
      </c>
      <c r="B90" s="38" t="s">
        <v>330</v>
      </c>
      <c r="C90" s="249">
        <v>25.5680018523806</v>
      </c>
      <c r="D90" s="249"/>
      <c r="E90" s="38" t="s">
        <v>157</v>
      </c>
      <c r="F90" s="249" t="s">
        <v>155</v>
      </c>
      <c r="G90" s="249">
        <v>13.7672</v>
      </c>
      <c r="H90" s="249">
        <f t="shared" si="2"/>
        <v>11.8008018523806</v>
      </c>
      <c r="I90" s="248"/>
    </row>
    <row r="91" ht="23" customHeight="1" spans="1:9">
      <c r="A91" s="38" t="s">
        <v>331</v>
      </c>
      <c r="B91" s="38" t="s">
        <v>332</v>
      </c>
      <c r="C91" s="249">
        <v>10.39</v>
      </c>
      <c r="D91" s="249"/>
      <c r="E91" s="38" t="s">
        <v>290</v>
      </c>
      <c r="F91" s="249" t="s">
        <v>155</v>
      </c>
      <c r="G91" s="249" t="s">
        <v>155</v>
      </c>
      <c r="H91" s="249" t="str">
        <f t="shared" si="2"/>
        <v/>
      </c>
      <c r="I91" s="248"/>
    </row>
    <row r="92" ht="23" customHeight="1" spans="1:9">
      <c r="A92" s="38" t="s">
        <v>333</v>
      </c>
      <c r="B92" s="38" t="s">
        <v>334</v>
      </c>
      <c r="C92" s="249">
        <v>2.5</v>
      </c>
      <c r="D92" s="249"/>
      <c r="E92" s="38" t="s">
        <v>222</v>
      </c>
      <c r="F92" s="249" t="s">
        <v>155</v>
      </c>
      <c r="G92" s="249" t="s">
        <v>155</v>
      </c>
      <c r="H92" s="249" t="str">
        <f t="shared" si="2"/>
        <v/>
      </c>
      <c r="I92" s="248"/>
    </row>
    <row r="93" ht="23" customHeight="1" spans="1:9">
      <c r="A93" s="38" t="s">
        <v>335</v>
      </c>
      <c r="B93" s="38" t="s">
        <v>336</v>
      </c>
      <c r="C93" s="249">
        <v>3.7</v>
      </c>
      <c r="D93" s="249"/>
      <c r="E93" s="38" t="s">
        <v>219</v>
      </c>
      <c r="F93" s="249" t="s">
        <v>155</v>
      </c>
      <c r="G93" s="249" t="s">
        <v>155</v>
      </c>
      <c r="H93" s="249" t="str">
        <f t="shared" si="2"/>
        <v/>
      </c>
      <c r="I93" s="248"/>
    </row>
    <row r="94" ht="23" customHeight="1" spans="1:9">
      <c r="A94" s="38" t="s">
        <v>337</v>
      </c>
      <c r="B94" s="38" t="s">
        <v>338</v>
      </c>
      <c r="C94" s="249">
        <v>1.244</v>
      </c>
      <c r="D94" s="249"/>
      <c r="E94" s="38" t="s">
        <v>194</v>
      </c>
      <c r="F94" s="249" t="s">
        <v>155</v>
      </c>
      <c r="G94" s="249"/>
      <c r="H94" s="249" t="str">
        <f t="shared" si="2"/>
        <v/>
      </c>
      <c r="I94" s="248"/>
    </row>
    <row r="95" ht="23" customHeight="1" spans="1:9">
      <c r="A95" s="38" t="s">
        <v>339</v>
      </c>
      <c r="B95" s="38" t="s">
        <v>340</v>
      </c>
      <c r="C95" s="249">
        <v>32.23</v>
      </c>
      <c r="D95" s="249"/>
      <c r="E95" s="38" t="s">
        <v>294</v>
      </c>
      <c r="F95" s="249" t="s">
        <v>155</v>
      </c>
      <c r="G95" s="249"/>
      <c r="H95" s="249" t="str">
        <f t="shared" si="2"/>
        <v/>
      </c>
      <c r="I95" s="248"/>
    </row>
    <row r="96" ht="23" customHeight="1" spans="1:9">
      <c r="A96" s="38" t="s">
        <v>341</v>
      </c>
      <c r="B96" s="38" t="s">
        <v>342</v>
      </c>
      <c r="C96" s="249">
        <v>2.12</v>
      </c>
      <c r="D96" s="249"/>
      <c r="E96" s="38" t="s">
        <v>294</v>
      </c>
      <c r="F96" s="249" t="s">
        <v>155</v>
      </c>
      <c r="G96" s="249"/>
      <c r="H96" s="249" t="str">
        <f t="shared" si="2"/>
        <v/>
      </c>
      <c r="I96" s="248"/>
    </row>
    <row r="97" ht="23" customHeight="1" spans="1:9">
      <c r="A97" s="38" t="s">
        <v>343</v>
      </c>
      <c r="B97" s="38" t="s">
        <v>344</v>
      </c>
      <c r="C97" s="249">
        <v>4.839</v>
      </c>
      <c r="D97" s="249"/>
      <c r="E97" s="38" t="s">
        <v>194</v>
      </c>
      <c r="F97" s="249" t="s">
        <v>155</v>
      </c>
      <c r="G97" s="249"/>
      <c r="H97" s="249" t="str">
        <f t="shared" si="2"/>
        <v/>
      </c>
      <c r="I97" s="248"/>
    </row>
    <row r="98" ht="23" customHeight="1" spans="1:9">
      <c r="A98" s="38" t="s">
        <v>345</v>
      </c>
      <c r="B98" s="38" t="s">
        <v>346</v>
      </c>
      <c r="C98" s="249">
        <v>2.1</v>
      </c>
      <c r="D98" s="249"/>
      <c r="E98" s="38" t="s">
        <v>305</v>
      </c>
      <c r="F98" s="249" t="s">
        <v>155</v>
      </c>
      <c r="G98" s="249"/>
      <c r="H98" s="249" t="str">
        <f t="shared" si="2"/>
        <v/>
      </c>
      <c r="I98" s="248"/>
    </row>
    <row r="99" ht="23" customHeight="1" spans="1:9">
      <c r="A99" s="38" t="s">
        <v>347</v>
      </c>
      <c r="B99" s="38" t="s">
        <v>348</v>
      </c>
      <c r="C99" s="249">
        <v>12.75</v>
      </c>
      <c r="D99" s="249"/>
      <c r="E99" s="38" t="s">
        <v>290</v>
      </c>
      <c r="F99" s="249" t="s">
        <v>155</v>
      </c>
      <c r="G99" s="249"/>
      <c r="H99" s="249" t="str">
        <f t="shared" si="2"/>
        <v/>
      </c>
      <c r="I99" s="248"/>
    </row>
    <row r="100" ht="23" customHeight="1" spans="1:9">
      <c r="A100" s="38" t="s">
        <v>349</v>
      </c>
      <c r="B100" s="38" t="s">
        <v>350</v>
      </c>
      <c r="C100" s="249">
        <v>0.552</v>
      </c>
      <c r="D100" s="249"/>
      <c r="E100" s="38" t="s">
        <v>194</v>
      </c>
      <c r="F100" s="249" t="s">
        <v>155</v>
      </c>
      <c r="G100" s="249"/>
      <c r="H100" s="249" t="str">
        <f t="shared" ref="H100:H117" si="3">IF(F100=""&amp;G100="","",IF(F100="",IF(G100="","",C100-G100),C100-F100))</f>
        <v/>
      </c>
      <c r="I100" s="248"/>
    </row>
    <row r="101" ht="23" customHeight="1" spans="1:9">
      <c r="A101" s="38" t="s">
        <v>351</v>
      </c>
      <c r="B101" s="38" t="s">
        <v>352</v>
      </c>
      <c r="C101" s="249">
        <v>4.5</v>
      </c>
      <c r="D101" s="249"/>
      <c r="E101" s="38" t="s">
        <v>194</v>
      </c>
      <c r="F101" s="249" t="s">
        <v>155</v>
      </c>
      <c r="G101" s="249"/>
      <c r="H101" s="249" t="str">
        <f t="shared" si="3"/>
        <v/>
      </c>
      <c r="I101" s="248"/>
    </row>
    <row r="102" ht="23" customHeight="1" spans="1:9">
      <c r="A102" s="38" t="s">
        <v>353</v>
      </c>
      <c r="B102" s="38" t="s">
        <v>354</v>
      </c>
      <c r="C102" s="249">
        <v>0.79</v>
      </c>
      <c r="D102" s="249"/>
      <c r="E102" s="38" t="s">
        <v>194</v>
      </c>
      <c r="F102" s="249" t="s">
        <v>155</v>
      </c>
      <c r="G102" s="249"/>
      <c r="H102" s="249" t="str">
        <f t="shared" si="3"/>
        <v/>
      </c>
      <c r="I102" s="248"/>
    </row>
    <row r="103" ht="23" customHeight="1" spans="1:9">
      <c r="A103" s="38" t="s">
        <v>39</v>
      </c>
      <c r="B103" s="38" t="s">
        <v>355</v>
      </c>
      <c r="C103" s="249">
        <v>30.4798638614687</v>
      </c>
      <c r="D103" s="249"/>
      <c r="E103" s="38" t="s">
        <v>157</v>
      </c>
      <c r="F103" s="249" t="s">
        <v>155</v>
      </c>
      <c r="G103" s="249">
        <v>20.0956</v>
      </c>
      <c r="H103" s="249">
        <f t="shared" si="3"/>
        <v>10.3842638614687</v>
      </c>
      <c r="I103" s="248"/>
    </row>
    <row r="104" ht="23" customHeight="1" spans="1:9">
      <c r="A104" s="38" t="s">
        <v>356</v>
      </c>
      <c r="B104" s="38" t="s">
        <v>357</v>
      </c>
      <c r="C104" s="249">
        <v>10</v>
      </c>
      <c r="D104" s="249"/>
      <c r="E104" s="38" t="s">
        <v>157</v>
      </c>
      <c r="F104" s="249" t="s">
        <v>155</v>
      </c>
      <c r="G104" s="249" t="s">
        <v>155</v>
      </c>
      <c r="H104" s="249" t="str">
        <f t="shared" si="3"/>
        <v/>
      </c>
      <c r="I104" s="248"/>
    </row>
    <row r="105" ht="23" customHeight="1" spans="1:9">
      <c r="A105" s="38" t="s">
        <v>43</v>
      </c>
      <c r="B105" s="38" t="s">
        <v>358</v>
      </c>
      <c r="C105" s="249">
        <v>29.6371967899321</v>
      </c>
      <c r="D105" s="249"/>
      <c r="E105" s="38" t="s">
        <v>157</v>
      </c>
      <c r="F105" s="249" t="s">
        <v>155</v>
      </c>
      <c r="G105" s="249">
        <v>19.01535545</v>
      </c>
      <c r="H105" s="249">
        <f t="shared" si="3"/>
        <v>10.6218413399321</v>
      </c>
      <c r="I105" s="248"/>
    </row>
    <row r="106" ht="23" customHeight="1" spans="1:9">
      <c r="A106" s="38" t="s">
        <v>359</v>
      </c>
      <c r="B106" s="38" t="s">
        <v>360</v>
      </c>
      <c r="C106" s="249">
        <v>20.27</v>
      </c>
      <c r="D106" s="249"/>
      <c r="E106" s="38" t="s">
        <v>256</v>
      </c>
      <c r="F106" s="249" t="s">
        <v>155</v>
      </c>
      <c r="G106" s="249" t="s">
        <v>155</v>
      </c>
      <c r="H106" s="249" t="str">
        <f t="shared" si="3"/>
        <v/>
      </c>
      <c r="I106" s="248"/>
    </row>
    <row r="107" ht="23" customHeight="1" spans="1:9">
      <c r="A107" s="38" t="s">
        <v>361</v>
      </c>
      <c r="B107" s="38" t="s">
        <v>362</v>
      </c>
      <c r="C107" s="249">
        <v>4.2</v>
      </c>
      <c r="D107" s="249"/>
      <c r="E107" s="38" t="s">
        <v>194</v>
      </c>
      <c r="F107" s="249" t="s">
        <v>155</v>
      </c>
      <c r="G107" s="249"/>
      <c r="H107" s="249" t="str">
        <f t="shared" si="3"/>
        <v/>
      </c>
      <c r="I107" s="248"/>
    </row>
    <row r="108" ht="23" customHeight="1" spans="1:9">
      <c r="A108" s="38" t="s">
        <v>363</v>
      </c>
      <c r="B108" s="38" t="s">
        <v>153</v>
      </c>
      <c r="C108" s="249">
        <v>0.0885</v>
      </c>
      <c r="D108" s="249">
        <v>0.0885</v>
      </c>
      <c r="E108" s="38" t="s">
        <v>364</v>
      </c>
      <c r="F108" s="249" t="s">
        <v>155</v>
      </c>
      <c r="G108" s="249"/>
      <c r="H108" s="249" t="str">
        <f t="shared" si="3"/>
        <v/>
      </c>
      <c r="I108" s="248"/>
    </row>
    <row r="109" ht="23" customHeight="1" spans="1:9">
      <c r="A109" s="38" t="s">
        <v>121</v>
      </c>
      <c r="B109" s="38" t="s">
        <v>365</v>
      </c>
      <c r="C109" s="249">
        <v>1.61418953507407</v>
      </c>
      <c r="D109" s="249">
        <v>1.61418953507407</v>
      </c>
      <c r="E109" s="38" t="s">
        <v>157</v>
      </c>
      <c r="F109" s="249">
        <v>0.904550142857143</v>
      </c>
      <c r="G109" s="249"/>
      <c r="H109" s="249">
        <f t="shared" si="3"/>
        <v>0.709639392216927</v>
      </c>
      <c r="I109" s="248"/>
    </row>
    <row r="110" ht="23" customHeight="1" spans="1:9">
      <c r="A110" s="38" t="s">
        <v>126</v>
      </c>
      <c r="B110" s="38" t="s">
        <v>127</v>
      </c>
      <c r="C110" s="249">
        <v>3.20569998833333</v>
      </c>
      <c r="D110" s="249">
        <v>3.20569998833333</v>
      </c>
      <c r="E110" s="38" t="s">
        <v>157</v>
      </c>
      <c r="F110" s="249">
        <v>2.84765785714286</v>
      </c>
      <c r="G110" s="249"/>
      <c r="H110" s="249">
        <f t="shared" si="3"/>
        <v>0.35804213119047</v>
      </c>
      <c r="I110" s="248"/>
    </row>
    <row r="111" ht="23" customHeight="1" spans="1:9">
      <c r="A111" s="38" t="s">
        <v>366</v>
      </c>
      <c r="B111" s="38" t="s">
        <v>367</v>
      </c>
      <c r="C111" s="249">
        <v>0.05</v>
      </c>
      <c r="D111" s="249">
        <v>0.05</v>
      </c>
      <c r="E111" s="38" t="s">
        <v>167</v>
      </c>
      <c r="F111" s="249" t="s">
        <v>155</v>
      </c>
      <c r="G111" s="249"/>
      <c r="H111" s="249" t="str">
        <f t="shared" si="3"/>
        <v/>
      </c>
      <c r="I111" s="248"/>
    </row>
    <row r="112" ht="23" customHeight="1" spans="1:9">
      <c r="A112" s="38" t="s">
        <v>368</v>
      </c>
      <c r="B112" s="38" t="s">
        <v>369</v>
      </c>
      <c r="C112" s="249">
        <v>6.44</v>
      </c>
      <c r="D112" s="249">
        <v>3.92035398230088</v>
      </c>
      <c r="E112" s="38" t="s">
        <v>163</v>
      </c>
      <c r="F112" s="249" t="s">
        <v>155</v>
      </c>
      <c r="G112" s="249"/>
      <c r="H112" s="249" t="str">
        <f t="shared" si="3"/>
        <v/>
      </c>
      <c r="I112" s="248" t="s">
        <v>370</v>
      </c>
    </row>
    <row r="113" ht="23" customHeight="1" spans="1:9">
      <c r="A113" s="38" t="s">
        <v>371</v>
      </c>
      <c r="B113" s="38" t="s">
        <v>372</v>
      </c>
      <c r="C113" s="249">
        <v>0.34</v>
      </c>
      <c r="D113" s="249">
        <v>0.34</v>
      </c>
      <c r="E113" s="38" t="s">
        <v>373</v>
      </c>
      <c r="F113" s="249" t="s">
        <v>155</v>
      </c>
      <c r="G113" s="249"/>
      <c r="H113" s="249" t="str">
        <f t="shared" si="3"/>
        <v/>
      </c>
      <c r="I113" s="248"/>
    </row>
    <row r="114" ht="23" customHeight="1" spans="1:9">
      <c r="A114" s="38" t="s">
        <v>136</v>
      </c>
      <c r="B114" s="38" t="s">
        <v>137</v>
      </c>
      <c r="C114" s="249">
        <v>0.328942607782222</v>
      </c>
      <c r="D114" s="249">
        <v>0.328942607782222</v>
      </c>
      <c r="E114" s="38" t="s">
        <v>157</v>
      </c>
      <c r="F114" s="249">
        <v>0.259386682142857</v>
      </c>
      <c r="G114" s="249"/>
      <c r="H114" s="249">
        <f t="shared" si="3"/>
        <v>0.069555925639365</v>
      </c>
      <c r="I114" s="248"/>
    </row>
    <row r="115" ht="23" customHeight="1" spans="1:9">
      <c r="A115" s="38" t="s">
        <v>128</v>
      </c>
      <c r="B115" s="38" t="s">
        <v>129</v>
      </c>
      <c r="C115" s="249">
        <v>0.670635576572222</v>
      </c>
      <c r="D115" s="249">
        <v>0.670635576572222</v>
      </c>
      <c r="E115" s="38" t="s">
        <v>157</v>
      </c>
      <c r="F115" s="249">
        <v>0.625094407142857</v>
      </c>
      <c r="G115" s="249"/>
      <c r="H115" s="249">
        <f t="shared" si="3"/>
        <v>0.0455411694293649</v>
      </c>
      <c r="I115" s="248"/>
    </row>
    <row r="116" ht="23" customHeight="1" spans="1:9">
      <c r="A116" s="38" t="s">
        <v>374</v>
      </c>
      <c r="B116" s="38" t="s">
        <v>375</v>
      </c>
      <c r="C116" s="249">
        <v>0.13</v>
      </c>
      <c r="D116" s="249">
        <v>0.13</v>
      </c>
      <c r="E116" s="38" t="s">
        <v>188</v>
      </c>
      <c r="F116" s="249" t="s">
        <v>155</v>
      </c>
      <c r="G116" s="249"/>
      <c r="H116" s="249" t="str">
        <f t="shared" si="3"/>
        <v/>
      </c>
      <c r="I116" s="248"/>
    </row>
    <row r="117" ht="23" customHeight="1" spans="1:9">
      <c r="A117" s="38" t="s">
        <v>376</v>
      </c>
      <c r="B117" s="38" t="s">
        <v>377</v>
      </c>
      <c r="C117" s="249">
        <v>4.2</v>
      </c>
      <c r="D117" s="249">
        <v>4.2</v>
      </c>
      <c r="E117" s="38" t="s">
        <v>175</v>
      </c>
      <c r="F117" s="249" t="s">
        <v>155</v>
      </c>
      <c r="G117" s="249"/>
      <c r="H117" s="249" t="str">
        <f t="shared" si="3"/>
        <v/>
      </c>
      <c r="I117" s="248" t="s">
        <v>176</v>
      </c>
    </row>
    <row r="118" ht="23" customHeight="1" spans="1:9">
      <c r="A118" s="38"/>
      <c r="B118" s="38"/>
      <c r="C118" s="249"/>
      <c r="D118" s="249"/>
      <c r="E118" s="38"/>
      <c r="F118" s="249"/>
      <c r="G118" s="249"/>
      <c r="H118" s="249"/>
      <c r="I118" s="248"/>
    </row>
  </sheetData>
  <autoFilter ref="A2:Q117">
    <extLst/>
  </autoFilter>
  <mergeCells count="1">
    <mergeCell ref="A1:H1"/>
  </mergeCells>
  <conditionalFormatting sqref="A108">
    <cfRule type="duplicateValues" dxfId="0" priority="11"/>
  </conditionalFormatting>
  <conditionalFormatting sqref="A109">
    <cfRule type="duplicateValues" dxfId="0" priority="10"/>
  </conditionalFormatting>
  <conditionalFormatting sqref="A110">
    <cfRule type="duplicateValues" dxfId="0" priority="9"/>
  </conditionalFormatting>
  <conditionalFormatting sqref="A111">
    <cfRule type="duplicateValues" dxfId="0" priority="8"/>
  </conditionalFormatting>
  <conditionalFormatting sqref="A112">
    <cfRule type="duplicateValues" dxfId="0" priority="7"/>
  </conditionalFormatting>
  <conditionalFormatting sqref="A113">
    <cfRule type="duplicateValues" dxfId="0" priority="6"/>
  </conditionalFormatting>
  <conditionalFormatting sqref="A114">
    <cfRule type="duplicateValues" dxfId="0" priority="5"/>
  </conditionalFormatting>
  <conditionalFormatting sqref="A115">
    <cfRule type="duplicateValues" dxfId="0" priority="4"/>
  </conditionalFormatting>
  <conditionalFormatting sqref="A116">
    <cfRule type="duplicateValues" dxfId="0" priority="3"/>
  </conditionalFormatting>
  <conditionalFormatting sqref="A117">
    <cfRule type="duplicateValues" dxfId="0" priority="2"/>
  </conditionalFormatting>
  <conditionalFormatting sqref="A118">
    <cfRule type="duplicateValues" dxfId="0" priority="1"/>
  </conditionalFormatting>
  <conditionalFormatting sqref="A2:A107 A119:A1048576">
    <cfRule type="duplicateValues" dxfId="0" priority="1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B24"/>
  <sheetViews>
    <sheetView tabSelected="1" workbookViewId="0">
      <pane xSplit="2" ySplit="3" topLeftCell="C6" activePane="bottomRight" state="frozen"/>
      <selection/>
      <selection pane="topRight"/>
      <selection pane="bottomLeft"/>
      <selection pane="bottomRight" activeCell="B7" sqref="B7"/>
    </sheetView>
  </sheetViews>
  <sheetFormatPr defaultColWidth="9" defaultRowHeight="14.4"/>
  <cols>
    <col min="1" max="1" width="4.81481481481481" hidden="1" customWidth="1"/>
    <col min="2" max="2" width="27.3333333333333" customWidth="1"/>
    <col min="4" max="4" width="8.66666666666667" style="59" customWidth="1"/>
    <col min="5" max="5" width="7.7037037037037" style="59" customWidth="1"/>
    <col min="6" max="6" width="9.77777777777778" style="59" customWidth="1"/>
    <col min="7" max="7" width="2.44444444444444" style="59" hidden="1" customWidth="1"/>
    <col min="8" max="8" width="9.44444444444444" style="59" customWidth="1"/>
    <col min="9" max="9" width="7.7037037037037" style="59" hidden="1" customWidth="1"/>
    <col min="10" max="10" width="9.77777777777778" style="117" customWidth="1"/>
    <col min="11" max="11" width="6.44444444444444" style="59" customWidth="1"/>
    <col min="12" max="12" width="6.55555555555556" style="59" customWidth="1"/>
    <col min="13" max="13" width="6.33333333333333" style="59" customWidth="1"/>
    <col min="14" max="14" width="8.55555555555556" style="59" customWidth="1"/>
    <col min="15" max="15" width="7.7037037037037" style="59" customWidth="1"/>
    <col min="16" max="16" width="8.55555555555556" style="117" customWidth="1"/>
    <col min="17" max="18" width="7.7037037037037" style="59" hidden="1" customWidth="1"/>
    <col min="19" max="19" width="7.7037037037037" style="61" hidden="1" customWidth="1"/>
    <col min="20" max="21" width="7.7037037037037" style="59" hidden="1" customWidth="1"/>
    <col min="22" max="22" width="7.7037037037037" style="61" hidden="1" customWidth="1"/>
    <col min="23" max="23" width="7.7037037037037" style="61" customWidth="1"/>
    <col min="24" max="24" width="7.7037037037037" style="118" customWidth="1"/>
    <col min="25" max="25" width="7.7037037037037" style="61" customWidth="1"/>
    <col min="26" max="26" width="9.22222222222222" style="61" customWidth="1"/>
    <col min="27" max="27" width="11.1018518518519" customWidth="1"/>
    <col min="28" max="28" width="29.7777777777778" customWidth="1"/>
  </cols>
  <sheetData>
    <row r="1" ht="26.55" spans="1:27">
      <c r="A1" s="62" t="s">
        <v>378</v>
      </c>
      <c r="B1" s="62"/>
      <c r="C1" s="62"/>
      <c r="D1" s="63"/>
      <c r="E1" s="63"/>
      <c r="F1" s="63"/>
      <c r="G1" s="63"/>
      <c r="H1" s="63"/>
      <c r="I1" s="63"/>
      <c r="J1" s="174"/>
      <c r="K1" s="63"/>
      <c r="L1" s="63"/>
      <c r="M1" s="63"/>
      <c r="N1" s="63"/>
      <c r="O1" s="63"/>
      <c r="P1" s="174"/>
      <c r="Q1" s="63"/>
      <c r="R1" s="63"/>
      <c r="S1" s="82"/>
      <c r="T1" s="63"/>
      <c r="U1" s="63"/>
      <c r="V1" s="82"/>
      <c r="W1" s="82"/>
      <c r="X1" s="193"/>
      <c r="Y1" s="82"/>
      <c r="Z1" s="82"/>
      <c r="AA1" s="62"/>
    </row>
    <row r="2" s="58" customFormat="1" ht="47" customHeight="1" spans="1:28">
      <c r="A2" s="119" t="s">
        <v>379</v>
      </c>
      <c r="B2" s="64" t="s">
        <v>380</v>
      </c>
      <c r="C2" s="120" t="s">
        <v>381</v>
      </c>
      <c r="D2" s="121" t="s">
        <v>382</v>
      </c>
      <c r="E2" s="122"/>
      <c r="F2" s="123" t="s">
        <v>383</v>
      </c>
      <c r="G2" s="124"/>
      <c r="H2" s="125" t="s">
        <v>384</v>
      </c>
      <c r="I2" s="175"/>
      <c r="J2" s="176"/>
      <c r="K2" s="121" t="s">
        <v>385</v>
      </c>
      <c r="L2" s="66"/>
      <c r="M2" s="122"/>
      <c r="N2" s="67" t="s">
        <v>386</v>
      </c>
      <c r="O2" s="67"/>
      <c r="P2" s="177" t="s">
        <v>387</v>
      </c>
      <c r="Q2" s="84">
        <v>0.05</v>
      </c>
      <c r="R2" s="84"/>
      <c r="S2" s="84"/>
      <c r="T2" s="85">
        <v>0.1</v>
      </c>
      <c r="U2" s="85"/>
      <c r="V2" s="85"/>
      <c r="W2" s="96" t="s">
        <v>388</v>
      </c>
      <c r="X2" s="106" t="s">
        <v>389</v>
      </c>
      <c r="Y2" s="96" t="s">
        <v>390</v>
      </c>
      <c r="Z2" s="96" t="s">
        <v>391</v>
      </c>
      <c r="AA2" s="120" t="s">
        <v>392</v>
      </c>
      <c r="AB2" s="211" t="s">
        <v>393</v>
      </c>
    </row>
    <row r="3" ht="59" customHeight="1" spans="1:28">
      <c r="A3" s="126"/>
      <c r="B3" s="68"/>
      <c r="C3" s="127"/>
      <c r="D3" s="128" t="s">
        <v>394</v>
      </c>
      <c r="E3" s="129" t="s">
        <v>395</v>
      </c>
      <c r="F3" s="130" t="s">
        <v>383</v>
      </c>
      <c r="G3" s="131" t="s">
        <v>396</v>
      </c>
      <c r="H3" s="128" t="s">
        <v>397</v>
      </c>
      <c r="I3" s="71" t="s">
        <v>398</v>
      </c>
      <c r="J3" s="178" t="s">
        <v>399</v>
      </c>
      <c r="K3" s="128" t="s">
        <v>10</v>
      </c>
      <c r="L3" s="71" t="s">
        <v>400</v>
      </c>
      <c r="M3" s="129" t="s">
        <v>401</v>
      </c>
      <c r="N3" s="71" t="s">
        <v>402</v>
      </c>
      <c r="O3" s="71" t="s">
        <v>403</v>
      </c>
      <c r="P3" s="179"/>
      <c r="Q3" s="71" t="s">
        <v>404</v>
      </c>
      <c r="R3" s="71" t="s">
        <v>405</v>
      </c>
      <c r="S3" s="87" t="s">
        <v>406</v>
      </c>
      <c r="T3" s="71" t="s">
        <v>407</v>
      </c>
      <c r="U3" s="71" t="s">
        <v>405</v>
      </c>
      <c r="V3" s="87" t="s">
        <v>406</v>
      </c>
      <c r="W3" s="87"/>
      <c r="X3" s="111"/>
      <c r="Y3" s="87"/>
      <c r="Z3" s="87"/>
      <c r="AA3" s="212"/>
      <c r="AB3" s="213"/>
    </row>
    <row r="4" ht="33" customHeight="1" spans="1:28">
      <c r="A4" s="132" t="s">
        <v>408</v>
      </c>
      <c r="B4" s="133" t="s">
        <v>409</v>
      </c>
      <c r="C4" s="134">
        <v>13.25</v>
      </c>
      <c r="D4" s="135">
        <f>'18D后视镜'!F14</f>
        <v>17.2317818165118</v>
      </c>
      <c r="E4" s="136">
        <f t="shared" ref="E4:E23" si="0">C4-D4</f>
        <v>-3.9817818165118</v>
      </c>
      <c r="F4" s="137"/>
      <c r="G4" s="138"/>
      <c r="H4" s="135">
        <f>'18D后视镜'!G16</f>
        <v>15.9651446483703</v>
      </c>
      <c r="I4" s="180">
        <f t="shared" ref="I4:I23" si="1">C4-H4</f>
        <v>-2.7151446483703</v>
      </c>
      <c r="J4" s="181">
        <f>I4+F4</f>
        <v>-2.7151446483703</v>
      </c>
      <c r="K4" s="135">
        <v>0.688333333333333</v>
      </c>
      <c r="L4" s="180"/>
      <c r="M4" s="136"/>
      <c r="N4" s="180">
        <f>SUM(K4:M4)+H4</f>
        <v>16.6534779817036</v>
      </c>
      <c r="O4" s="180">
        <f>C4-N4</f>
        <v>-3.40347798170363</v>
      </c>
      <c r="P4" s="182"/>
      <c r="Q4" s="180">
        <f t="shared" ref="Q4:Q23" si="2">H4/0.95</f>
        <v>16.8054154193372</v>
      </c>
      <c r="R4" s="180">
        <f t="shared" ref="R4:R23" si="3">Q4-C4</f>
        <v>3.55541541933716</v>
      </c>
      <c r="S4" s="194">
        <f t="shared" ref="S4:S23" si="4">R4/C4</f>
        <v>0.268333239195257</v>
      </c>
      <c r="T4" s="180">
        <f t="shared" ref="T4:T23" si="5">H4/0.9</f>
        <v>17.7390496093003</v>
      </c>
      <c r="U4" s="180">
        <f t="shared" ref="U4:U23" si="6">T4-C4</f>
        <v>4.48904960930033</v>
      </c>
      <c r="V4" s="194">
        <f t="shared" ref="V4:V23" si="7">U4/C4</f>
        <v>0.338796196928327</v>
      </c>
      <c r="W4" s="195">
        <v>15</v>
      </c>
      <c r="X4" s="196">
        <f>W4-N4</f>
        <v>-1.65347798170363</v>
      </c>
      <c r="Y4" s="195"/>
      <c r="Z4" s="214" t="s">
        <v>410</v>
      </c>
      <c r="AA4" s="215" t="s">
        <v>411</v>
      </c>
      <c r="AB4" s="216" t="s">
        <v>412</v>
      </c>
    </row>
    <row r="5" ht="33" customHeight="1" spans="1:28">
      <c r="A5" s="139" t="s">
        <v>413</v>
      </c>
      <c r="B5" s="140" t="s">
        <v>414</v>
      </c>
      <c r="C5" s="141">
        <v>16.2</v>
      </c>
      <c r="D5" s="142">
        <f>'3GD后视镜'!F14</f>
        <v>17.6064677077618</v>
      </c>
      <c r="E5" s="143">
        <f t="shared" si="0"/>
        <v>-1.4064677077618</v>
      </c>
      <c r="F5" s="144"/>
      <c r="G5" s="145"/>
      <c r="H5" s="142">
        <f>'3GD后视镜'!G16</f>
        <v>14.8868216900627</v>
      </c>
      <c r="I5" s="183">
        <f t="shared" si="1"/>
        <v>1.3131783099373</v>
      </c>
      <c r="J5" s="181">
        <f>I5+F5</f>
        <v>1.3131783099373</v>
      </c>
      <c r="K5" s="142">
        <v>0.770933333333333</v>
      </c>
      <c r="L5" s="183"/>
      <c r="M5" s="143"/>
      <c r="N5" s="183">
        <f>SUM(K5:M5)+H5</f>
        <v>15.657755023396</v>
      </c>
      <c r="O5" s="183">
        <f t="shared" ref="O4:O23" si="8">C5-N5</f>
        <v>0.542244976603966</v>
      </c>
      <c r="P5" s="184"/>
      <c r="Q5" s="183">
        <f t="shared" si="2"/>
        <v>15.6703386211186</v>
      </c>
      <c r="R5" s="183">
        <f t="shared" si="3"/>
        <v>-0.529661378881368</v>
      </c>
      <c r="S5" s="197"/>
      <c r="T5" s="183">
        <f t="shared" si="5"/>
        <v>16.5409129889586</v>
      </c>
      <c r="U5" s="183">
        <f t="shared" si="6"/>
        <v>0.340912988958557</v>
      </c>
      <c r="V5" s="197">
        <f t="shared" si="7"/>
        <v>0.0210440116641085</v>
      </c>
      <c r="W5" s="198">
        <v>17.6</v>
      </c>
      <c r="X5" s="199">
        <f>W5-N5</f>
        <v>1.94224497660397</v>
      </c>
      <c r="Y5" s="198"/>
      <c r="Z5" s="217"/>
      <c r="AA5" s="218" t="s">
        <v>415</v>
      </c>
      <c r="AB5" s="219"/>
    </row>
    <row r="6" s="116" customFormat="1" ht="24" customHeight="1" spans="1:28">
      <c r="A6" s="146" t="s">
        <v>416</v>
      </c>
      <c r="B6" s="147" t="s">
        <v>417</v>
      </c>
      <c r="C6" s="148">
        <v>81.82</v>
      </c>
      <c r="D6" s="149">
        <f>'BC311电动外镜-右（极地白）-单曲'!F23</f>
        <v>87.2423683022298</v>
      </c>
      <c r="E6" s="150">
        <f t="shared" si="0"/>
        <v>-5.42236830222981</v>
      </c>
      <c r="F6" s="151">
        <v>1.16</v>
      </c>
      <c r="G6" s="152">
        <f t="shared" ref="G6:G23" si="9">E6+F6</f>
        <v>-4.26236830222981</v>
      </c>
      <c r="H6" s="149">
        <f>D6-'BC311电动外镜-右（极地白）-单曲'!M$24</f>
        <v>85.6749183022298</v>
      </c>
      <c r="I6" s="185">
        <f t="shared" si="1"/>
        <v>-3.85491830222982</v>
      </c>
      <c r="J6" s="186">
        <f>I6+F6</f>
        <v>-2.69491830222982</v>
      </c>
      <c r="K6" s="149">
        <v>2.03</v>
      </c>
      <c r="L6" s="185">
        <v>1.925</v>
      </c>
      <c r="M6" s="150">
        <v>0.16</v>
      </c>
      <c r="N6" s="185">
        <f>SUM(K6:M6)+H6-F6</f>
        <v>88.6299183022298</v>
      </c>
      <c r="O6" s="185">
        <f>C6-N6</f>
        <v>-6.80991830222982</v>
      </c>
      <c r="P6" s="187">
        <f>N6-O6</f>
        <v>95.4398366044596</v>
      </c>
      <c r="Q6" s="185">
        <f t="shared" si="2"/>
        <v>90.184124528663</v>
      </c>
      <c r="R6" s="185">
        <f t="shared" si="3"/>
        <v>8.36412452866297</v>
      </c>
      <c r="S6" s="200">
        <f t="shared" si="4"/>
        <v>0.102225916996614</v>
      </c>
      <c r="T6" s="201">
        <f t="shared" si="5"/>
        <v>95.1943536691442</v>
      </c>
      <c r="U6" s="185">
        <f t="shared" si="6"/>
        <v>13.3743536691442</v>
      </c>
      <c r="V6" s="200">
        <f t="shared" si="7"/>
        <v>0.163460690163093</v>
      </c>
      <c r="W6" s="202">
        <v>85</v>
      </c>
      <c r="X6" s="202">
        <f>W6-N6</f>
        <v>-3.62991830222981</v>
      </c>
      <c r="Y6" s="220">
        <v>0.7</v>
      </c>
      <c r="Z6" s="221" t="s">
        <v>418</v>
      </c>
      <c r="AA6" s="222" t="s">
        <v>419</v>
      </c>
      <c r="AB6" s="223" t="s">
        <v>420</v>
      </c>
    </row>
    <row r="7" s="116" customFormat="1" ht="24" customHeight="1" spans="1:28">
      <c r="A7" s="153" t="s">
        <v>421</v>
      </c>
      <c r="B7" s="154" t="s">
        <v>422</v>
      </c>
      <c r="C7" s="155">
        <v>81.82</v>
      </c>
      <c r="D7" s="156">
        <f>'BC311电动外镜-右 （玛雅红）-单曲'!E23</f>
        <v>89.3965882538609</v>
      </c>
      <c r="E7" s="157">
        <f t="shared" si="0"/>
        <v>-7.5765882538609</v>
      </c>
      <c r="F7" s="158">
        <v>1.16</v>
      </c>
      <c r="G7" s="159">
        <f t="shared" si="9"/>
        <v>-6.4165882538609</v>
      </c>
      <c r="H7" s="156">
        <f>D7-'BC311电动外镜-右（极地白）-单曲'!M$24</f>
        <v>87.8291382538609</v>
      </c>
      <c r="I7" s="188">
        <f t="shared" si="1"/>
        <v>-6.00913825386091</v>
      </c>
      <c r="J7" s="181">
        <f t="shared" ref="J6:J23" si="10">I7+F7</f>
        <v>-4.84913825386091</v>
      </c>
      <c r="K7" s="156">
        <v>2.03</v>
      </c>
      <c r="L7" s="188">
        <v>1.925</v>
      </c>
      <c r="M7" s="157">
        <v>0.16</v>
      </c>
      <c r="N7" s="188">
        <f t="shared" ref="N6:N23" si="11">SUM(K7:M7)+H7-F7</f>
        <v>90.7841382538609</v>
      </c>
      <c r="O7" s="188">
        <f t="shared" si="8"/>
        <v>-8.96413825386091</v>
      </c>
      <c r="P7" s="189">
        <f t="shared" ref="P6:P23" si="12">N7-O7</f>
        <v>99.7482765077218</v>
      </c>
      <c r="Q7" s="188">
        <f t="shared" si="2"/>
        <v>92.4517244777483</v>
      </c>
      <c r="R7" s="188">
        <f t="shared" si="3"/>
        <v>10.6317244777483</v>
      </c>
      <c r="S7" s="203">
        <f t="shared" si="4"/>
        <v>0.129940411607777</v>
      </c>
      <c r="T7" s="188">
        <f t="shared" si="5"/>
        <v>97.5879313931788</v>
      </c>
      <c r="U7" s="188">
        <f t="shared" si="6"/>
        <v>15.7679313931788</v>
      </c>
      <c r="V7" s="203">
        <f t="shared" si="7"/>
        <v>0.19271487891932</v>
      </c>
      <c r="W7" s="204"/>
      <c r="X7" s="204">
        <f>W6-N7</f>
        <v>-5.7841382538609</v>
      </c>
      <c r="Y7" s="224">
        <v>0.01</v>
      </c>
      <c r="Z7" s="225"/>
      <c r="AA7" s="226"/>
      <c r="AB7" s="227"/>
    </row>
    <row r="8" s="116" customFormat="1" ht="24" customHeight="1" spans="1:28">
      <c r="A8" s="153" t="s">
        <v>423</v>
      </c>
      <c r="B8" s="154" t="s">
        <v>424</v>
      </c>
      <c r="C8" s="155">
        <v>81.82</v>
      </c>
      <c r="D8" s="156">
        <f>'BC311电动外镜-右 （海贝金）-单曲'!E23</f>
        <v>87.803938460561</v>
      </c>
      <c r="E8" s="157">
        <f t="shared" si="0"/>
        <v>-5.98393846056101</v>
      </c>
      <c r="F8" s="158">
        <v>1.16</v>
      </c>
      <c r="G8" s="159">
        <f t="shared" si="9"/>
        <v>-4.82393846056101</v>
      </c>
      <c r="H8" s="156">
        <f>D8-'BC311电动外镜-右（极地白）-单曲'!M$24</f>
        <v>86.236488460561</v>
      </c>
      <c r="I8" s="188">
        <f t="shared" si="1"/>
        <v>-4.41648846056101</v>
      </c>
      <c r="J8" s="181">
        <f t="shared" si="10"/>
        <v>-3.25648846056101</v>
      </c>
      <c r="K8" s="156">
        <v>2.03</v>
      </c>
      <c r="L8" s="188">
        <v>1.925</v>
      </c>
      <c r="M8" s="157">
        <v>0.16</v>
      </c>
      <c r="N8" s="188">
        <f t="shared" si="11"/>
        <v>89.191488460561</v>
      </c>
      <c r="O8" s="188">
        <f t="shared" si="8"/>
        <v>-7.37148846056101</v>
      </c>
      <c r="P8" s="189">
        <f t="shared" si="12"/>
        <v>96.562976921122</v>
      </c>
      <c r="Q8" s="188">
        <f t="shared" si="2"/>
        <v>90.7752510111169</v>
      </c>
      <c r="R8" s="188">
        <f t="shared" si="3"/>
        <v>8.95525101111686</v>
      </c>
      <c r="S8" s="203">
        <f t="shared" si="4"/>
        <v>0.109450635677302</v>
      </c>
      <c r="T8" s="188">
        <f t="shared" si="5"/>
        <v>95.8183205117345</v>
      </c>
      <c r="U8" s="188">
        <f t="shared" si="6"/>
        <v>13.9983205117345</v>
      </c>
      <c r="V8" s="203">
        <f t="shared" si="7"/>
        <v>0.171086782103819</v>
      </c>
      <c r="W8" s="204"/>
      <c r="X8" s="204">
        <f>W6-N8</f>
        <v>-4.191488460561</v>
      </c>
      <c r="Y8" s="224">
        <v>0.01</v>
      </c>
      <c r="Z8" s="225"/>
      <c r="AA8" s="226"/>
      <c r="AB8" s="227"/>
    </row>
    <row r="9" s="116" customFormat="1" ht="24" customHeight="1" spans="1:28">
      <c r="A9" s="153" t="s">
        <v>425</v>
      </c>
      <c r="B9" s="154" t="s">
        <v>426</v>
      </c>
      <c r="C9" s="155">
        <v>81.82</v>
      </c>
      <c r="D9" s="156">
        <f>'BC311电动外镜-右 （宝石蓝）-单曲'!E23</f>
        <v>88.5956603231262</v>
      </c>
      <c r="E9" s="157">
        <f t="shared" si="0"/>
        <v>-6.7756603231262</v>
      </c>
      <c r="F9" s="158">
        <v>1.16</v>
      </c>
      <c r="G9" s="159">
        <f t="shared" si="9"/>
        <v>-5.6156603231262</v>
      </c>
      <c r="H9" s="156">
        <f>D9-'BC311电动外镜-右（极地白）-单曲'!M$24</f>
        <v>87.0282103231262</v>
      </c>
      <c r="I9" s="188">
        <f t="shared" si="1"/>
        <v>-5.20821032312621</v>
      </c>
      <c r="J9" s="181">
        <f t="shared" si="10"/>
        <v>-4.04821032312621</v>
      </c>
      <c r="K9" s="156">
        <v>2.03</v>
      </c>
      <c r="L9" s="188">
        <v>1.925</v>
      </c>
      <c r="M9" s="157">
        <v>0.16</v>
      </c>
      <c r="N9" s="188">
        <f t="shared" si="11"/>
        <v>89.9832103231262</v>
      </c>
      <c r="O9" s="188">
        <f t="shared" si="8"/>
        <v>-8.16321032312621</v>
      </c>
      <c r="P9" s="189">
        <f t="shared" si="12"/>
        <v>98.1464206462524</v>
      </c>
      <c r="Q9" s="188">
        <f t="shared" si="2"/>
        <v>91.608642445396</v>
      </c>
      <c r="R9" s="188">
        <f t="shared" si="3"/>
        <v>9.78864244539601</v>
      </c>
      <c r="S9" s="203">
        <f t="shared" si="4"/>
        <v>0.119636304636959</v>
      </c>
      <c r="T9" s="188">
        <f t="shared" si="5"/>
        <v>96.6980114701402</v>
      </c>
      <c r="U9" s="188">
        <f t="shared" si="6"/>
        <v>14.8780114701402</v>
      </c>
      <c r="V9" s="203">
        <f t="shared" si="7"/>
        <v>0.181838321561235</v>
      </c>
      <c r="W9" s="204"/>
      <c r="X9" s="204">
        <f>W6-N9</f>
        <v>-4.9832103231262</v>
      </c>
      <c r="Y9" s="224">
        <v>0.02</v>
      </c>
      <c r="Z9" s="225"/>
      <c r="AA9" s="226"/>
      <c r="AB9" s="227"/>
    </row>
    <row r="10" s="116" customFormat="1" ht="24" customHeight="1" spans="1:28">
      <c r="A10" s="153" t="s">
        <v>427</v>
      </c>
      <c r="B10" s="154" t="s">
        <v>428</v>
      </c>
      <c r="C10" s="155">
        <v>81.82</v>
      </c>
      <c r="D10" s="156">
        <f>'BC311电动外镜-右（月光银）-单曲'!E23</f>
        <v>87.9328234149322</v>
      </c>
      <c r="E10" s="157">
        <f t="shared" si="0"/>
        <v>-6.11282341493221</v>
      </c>
      <c r="F10" s="158">
        <v>1.16</v>
      </c>
      <c r="G10" s="159">
        <f t="shared" si="9"/>
        <v>-4.95282341493221</v>
      </c>
      <c r="H10" s="156">
        <f>D10-'BC311电动外镜-右（极地白）-单曲'!M$24</f>
        <v>86.3653734149322</v>
      </c>
      <c r="I10" s="188">
        <f t="shared" si="1"/>
        <v>-4.54537341493221</v>
      </c>
      <c r="J10" s="181">
        <f t="shared" si="10"/>
        <v>-3.38537341493221</v>
      </c>
      <c r="K10" s="156">
        <v>2.03</v>
      </c>
      <c r="L10" s="188">
        <v>1.925</v>
      </c>
      <c r="M10" s="157">
        <v>0.16</v>
      </c>
      <c r="N10" s="188">
        <f t="shared" si="11"/>
        <v>89.3203734149322</v>
      </c>
      <c r="O10" s="188">
        <f t="shared" si="8"/>
        <v>-7.50037341493221</v>
      </c>
      <c r="P10" s="189">
        <f t="shared" si="12"/>
        <v>96.8207468298644</v>
      </c>
      <c r="Q10" s="188">
        <f t="shared" si="2"/>
        <v>90.9109193841392</v>
      </c>
      <c r="R10" s="188">
        <f t="shared" si="3"/>
        <v>9.09091938413918</v>
      </c>
      <c r="S10" s="203">
        <f t="shared" si="4"/>
        <v>0.111108767833527</v>
      </c>
      <c r="T10" s="188">
        <f t="shared" si="5"/>
        <v>95.9615260165913</v>
      </c>
      <c r="U10" s="188">
        <f t="shared" si="6"/>
        <v>14.1415260165913</v>
      </c>
      <c r="V10" s="203">
        <f t="shared" si="7"/>
        <v>0.172837032713167</v>
      </c>
      <c r="W10" s="204"/>
      <c r="X10" s="204">
        <f>W6-N10</f>
        <v>-4.32037341493221</v>
      </c>
      <c r="Y10" s="224">
        <v>0.25</v>
      </c>
      <c r="Z10" s="225"/>
      <c r="AA10" s="226"/>
      <c r="AB10" s="227"/>
    </row>
    <row r="11" s="116" customFormat="1" ht="24" customHeight="1" spans="1:28">
      <c r="A11" s="153" t="s">
        <v>429</v>
      </c>
      <c r="B11" s="154" t="s">
        <v>430</v>
      </c>
      <c r="C11" s="155">
        <v>81.82</v>
      </c>
      <c r="D11" s="156">
        <f>'BC311电动外镜-左（极地白）-单曲'!E23</f>
        <v>87.2423683022298</v>
      </c>
      <c r="E11" s="157">
        <f t="shared" si="0"/>
        <v>-5.42236830222981</v>
      </c>
      <c r="F11" s="158">
        <v>1.16</v>
      </c>
      <c r="G11" s="159">
        <f t="shared" si="9"/>
        <v>-4.26236830222981</v>
      </c>
      <c r="H11" s="156">
        <f>D11-'BC311电动外镜-右（极地白）-单曲'!M$24</f>
        <v>85.6749183022298</v>
      </c>
      <c r="I11" s="188">
        <f t="shared" si="1"/>
        <v>-3.85491830222982</v>
      </c>
      <c r="J11" s="181">
        <f t="shared" si="10"/>
        <v>-2.69491830222982</v>
      </c>
      <c r="K11" s="156">
        <v>2.03</v>
      </c>
      <c r="L11" s="188">
        <v>1.925</v>
      </c>
      <c r="M11" s="157">
        <v>0.16</v>
      </c>
      <c r="N11" s="188">
        <f t="shared" si="11"/>
        <v>88.6299183022298</v>
      </c>
      <c r="O11" s="188">
        <f t="shared" si="8"/>
        <v>-6.80991830222982</v>
      </c>
      <c r="P11" s="189">
        <f t="shared" si="12"/>
        <v>95.4398366044596</v>
      </c>
      <c r="Q11" s="188">
        <f t="shared" si="2"/>
        <v>90.184124528663</v>
      </c>
      <c r="R11" s="188">
        <f t="shared" si="3"/>
        <v>8.36412452866297</v>
      </c>
      <c r="S11" s="203">
        <f t="shared" si="4"/>
        <v>0.102225916996614</v>
      </c>
      <c r="T11" s="188">
        <f t="shared" si="5"/>
        <v>95.1943536691442</v>
      </c>
      <c r="U11" s="188">
        <f t="shared" si="6"/>
        <v>13.3743536691442</v>
      </c>
      <c r="V11" s="203">
        <f t="shared" si="7"/>
        <v>0.163460690163093</v>
      </c>
      <c r="W11" s="204"/>
      <c r="X11" s="204"/>
      <c r="Y11" s="204"/>
      <c r="Z11" s="225"/>
      <c r="AA11" s="226"/>
      <c r="AB11" s="227"/>
    </row>
    <row r="12" s="116" customFormat="1" ht="24" customHeight="1" spans="1:28">
      <c r="A12" s="153" t="s">
        <v>431</v>
      </c>
      <c r="B12" s="154" t="s">
        <v>432</v>
      </c>
      <c r="C12" s="155">
        <v>81.82</v>
      </c>
      <c r="D12" s="156">
        <f>'BC311电动外镜-左（玛雅红）-单曲'!E23</f>
        <v>89.3965882538609</v>
      </c>
      <c r="E12" s="157">
        <f t="shared" si="0"/>
        <v>-7.5765882538609</v>
      </c>
      <c r="F12" s="158">
        <v>1.16</v>
      </c>
      <c r="G12" s="159">
        <f t="shared" si="9"/>
        <v>-6.4165882538609</v>
      </c>
      <c r="H12" s="156">
        <f>D12-'BC311电动外镜-右（极地白）-单曲'!M$24</f>
        <v>87.8291382538609</v>
      </c>
      <c r="I12" s="188">
        <f t="shared" si="1"/>
        <v>-6.00913825386091</v>
      </c>
      <c r="J12" s="181">
        <f t="shared" si="10"/>
        <v>-4.84913825386091</v>
      </c>
      <c r="K12" s="156">
        <v>2.03</v>
      </c>
      <c r="L12" s="188">
        <v>1.925</v>
      </c>
      <c r="M12" s="157">
        <v>0.16</v>
      </c>
      <c r="N12" s="188">
        <f t="shared" si="11"/>
        <v>90.7841382538609</v>
      </c>
      <c r="O12" s="188">
        <f t="shared" si="8"/>
        <v>-8.96413825386091</v>
      </c>
      <c r="P12" s="189">
        <f t="shared" si="12"/>
        <v>99.7482765077218</v>
      </c>
      <c r="Q12" s="188">
        <f t="shared" si="2"/>
        <v>92.4517244777483</v>
      </c>
      <c r="R12" s="188">
        <f t="shared" si="3"/>
        <v>10.6317244777483</v>
      </c>
      <c r="S12" s="203">
        <f t="shared" si="4"/>
        <v>0.129940411607777</v>
      </c>
      <c r="T12" s="188">
        <f t="shared" si="5"/>
        <v>97.5879313931788</v>
      </c>
      <c r="U12" s="188">
        <f t="shared" si="6"/>
        <v>15.7679313931788</v>
      </c>
      <c r="V12" s="203">
        <f t="shared" si="7"/>
        <v>0.19271487891932</v>
      </c>
      <c r="W12" s="204"/>
      <c r="X12" s="204"/>
      <c r="Y12" s="204"/>
      <c r="Z12" s="225"/>
      <c r="AA12" s="226"/>
      <c r="AB12" s="227"/>
    </row>
    <row r="13" s="116" customFormat="1" ht="24" customHeight="1" spans="1:28">
      <c r="A13" s="153" t="s">
        <v>433</v>
      </c>
      <c r="B13" s="154" t="s">
        <v>434</v>
      </c>
      <c r="C13" s="155">
        <v>81.82</v>
      </c>
      <c r="D13" s="156">
        <f>'BC311电动外镜-左（海贝金）-单曲'!E23</f>
        <v>87.803938460561</v>
      </c>
      <c r="E13" s="157">
        <f t="shared" si="0"/>
        <v>-5.98393846056101</v>
      </c>
      <c r="F13" s="158">
        <v>1.16</v>
      </c>
      <c r="G13" s="159">
        <f t="shared" si="9"/>
        <v>-4.82393846056101</v>
      </c>
      <c r="H13" s="156">
        <f>D13-'BC311电动外镜-右（极地白）-单曲'!M$24</f>
        <v>86.236488460561</v>
      </c>
      <c r="I13" s="188">
        <f t="shared" si="1"/>
        <v>-4.41648846056101</v>
      </c>
      <c r="J13" s="181">
        <f t="shared" si="10"/>
        <v>-3.25648846056101</v>
      </c>
      <c r="K13" s="156">
        <v>2.03</v>
      </c>
      <c r="L13" s="188">
        <v>1.925</v>
      </c>
      <c r="M13" s="157">
        <v>0.16</v>
      </c>
      <c r="N13" s="188">
        <f t="shared" si="11"/>
        <v>89.191488460561</v>
      </c>
      <c r="O13" s="188">
        <f t="shared" si="8"/>
        <v>-7.37148846056101</v>
      </c>
      <c r="P13" s="189">
        <f t="shared" si="12"/>
        <v>96.562976921122</v>
      </c>
      <c r="Q13" s="188">
        <f t="shared" si="2"/>
        <v>90.7752510111169</v>
      </c>
      <c r="R13" s="188">
        <f t="shared" si="3"/>
        <v>8.95525101111686</v>
      </c>
      <c r="S13" s="203">
        <f t="shared" si="4"/>
        <v>0.109450635677302</v>
      </c>
      <c r="T13" s="188">
        <f t="shared" si="5"/>
        <v>95.8183205117345</v>
      </c>
      <c r="U13" s="188">
        <f t="shared" si="6"/>
        <v>13.9983205117345</v>
      </c>
      <c r="V13" s="203">
        <f t="shared" si="7"/>
        <v>0.171086782103819</v>
      </c>
      <c r="W13" s="204"/>
      <c r="X13" s="204"/>
      <c r="Y13" s="204"/>
      <c r="Z13" s="225"/>
      <c r="AA13" s="226"/>
      <c r="AB13" s="227"/>
    </row>
    <row r="14" s="116" customFormat="1" ht="24" customHeight="1" spans="1:28">
      <c r="A14" s="153" t="s">
        <v>435</v>
      </c>
      <c r="B14" s="154" t="s">
        <v>436</v>
      </c>
      <c r="C14" s="155">
        <v>81.82</v>
      </c>
      <c r="D14" s="156">
        <f>'BC311电动外镜-左（月光银）-单曲'!E23</f>
        <v>87.9328234149321</v>
      </c>
      <c r="E14" s="157">
        <f t="shared" si="0"/>
        <v>-6.11282341493211</v>
      </c>
      <c r="F14" s="158">
        <v>1.16</v>
      </c>
      <c r="G14" s="159">
        <f t="shared" si="9"/>
        <v>-4.95282341493211</v>
      </c>
      <c r="H14" s="156">
        <f>D14-'BC311电动外镜-右（极地白）-单曲'!M$24</f>
        <v>86.3653734149321</v>
      </c>
      <c r="I14" s="188">
        <f t="shared" si="1"/>
        <v>-4.54537341493211</v>
      </c>
      <c r="J14" s="181">
        <f t="shared" si="10"/>
        <v>-3.38537341493211</v>
      </c>
      <c r="K14" s="156">
        <v>2.03</v>
      </c>
      <c r="L14" s="188">
        <v>1.925</v>
      </c>
      <c r="M14" s="157">
        <v>0.16</v>
      </c>
      <c r="N14" s="188">
        <f t="shared" si="11"/>
        <v>89.3203734149321</v>
      </c>
      <c r="O14" s="188">
        <f t="shared" si="8"/>
        <v>-7.50037341493211</v>
      </c>
      <c r="P14" s="189">
        <f t="shared" si="12"/>
        <v>96.8207468298642</v>
      </c>
      <c r="Q14" s="188">
        <f t="shared" si="2"/>
        <v>90.9109193841391</v>
      </c>
      <c r="R14" s="188">
        <f t="shared" si="3"/>
        <v>9.09091938413907</v>
      </c>
      <c r="S14" s="203">
        <f t="shared" si="4"/>
        <v>0.111108767833526</v>
      </c>
      <c r="T14" s="188">
        <f t="shared" si="5"/>
        <v>95.9615260165912</v>
      </c>
      <c r="U14" s="188">
        <f t="shared" si="6"/>
        <v>14.1415260165912</v>
      </c>
      <c r="V14" s="203">
        <f t="shared" si="7"/>
        <v>0.172837032713166</v>
      </c>
      <c r="W14" s="204"/>
      <c r="X14" s="204"/>
      <c r="Y14" s="204"/>
      <c r="Z14" s="225"/>
      <c r="AA14" s="226"/>
      <c r="AB14" s="227"/>
    </row>
    <row r="15" s="116" customFormat="1" ht="24" customHeight="1" spans="1:28">
      <c r="A15" s="160" t="s">
        <v>437</v>
      </c>
      <c r="B15" s="161" t="s">
        <v>438</v>
      </c>
      <c r="C15" s="162">
        <v>81.82</v>
      </c>
      <c r="D15" s="163">
        <f>'BC311电动外镜-左（宝石蓝）-单曲'!E23</f>
        <v>88.5956603231262</v>
      </c>
      <c r="E15" s="164">
        <f t="shared" si="0"/>
        <v>-6.7756603231262</v>
      </c>
      <c r="F15" s="165">
        <v>1.16</v>
      </c>
      <c r="G15" s="166">
        <f t="shared" si="9"/>
        <v>-5.6156603231262</v>
      </c>
      <c r="H15" s="163">
        <f>D15-'BC311电动外镜-右（极地白）-单曲'!M$24</f>
        <v>87.0282103231262</v>
      </c>
      <c r="I15" s="190">
        <f t="shared" si="1"/>
        <v>-5.20821032312621</v>
      </c>
      <c r="J15" s="191">
        <f t="shared" si="10"/>
        <v>-4.04821032312621</v>
      </c>
      <c r="K15" s="163">
        <v>2.03</v>
      </c>
      <c r="L15" s="190">
        <v>1.925</v>
      </c>
      <c r="M15" s="164">
        <v>0.16</v>
      </c>
      <c r="N15" s="190">
        <f t="shared" si="11"/>
        <v>89.9832103231262</v>
      </c>
      <c r="O15" s="190">
        <f t="shared" si="8"/>
        <v>-8.16321032312621</v>
      </c>
      <c r="P15" s="184">
        <f t="shared" si="12"/>
        <v>98.1464206462524</v>
      </c>
      <c r="Q15" s="190">
        <f t="shared" si="2"/>
        <v>91.608642445396</v>
      </c>
      <c r="R15" s="190">
        <f t="shared" si="3"/>
        <v>9.78864244539601</v>
      </c>
      <c r="S15" s="205">
        <f t="shared" si="4"/>
        <v>0.119636304636959</v>
      </c>
      <c r="T15" s="190">
        <f t="shared" si="5"/>
        <v>96.6980114701402</v>
      </c>
      <c r="U15" s="190">
        <f t="shared" si="6"/>
        <v>14.8780114701402</v>
      </c>
      <c r="V15" s="205">
        <f t="shared" si="7"/>
        <v>0.181838321561235</v>
      </c>
      <c r="W15" s="206"/>
      <c r="X15" s="206"/>
      <c r="Y15" s="206"/>
      <c r="Z15" s="228"/>
      <c r="AA15" s="229"/>
      <c r="AB15" s="230"/>
    </row>
    <row r="16" ht="24" customHeight="1" spans="1:28">
      <c r="A16" s="132" t="s">
        <v>439</v>
      </c>
      <c r="B16" s="133" t="s">
        <v>440</v>
      </c>
      <c r="C16" s="134">
        <v>274.63</v>
      </c>
      <c r="D16" s="135">
        <f>'316MP外镜顶右(极地白)'!F37</f>
        <v>279.306001593121</v>
      </c>
      <c r="E16" s="136">
        <f t="shared" si="0"/>
        <v>-4.67600159312099</v>
      </c>
      <c r="F16" s="137">
        <v>4.29</v>
      </c>
      <c r="G16" s="138">
        <f t="shared" si="9"/>
        <v>-0.386001593120986</v>
      </c>
      <c r="H16" s="135">
        <f>D16-'316MP外镜顶右(极地白)'!M$38</f>
        <v>276.476226593121</v>
      </c>
      <c r="I16" s="180">
        <f t="shared" si="1"/>
        <v>-1.846226593121</v>
      </c>
      <c r="J16" s="186">
        <f t="shared" si="10"/>
        <v>2.443773406879</v>
      </c>
      <c r="K16" s="135">
        <v>4.5</v>
      </c>
      <c r="L16" s="180">
        <v>2.2</v>
      </c>
      <c r="M16" s="136">
        <v>0.16</v>
      </c>
      <c r="N16" s="180">
        <f t="shared" si="11"/>
        <v>279.046226593121</v>
      </c>
      <c r="O16" s="180">
        <f t="shared" si="8"/>
        <v>-4.416226593121</v>
      </c>
      <c r="P16" s="182">
        <f t="shared" si="12"/>
        <v>283.462453186242</v>
      </c>
      <c r="Q16" s="180">
        <f t="shared" si="2"/>
        <v>291.027606940127</v>
      </c>
      <c r="R16" s="180">
        <f t="shared" si="3"/>
        <v>16.3976069401274</v>
      </c>
      <c r="S16" s="194">
        <f t="shared" si="4"/>
        <v>0.0597079959950748</v>
      </c>
      <c r="T16" s="180">
        <f t="shared" si="5"/>
        <v>307.19580732569</v>
      </c>
      <c r="U16" s="180">
        <f t="shared" si="6"/>
        <v>32.56580732569</v>
      </c>
      <c r="V16" s="194">
        <f t="shared" si="7"/>
        <v>0.118580662439246</v>
      </c>
      <c r="W16" s="207">
        <v>0</v>
      </c>
      <c r="X16" s="207"/>
      <c r="Y16" s="231">
        <v>0.5</v>
      </c>
      <c r="Z16" s="232" t="s">
        <v>441</v>
      </c>
      <c r="AA16" s="233" t="s">
        <v>442</v>
      </c>
      <c r="AB16" s="234" t="s">
        <v>443</v>
      </c>
    </row>
    <row r="17" ht="24" customHeight="1" spans="1:28">
      <c r="A17" s="167" t="s">
        <v>444</v>
      </c>
      <c r="B17" s="168" t="s">
        <v>445</v>
      </c>
      <c r="C17" s="169">
        <v>274.63</v>
      </c>
      <c r="D17" s="170">
        <f>'316MP外镜顶右(高亮黑)'!E37</f>
        <v>284.217863602209</v>
      </c>
      <c r="E17" s="171">
        <f t="shared" si="0"/>
        <v>-9.58786360220898</v>
      </c>
      <c r="F17" s="172">
        <v>4.29</v>
      </c>
      <c r="G17" s="173">
        <f t="shared" si="9"/>
        <v>-5.29786360220898</v>
      </c>
      <c r="H17" s="170">
        <f>D17-'316MP外镜顶右(极地白)'!M$38</f>
        <v>281.388088602209</v>
      </c>
      <c r="I17" s="192">
        <f t="shared" si="1"/>
        <v>-6.758088602209</v>
      </c>
      <c r="J17" s="181">
        <f t="shared" si="10"/>
        <v>-2.468088602209</v>
      </c>
      <c r="K17" s="170">
        <v>4.5</v>
      </c>
      <c r="L17" s="192">
        <v>2.2</v>
      </c>
      <c r="M17" s="171">
        <v>0.16</v>
      </c>
      <c r="N17" s="192">
        <f t="shared" si="11"/>
        <v>283.958088602209</v>
      </c>
      <c r="O17" s="192">
        <f t="shared" si="8"/>
        <v>-9.32808860220899</v>
      </c>
      <c r="P17" s="189">
        <f t="shared" si="12"/>
        <v>293.286177204418</v>
      </c>
      <c r="Q17" s="192">
        <f t="shared" si="2"/>
        <v>296.197988002325</v>
      </c>
      <c r="R17" s="192">
        <f t="shared" si="3"/>
        <v>21.5679880023253</v>
      </c>
      <c r="S17" s="208">
        <f t="shared" si="4"/>
        <v>0.0785347121666433</v>
      </c>
      <c r="T17" s="192">
        <f t="shared" si="5"/>
        <v>312.653431780232</v>
      </c>
      <c r="U17" s="192">
        <f t="shared" si="6"/>
        <v>38.0234317802322</v>
      </c>
      <c r="V17" s="208">
        <f t="shared" si="7"/>
        <v>0.138453307287012</v>
      </c>
      <c r="W17" s="209"/>
      <c r="X17" s="209"/>
      <c r="Y17" s="235">
        <v>0.48</v>
      </c>
      <c r="Z17" s="236"/>
      <c r="AA17" s="237"/>
      <c r="AB17" s="238"/>
    </row>
    <row r="18" ht="24" customHeight="1" spans="1:28">
      <c r="A18" s="167" t="s">
        <v>446</v>
      </c>
      <c r="B18" s="168" t="s">
        <v>447</v>
      </c>
      <c r="C18" s="169">
        <v>274.63</v>
      </c>
      <c r="D18" s="170">
        <f>'316MP外镜顶右(海贝金)'!E37</f>
        <v>263.737999740741</v>
      </c>
      <c r="E18" s="171">
        <f t="shared" si="0"/>
        <v>10.892000259259</v>
      </c>
      <c r="F18" s="172">
        <v>4.29</v>
      </c>
      <c r="G18" s="173">
        <f t="shared" si="9"/>
        <v>15.182000259259</v>
      </c>
      <c r="H18" s="170">
        <f>D18-'316MP外镜顶右(极地白)'!M$38</f>
        <v>260.908224740741</v>
      </c>
      <c r="I18" s="192">
        <f t="shared" si="1"/>
        <v>13.721775259259</v>
      </c>
      <c r="J18" s="181">
        <f t="shared" si="10"/>
        <v>18.011775259259</v>
      </c>
      <c r="K18" s="170">
        <v>4.5</v>
      </c>
      <c r="L18" s="192">
        <v>2.2</v>
      </c>
      <c r="M18" s="171">
        <v>0.16</v>
      </c>
      <c r="N18" s="192">
        <f t="shared" si="11"/>
        <v>263.478224740741</v>
      </c>
      <c r="O18" s="192">
        <f t="shared" si="8"/>
        <v>11.151775259259</v>
      </c>
      <c r="P18" s="189">
        <f t="shared" si="12"/>
        <v>252.326449481482</v>
      </c>
      <c r="Q18" s="192">
        <f t="shared" si="2"/>
        <v>274.640236569201</v>
      </c>
      <c r="R18" s="192">
        <f t="shared" si="3"/>
        <v>0.0102365692010835</v>
      </c>
      <c r="S18" s="208">
        <f t="shared" si="4"/>
        <v>3.72740385285057e-5</v>
      </c>
      <c r="T18" s="192">
        <f t="shared" si="5"/>
        <v>289.898027489712</v>
      </c>
      <c r="U18" s="192">
        <f t="shared" si="6"/>
        <v>15.2680274897122</v>
      </c>
      <c r="V18" s="208">
        <f t="shared" si="7"/>
        <v>0.0555949003740022</v>
      </c>
      <c r="W18" s="209"/>
      <c r="X18" s="209"/>
      <c r="Y18" s="235">
        <v>0.02</v>
      </c>
      <c r="Z18" s="236"/>
      <c r="AA18" s="237"/>
      <c r="AB18" s="238"/>
    </row>
    <row r="19" ht="24" customHeight="1" spans="1:28">
      <c r="A19" s="167" t="s">
        <v>448</v>
      </c>
      <c r="B19" s="168" t="s">
        <v>449</v>
      </c>
      <c r="C19" s="169">
        <v>274.63</v>
      </c>
      <c r="D19" s="170">
        <f>'316MP外镜顶右(太平洋蓝)'!E37</f>
        <v>283.375196530673</v>
      </c>
      <c r="E19" s="171">
        <f t="shared" si="0"/>
        <v>-8.74519653067301</v>
      </c>
      <c r="F19" s="172">
        <v>4.29</v>
      </c>
      <c r="G19" s="173">
        <f t="shared" si="9"/>
        <v>-4.45519653067301</v>
      </c>
      <c r="H19" s="170">
        <f>D19-'316MP外镜顶右(极地白)'!M$38</f>
        <v>280.545421530673</v>
      </c>
      <c r="I19" s="192">
        <f t="shared" si="1"/>
        <v>-5.91542153067303</v>
      </c>
      <c r="J19" s="181">
        <f t="shared" si="10"/>
        <v>-1.62542153067303</v>
      </c>
      <c r="K19" s="170">
        <v>4.5</v>
      </c>
      <c r="L19" s="192">
        <v>2.2</v>
      </c>
      <c r="M19" s="171">
        <v>0.16</v>
      </c>
      <c r="N19" s="192">
        <f t="shared" si="11"/>
        <v>283.115421530673</v>
      </c>
      <c r="O19" s="192">
        <f t="shared" si="8"/>
        <v>-8.48542153067302</v>
      </c>
      <c r="P19" s="189">
        <f t="shared" si="12"/>
        <v>291.600843061346</v>
      </c>
      <c r="Q19" s="192">
        <f t="shared" si="2"/>
        <v>295.310970032287</v>
      </c>
      <c r="R19" s="192">
        <f t="shared" si="3"/>
        <v>20.6809700322874</v>
      </c>
      <c r="S19" s="208">
        <f t="shared" si="4"/>
        <v>0.0753048466383403</v>
      </c>
      <c r="T19" s="192">
        <f t="shared" si="5"/>
        <v>311.717135034081</v>
      </c>
      <c r="U19" s="192">
        <f t="shared" si="6"/>
        <v>37.0871350340811</v>
      </c>
      <c r="V19" s="208">
        <f t="shared" si="7"/>
        <v>0.135044004784915</v>
      </c>
      <c r="W19" s="209"/>
      <c r="X19" s="209"/>
      <c r="Y19" s="209"/>
      <c r="Z19" s="236"/>
      <c r="AA19" s="237"/>
      <c r="AB19" s="238"/>
    </row>
    <row r="20" ht="24" customHeight="1" spans="1:28">
      <c r="A20" s="167" t="s">
        <v>450</v>
      </c>
      <c r="B20" s="168" t="s">
        <v>451</v>
      </c>
      <c r="C20" s="169">
        <v>274.63</v>
      </c>
      <c r="D20" s="170">
        <f>'316MP外镜顶左(极地白)'!E37</f>
        <v>279.522001593121</v>
      </c>
      <c r="E20" s="171">
        <f t="shared" si="0"/>
        <v>-4.89200159312099</v>
      </c>
      <c r="F20" s="172">
        <v>4.29</v>
      </c>
      <c r="G20" s="173">
        <f t="shared" si="9"/>
        <v>-0.602001593120995</v>
      </c>
      <c r="H20" s="170">
        <f>D20-'316MP外镜顶右(极地白)'!M$38</f>
        <v>276.692226593121</v>
      </c>
      <c r="I20" s="192">
        <f t="shared" si="1"/>
        <v>-2.06222659312101</v>
      </c>
      <c r="J20" s="181">
        <f t="shared" si="10"/>
        <v>2.22777340687899</v>
      </c>
      <c r="K20" s="170">
        <v>4.5</v>
      </c>
      <c r="L20" s="192">
        <v>2.2</v>
      </c>
      <c r="M20" s="171">
        <v>0.16</v>
      </c>
      <c r="N20" s="192">
        <f t="shared" si="11"/>
        <v>279.262226593121</v>
      </c>
      <c r="O20" s="192">
        <f t="shared" si="8"/>
        <v>-4.632226593121</v>
      </c>
      <c r="P20" s="189">
        <f t="shared" si="12"/>
        <v>283.894453186242</v>
      </c>
      <c r="Q20" s="192">
        <f t="shared" si="2"/>
        <v>291.25497536118</v>
      </c>
      <c r="R20" s="192">
        <f t="shared" si="3"/>
        <v>16.62497536118</v>
      </c>
      <c r="S20" s="208">
        <f t="shared" si="4"/>
        <v>0.0605359041662601</v>
      </c>
      <c r="T20" s="192">
        <f t="shared" si="5"/>
        <v>307.43580732569</v>
      </c>
      <c r="U20" s="192">
        <f t="shared" si="6"/>
        <v>32.80580732569</v>
      </c>
      <c r="V20" s="208">
        <f t="shared" si="7"/>
        <v>0.11945456550883</v>
      </c>
      <c r="W20" s="209"/>
      <c r="X20" s="209"/>
      <c r="Y20" s="209"/>
      <c r="Z20" s="236"/>
      <c r="AA20" s="237"/>
      <c r="AB20" s="238"/>
    </row>
    <row r="21" ht="24" customHeight="1" spans="1:28">
      <c r="A21" s="167" t="s">
        <v>452</v>
      </c>
      <c r="B21" s="168" t="s">
        <v>453</v>
      </c>
      <c r="C21" s="169">
        <v>274.63</v>
      </c>
      <c r="D21" s="170">
        <f>'316MP外镜顶左(高亮黑)'!E37</f>
        <v>284.433863602209</v>
      </c>
      <c r="E21" s="171">
        <f t="shared" si="0"/>
        <v>-9.80386360220899</v>
      </c>
      <c r="F21" s="172">
        <v>4.29</v>
      </c>
      <c r="G21" s="173">
        <f t="shared" si="9"/>
        <v>-5.51386360220899</v>
      </c>
      <c r="H21" s="170">
        <f>D21-'316MP外镜顶右(极地白)'!M$38</f>
        <v>281.604088602209</v>
      </c>
      <c r="I21" s="192">
        <f t="shared" si="1"/>
        <v>-6.97408860220901</v>
      </c>
      <c r="J21" s="181">
        <f t="shared" si="10"/>
        <v>-2.68408860220901</v>
      </c>
      <c r="K21" s="170">
        <v>4.5</v>
      </c>
      <c r="L21" s="192">
        <v>2.2</v>
      </c>
      <c r="M21" s="171">
        <v>0.16</v>
      </c>
      <c r="N21" s="192">
        <f t="shared" si="11"/>
        <v>284.174088602209</v>
      </c>
      <c r="O21" s="192">
        <f t="shared" si="8"/>
        <v>-9.544088602209</v>
      </c>
      <c r="P21" s="189">
        <f t="shared" si="12"/>
        <v>293.718177204418</v>
      </c>
      <c r="Q21" s="192">
        <f t="shared" si="2"/>
        <v>296.425356423378</v>
      </c>
      <c r="R21" s="192">
        <f t="shared" si="3"/>
        <v>21.7953564233779</v>
      </c>
      <c r="S21" s="208">
        <f t="shared" si="4"/>
        <v>0.0793626203378289</v>
      </c>
      <c r="T21" s="192">
        <f t="shared" si="5"/>
        <v>312.893431780232</v>
      </c>
      <c r="U21" s="192">
        <f t="shared" si="6"/>
        <v>38.2634317802322</v>
      </c>
      <c r="V21" s="208">
        <f t="shared" si="7"/>
        <v>0.139327210356597</v>
      </c>
      <c r="W21" s="209"/>
      <c r="X21" s="209"/>
      <c r="Y21" s="209"/>
      <c r="Z21" s="236"/>
      <c r="AA21" s="237"/>
      <c r="AB21" s="238"/>
    </row>
    <row r="22" ht="24" customHeight="1" spans="1:28">
      <c r="A22" s="167" t="s">
        <v>454</v>
      </c>
      <c r="B22" s="168" t="s">
        <v>455</v>
      </c>
      <c r="C22" s="169">
        <v>274.63</v>
      </c>
      <c r="D22" s="170">
        <f>'316MP外镜顶左(海贝金)'!E37</f>
        <v>263.953999740741</v>
      </c>
      <c r="E22" s="171">
        <f t="shared" si="0"/>
        <v>10.676000259259</v>
      </c>
      <c r="F22" s="172">
        <v>4.29</v>
      </c>
      <c r="G22" s="173">
        <f t="shared" si="9"/>
        <v>14.966000259259</v>
      </c>
      <c r="H22" s="170">
        <f>D22-'316MP外镜顶右(极地白)'!M$38</f>
        <v>261.124224740741</v>
      </c>
      <c r="I22" s="192">
        <f t="shared" si="1"/>
        <v>13.505775259259</v>
      </c>
      <c r="J22" s="181">
        <f t="shared" si="10"/>
        <v>17.795775259259</v>
      </c>
      <c r="K22" s="170">
        <v>4.5</v>
      </c>
      <c r="L22" s="192">
        <v>2.2</v>
      </c>
      <c r="M22" s="171">
        <v>0.16</v>
      </c>
      <c r="N22" s="192">
        <f t="shared" si="11"/>
        <v>263.694224740741</v>
      </c>
      <c r="O22" s="192">
        <f t="shared" si="8"/>
        <v>10.935775259259</v>
      </c>
      <c r="P22" s="189">
        <f t="shared" si="12"/>
        <v>252.758449481482</v>
      </c>
      <c r="Q22" s="192">
        <f t="shared" si="2"/>
        <v>274.867604990254</v>
      </c>
      <c r="R22" s="192">
        <f t="shared" si="3"/>
        <v>0.237604990253715</v>
      </c>
      <c r="S22" s="208">
        <f t="shared" si="4"/>
        <v>0.00086518220971385</v>
      </c>
      <c r="T22" s="192">
        <f t="shared" si="5"/>
        <v>290.138027489712</v>
      </c>
      <c r="U22" s="192">
        <f t="shared" si="6"/>
        <v>15.5080274897122</v>
      </c>
      <c r="V22" s="208">
        <f t="shared" si="7"/>
        <v>0.0564688034435867</v>
      </c>
      <c r="W22" s="209"/>
      <c r="X22" s="209"/>
      <c r="Y22" s="209"/>
      <c r="Z22" s="236"/>
      <c r="AA22" s="237"/>
      <c r="AB22" s="238"/>
    </row>
    <row r="23" ht="24" customHeight="1" spans="1:28">
      <c r="A23" s="139" t="s">
        <v>456</v>
      </c>
      <c r="B23" s="140" t="s">
        <v>457</v>
      </c>
      <c r="C23" s="141">
        <v>274.63</v>
      </c>
      <c r="D23" s="142">
        <f>'316MP外镜顶左(太平洋蓝)'!E37</f>
        <v>283.591196530673</v>
      </c>
      <c r="E23" s="143">
        <f t="shared" si="0"/>
        <v>-8.96119653067302</v>
      </c>
      <c r="F23" s="144">
        <v>4.29</v>
      </c>
      <c r="G23" s="145">
        <f t="shared" si="9"/>
        <v>-4.67119653067302</v>
      </c>
      <c r="H23" s="142">
        <f>D23-'316MP外镜顶右(极地白)'!M$38</f>
        <v>280.761421530673</v>
      </c>
      <c r="I23" s="183">
        <f t="shared" si="1"/>
        <v>-6.13142153067304</v>
      </c>
      <c r="J23" s="191">
        <f t="shared" si="10"/>
        <v>-1.84142153067304</v>
      </c>
      <c r="K23" s="142">
        <v>4.5</v>
      </c>
      <c r="L23" s="183">
        <v>2.2</v>
      </c>
      <c r="M23" s="143">
        <v>0.16</v>
      </c>
      <c r="N23" s="183">
        <f t="shared" si="11"/>
        <v>283.331421530673</v>
      </c>
      <c r="O23" s="183">
        <f t="shared" si="8"/>
        <v>-8.70142153067303</v>
      </c>
      <c r="P23" s="184">
        <f t="shared" si="12"/>
        <v>292.032843061346</v>
      </c>
      <c r="Q23" s="183">
        <f t="shared" si="2"/>
        <v>295.53833845334</v>
      </c>
      <c r="R23" s="183">
        <f t="shared" si="3"/>
        <v>20.90833845334</v>
      </c>
      <c r="S23" s="197">
        <f t="shared" si="4"/>
        <v>0.0761327548095257</v>
      </c>
      <c r="T23" s="183">
        <f t="shared" si="5"/>
        <v>311.957135034081</v>
      </c>
      <c r="U23" s="183">
        <f t="shared" si="6"/>
        <v>37.3271350340812</v>
      </c>
      <c r="V23" s="197">
        <f t="shared" si="7"/>
        <v>0.135917907854499</v>
      </c>
      <c r="W23" s="210"/>
      <c r="X23" s="210"/>
      <c r="Y23" s="210"/>
      <c r="Z23" s="239"/>
      <c r="AA23" s="240"/>
      <c r="AB23" s="241"/>
    </row>
    <row r="24" ht="35" customHeight="1" spans="1:1">
      <c r="A24" t="s">
        <v>458</v>
      </c>
    </row>
  </sheetData>
  <mergeCells count="28">
    <mergeCell ref="A1:M1"/>
    <mergeCell ref="D2:E2"/>
    <mergeCell ref="F2:G2"/>
    <mergeCell ref="H2:J2"/>
    <mergeCell ref="K2:M2"/>
    <mergeCell ref="N2:O2"/>
    <mergeCell ref="Q2:S2"/>
    <mergeCell ref="T2:V2"/>
    <mergeCell ref="A2:A3"/>
    <mergeCell ref="B2:B3"/>
    <mergeCell ref="C2:C3"/>
    <mergeCell ref="P2:P3"/>
    <mergeCell ref="W2:W3"/>
    <mergeCell ref="W6:W15"/>
    <mergeCell ref="W16:W23"/>
    <mergeCell ref="X2:X3"/>
    <mergeCell ref="Y2:Y3"/>
    <mergeCell ref="Z2:Z3"/>
    <mergeCell ref="Z4:Z5"/>
    <mergeCell ref="Z6:Z15"/>
    <mergeCell ref="Z16:Z23"/>
    <mergeCell ref="AA2:AA3"/>
    <mergeCell ref="AA6:AA15"/>
    <mergeCell ref="AA16:AA23"/>
    <mergeCell ref="AB2:AB3"/>
    <mergeCell ref="AB4:AB5"/>
    <mergeCell ref="AB6:AB15"/>
    <mergeCell ref="AB16:AB2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AD24"/>
  <sheetViews>
    <sheetView zoomScale="90" zoomScaleNormal="90" workbookViewId="0">
      <pane xSplit="2" ySplit="3" topLeftCell="C5" activePane="bottomRight" state="frozen"/>
      <selection/>
      <selection pane="topRight"/>
      <selection pane="bottomLeft"/>
      <selection pane="bottomRight" activeCell="K6" sqref="K6:K15"/>
    </sheetView>
  </sheetViews>
  <sheetFormatPr defaultColWidth="9" defaultRowHeight="14.4"/>
  <cols>
    <col min="1" max="1" width="4.81481481481481" customWidth="1"/>
    <col min="2" max="2" width="17.7685185185185" customWidth="1"/>
    <col min="4" max="17" width="7.7037037037037" style="59" customWidth="1"/>
    <col min="18" max="18" width="7.7037037037037" style="60" customWidth="1"/>
    <col min="19" max="20" width="7.7037037037037" style="59" customWidth="1"/>
    <col min="21" max="21" width="7.7037037037037" style="61" customWidth="1"/>
    <col min="22" max="23" width="7.7037037037037" style="59" customWidth="1"/>
    <col min="24" max="26" width="7.7037037037037" style="61" customWidth="1"/>
    <col min="27" max="27" width="11.1018518518519" customWidth="1"/>
    <col min="29" max="29" width="12.8888888888889"/>
  </cols>
  <sheetData>
    <row r="1" ht="26.55" spans="1:27">
      <c r="A1" s="62" t="s">
        <v>378</v>
      </c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81"/>
      <c r="S1" s="63"/>
      <c r="T1" s="63"/>
      <c r="U1" s="82"/>
      <c r="V1" s="63"/>
      <c r="W1" s="63"/>
      <c r="X1" s="82"/>
      <c r="Y1" s="82"/>
      <c r="Z1" s="82"/>
      <c r="AA1" s="62"/>
    </row>
    <row r="2" s="58" customFormat="1" ht="47" customHeight="1" spans="1:27">
      <c r="A2" s="64" t="s">
        <v>379</v>
      </c>
      <c r="B2" s="65" t="s">
        <v>380</v>
      </c>
      <c r="C2" s="65" t="s">
        <v>459</v>
      </c>
      <c r="D2" s="66" t="s">
        <v>382</v>
      </c>
      <c r="E2" s="66"/>
      <c r="F2" s="67" t="s">
        <v>383</v>
      </c>
      <c r="G2" s="67"/>
      <c r="H2" s="66" t="s">
        <v>460</v>
      </c>
      <c r="I2" s="66"/>
      <c r="J2" s="66"/>
      <c r="K2" s="66" t="s">
        <v>385</v>
      </c>
      <c r="L2" s="66"/>
      <c r="M2" s="66"/>
      <c r="N2" s="67" t="s">
        <v>461</v>
      </c>
      <c r="O2" s="67"/>
      <c r="P2" s="67" t="s">
        <v>462</v>
      </c>
      <c r="Q2" s="67"/>
      <c r="R2" s="83"/>
      <c r="S2" s="84">
        <v>0.05</v>
      </c>
      <c r="T2" s="84"/>
      <c r="U2" s="84"/>
      <c r="V2" s="85">
        <v>0.1</v>
      </c>
      <c r="W2" s="85"/>
      <c r="X2" s="85"/>
      <c r="Y2" s="96" t="s">
        <v>388</v>
      </c>
      <c r="Z2" s="96" t="s">
        <v>391</v>
      </c>
      <c r="AA2" s="97" t="s">
        <v>392</v>
      </c>
    </row>
    <row r="3" ht="59" customHeight="1" spans="1:27">
      <c r="A3" s="68"/>
      <c r="B3" s="69"/>
      <c r="C3" s="70"/>
      <c r="D3" s="71" t="s">
        <v>394</v>
      </c>
      <c r="E3" s="71" t="s">
        <v>395</v>
      </c>
      <c r="F3" s="72" t="s">
        <v>383</v>
      </c>
      <c r="G3" s="72" t="s">
        <v>396</v>
      </c>
      <c r="H3" s="71" t="s">
        <v>463</v>
      </c>
      <c r="I3" s="71" t="s">
        <v>398</v>
      </c>
      <c r="J3" s="71" t="s">
        <v>399</v>
      </c>
      <c r="K3" s="71" t="s">
        <v>10</v>
      </c>
      <c r="L3" s="71" t="s">
        <v>400</v>
      </c>
      <c r="M3" s="71" t="s">
        <v>401</v>
      </c>
      <c r="N3" s="71" t="s">
        <v>464</v>
      </c>
      <c r="O3" s="71" t="s">
        <v>465</v>
      </c>
      <c r="P3" s="71" t="s">
        <v>466</v>
      </c>
      <c r="Q3" s="71" t="s">
        <v>467</v>
      </c>
      <c r="R3" s="86" t="s">
        <v>387</v>
      </c>
      <c r="S3" s="71" t="s">
        <v>404</v>
      </c>
      <c r="T3" s="71" t="s">
        <v>405</v>
      </c>
      <c r="U3" s="87" t="s">
        <v>406</v>
      </c>
      <c r="V3" s="71" t="s">
        <v>407</v>
      </c>
      <c r="W3" s="71" t="s">
        <v>405</v>
      </c>
      <c r="X3" s="87" t="s">
        <v>406</v>
      </c>
      <c r="Y3" s="87"/>
      <c r="Z3" s="87"/>
      <c r="AA3" s="98"/>
    </row>
    <row r="4" ht="33" customHeight="1" spans="1:30">
      <c r="A4" s="73" t="s">
        <v>408</v>
      </c>
      <c r="B4" s="74" t="s">
        <v>409</v>
      </c>
      <c r="C4" s="74">
        <v>13.25</v>
      </c>
      <c r="D4" s="75">
        <f>'18D后视镜'!F14</f>
        <v>17.2317818165118</v>
      </c>
      <c r="E4" s="75">
        <f>C4-D4</f>
        <v>-3.9817818165118</v>
      </c>
      <c r="F4" s="75"/>
      <c r="G4" s="75"/>
      <c r="H4" s="75">
        <f>'18D后视镜'!G16</f>
        <v>15.9651446483703</v>
      </c>
      <c r="I4" s="75">
        <f>C4-H4</f>
        <v>-2.7151446483703</v>
      </c>
      <c r="J4" s="75"/>
      <c r="K4" s="75">
        <v>0.688333333333333</v>
      </c>
      <c r="L4" s="75"/>
      <c r="M4" s="75"/>
      <c r="N4" s="75">
        <f>SUM(K4:M4)+D4</f>
        <v>17.9201151498451</v>
      </c>
      <c r="O4" s="75">
        <f>C4-N4</f>
        <v>-4.67011514984513</v>
      </c>
      <c r="P4" s="75">
        <f>SUM(K4:M4)+H4</f>
        <v>16.6534779817036</v>
      </c>
      <c r="Q4" s="75">
        <f>C4-P4</f>
        <v>-3.40347798170363</v>
      </c>
      <c r="R4" s="88"/>
      <c r="S4" s="75">
        <f>H4/0.95</f>
        <v>16.8054154193372</v>
      </c>
      <c r="T4" s="75">
        <f>S4-C4</f>
        <v>3.55541541933716</v>
      </c>
      <c r="U4" s="89">
        <f>T4/C4</f>
        <v>0.268333239195258</v>
      </c>
      <c r="V4" s="75">
        <f>H4/0.9</f>
        <v>17.7390496093003</v>
      </c>
      <c r="W4" s="75">
        <f>V4-C4</f>
        <v>4.48904960930033</v>
      </c>
      <c r="X4" s="89">
        <f>W4/C4</f>
        <v>0.338796196928327</v>
      </c>
      <c r="Y4" s="99">
        <v>15.5</v>
      </c>
      <c r="Z4" s="100" t="s">
        <v>468</v>
      </c>
      <c r="AA4" s="101" t="s">
        <v>469</v>
      </c>
      <c r="AB4">
        <f>15.5-C4</f>
        <v>2.25</v>
      </c>
      <c r="AC4">
        <f>AB4/C4</f>
        <v>0.169811320754717</v>
      </c>
      <c r="AD4">
        <f>1.1*C4</f>
        <v>14.575</v>
      </c>
    </row>
    <row r="5" ht="33" customHeight="1" spans="1:27">
      <c r="A5" s="76" t="s">
        <v>413</v>
      </c>
      <c r="B5" s="77" t="s">
        <v>414</v>
      </c>
      <c r="C5" s="77">
        <v>16.2</v>
      </c>
      <c r="D5" s="78">
        <f>'3GD后视镜'!F14</f>
        <v>17.6064677077618</v>
      </c>
      <c r="E5" s="78">
        <f t="shared" ref="E5:E24" si="0">C5-D5</f>
        <v>-1.4064677077618</v>
      </c>
      <c r="F5" s="78"/>
      <c r="G5" s="78"/>
      <c r="H5" s="78">
        <f>'3GD后视镜'!G16</f>
        <v>14.8868216900627</v>
      </c>
      <c r="I5" s="78">
        <f t="shared" ref="I5:I24" si="1">C5-H5</f>
        <v>1.3131783099373</v>
      </c>
      <c r="J5" s="78"/>
      <c r="K5" s="78">
        <v>0.770933333333333</v>
      </c>
      <c r="L5" s="78"/>
      <c r="M5" s="78"/>
      <c r="N5" s="78">
        <f>SUM(K5:M5)+D5</f>
        <v>18.3774010410951</v>
      </c>
      <c r="O5" s="78">
        <f t="shared" ref="O5:O23" si="2">C5-N5</f>
        <v>-2.1774010410951</v>
      </c>
      <c r="P5" s="78">
        <f>SUM(K5:M5)+H5</f>
        <v>15.657755023396</v>
      </c>
      <c r="Q5" s="78">
        <f t="shared" ref="Q5:Q23" si="3">C5-P5</f>
        <v>0.542244976603966</v>
      </c>
      <c r="R5" s="90"/>
      <c r="S5" s="78">
        <f t="shared" ref="S5:S23" si="4">H5/0.95</f>
        <v>15.6703386211186</v>
      </c>
      <c r="T5" s="78">
        <f t="shared" ref="T5:T23" si="5">S5-C5</f>
        <v>-0.529661378881368</v>
      </c>
      <c r="U5" s="91"/>
      <c r="V5" s="78">
        <f t="shared" ref="V5:V23" si="6">H5/0.9</f>
        <v>16.5409129889586</v>
      </c>
      <c r="W5" s="78">
        <f t="shared" ref="W5:W23" si="7">V5-C5</f>
        <v>0.340912988958557</v>
      </c>
      <c r="X5" s="91">
        <f t="shared" ref="X5:X23" si="8">W5/C5</f>
        <v>0.0210440116641085</v>
      </c>
      <c r="Y5" s="102">
        <v>17.5</v>
      </c>
      <c r="Z5" s="103"/>
      <c r="AA5" s="104" t="s">
        <v>470</v>
      </c>
    </row>
    <row r="6" ht="24" customHeight="1" spans="1:27">
      <c r="A6" s="73" t="s">
        <v>416</v>
      </c>
      <c r="B6" s="74" t="s">
        <v>417</v>
      </c>
      <c r="C6" s="74">
        <v>81.82</v>
      </c>
      <c r="D6" s="75">
        <f>'BC311电动外镜-右（极地白）-单曲'!F23</f>
        <v>87.2423683022298</v>
      </c>
      <c r="E6" s="75">
        <f t="shared" si="0"/>
        <v>-5.42236830222981</v>
      </c>
      <c r="F6" s="75">
        <v>1.16</v>
      </c>
      <c r="G6" s="75">
        <f>E6+F6</f>
        <v>-4.26236830222981</v>
      </c>
      <c r="H6" s="75">
        <f>D6-'BC311电动外镜-右（极地白）-单曲'!M$24</f>
        <v>85.6749183022298</v>
      </c>
      <c r="I6" s="75">
        <f t="shared" si="1"/>
        <v>-3.85491830222982</v>
      </c>
      <c r="J6" s="75">
        <f>I6+F6</f>
        <v>-2.69491830222982</v>
      </c>
      <c r="K6" s="75">
        <v>2.03</v>
      </c>
      <c r="L6" s="75">
        <v>1.925</v>
      </c>
      <c r="M6" s="75">
        <v>0.16</v>
      </c>
      <c r="N6" s="75">
        <f>SUM(K6:M6)+D6-F6</f>
        <v>90.1973683022298</v>
      </c>
      <c r="O6" s="75">
        <f t="shared" si="2"/>
        <v>-8.37736830222981</v>
      </c>
      <c r="P6" s="75">
        <f>SUM(K6:M6)+H6-F6</f>
        <v>88.6299183022298</v>
      </c>
      <c r="Q6" s="75">
        <f t="shared" si="3"/>
        <v>-6.8099183022298</v>
      </c>
      <c r="R6" s="92">
        <f>P6-Q6</f>
        <v>95.4398366044596</v>
      </c>
      <c r="S6" s="75">
        <f t="shared" si="4"/>
        <v>90.184124528663</v>
      </c>
      <c r="T6" s="75">
        <f t="shared" si="5"/>
        <v>8.36412452866297</v>
      </c>
      <c r="U6" s="89">
        <f t="shared" ref="U5:U23" si="9">T6/C6</f>
        <v>0.102225916996614</v>
      </c>
      <c r="V6" s="93">
        <f t="shared" si="6"/>
        <v>95.1943536691442</v>
      </c>
      <c r="W6" s="75">
        <f t="shared" si="7"/>
        <v>13.3743536691442</v>
      </c>
      <c r="X6" s="89">
        <f t="shared" si="8"/>
        <v>0.163460690163093</v>
      </c>
      <c r="Y6" s="105">
        <f>C6*1.2</f>
        <v>98.184</v>
      </c>
      <c r="Z6" s="106" t="s">
        <v>418</v>
      </c>
      <c r="AA6" s="97" t="s">
        <v>419</v>
      </c>
    </row>
    <row r="7" ht="24" customHeight="1" spans="1:27">
      <c r="A7" s="79" t="s">
        <v>421</v>
      </c>
      <c r="B7" s="39" t="s">
        <v>422</v>
      </c>
      <c r="C7" s="39">
        <v>81.82</v>
      </c>
      <c r="D7" s="80">
        <f>'BC311电动外镜-右 （玛雅红）-单曲'!E23</f>
        <v>89.3965882538609</v>
      </c>
      <c r="E7" s="80">
        <f t="shared" si="0"/>
        <v>-7.5765882538609</v>
      </c>
      <c r="F7" s="80">
        <v>1.16</v>
      </c>
      <c r="G7" s="80">
        <f t="shared" ref="G7:G16" si="10">E7+F7</f>
        <v>-6.4165882538609</v>
      </c>
      <c r="H7" s="80">
        <f>D7-'BC311电动外镜-右（极地白）-单曲'!M$24</f>
        <v>87.8291382538609</v>
      </c>
      <c r="I7" s="80">
        <f t="shared" si="1"/>
        <v>-6.00913825386091</v>
      </c>
      <c r="J7" s="80">
        <f t="shared" ref="J7:J15" si="11">I7+F7</f>
        <v>-4.84913825386091</v>
      </c>
      <c r="K7" s="75">
        <v>2.03</v>
      </c>
      <c r="L7" s="80">
        <v>1.925</v>
      </c>
      <c r="M7" s="80">
        <v>0.16</v>
      </c>
      <c r="N7" s="80">
        <f t="shared" ref="N7:N23" si="12">SUM(K7:M7)+D7-F7</f>
        <v>92.3515882538609</v>
      </c>
      <c r="O7" s="80">
        <f t="shared" si="2"/>
        <v>-10.5315882538609</v>
      </c>
      <c r="P7" s="80">
        <f t="shared" ref="P7:P23" si="13">SUM(K7:M7)+H7-F7</f>
        <v>90.7841382538609</v>
      </c>
      <c r="Q7" s="80">
        <f t="shared" si="3"/>
        <v>-8.96413825386091</v>
      </c>
      <c r="R7" s="94">
        <f t="shared" ref="R7:R15" si="14">P7-Q7</f>
        <v>99.7482765077218</v>
      </c>
      <c r="S7" s="80">
        <f t="shared" si="4"/>
        <v>92.4517244777483</v>
      </c>
      <c r="T7" s="80">
        <f t="shared" si="5"/>
        <v>10.6317244777483</v>
      </c>
      <c r="U7" s="95">
        <f t="shared" si="9"/>
        <v>0.129940411607777</v>
      </c>
      <c r="V7" s="80">
        <f t="shared" si="6"/>
        <v>97.5879313931788</v>
      </c>
      <c r="W7" s="80">
        <f t="shared" si="7"/>
        <v>15.7679313931788</v>
      </c>
      <c r="X7" s="95">
        <f t="shared" si="8"/>
        <v>0.19271487891932</v>
      </c>
      <c r="Y7" s="107"/>
      <c r="Z7" s="108"/>
      <c r="AA7" s="109"/>
    </row>
    <row r="8" ht="24" customHeight="1" spans="1:27">
      <c r="A8" s="79" t="s">
        <v>423</v>
      </c>
      <c r="B8" s="39" t="s">
        <v>424</v>
      </c>
      <c r="C8" s="39">
        <v>81.82</v>
      </c>
      <c r="D8" s="80">
        <f>'BC311电动外镜-右 （海贝金）-单曲'!E23</f>
        <v>87.803938460561</v>
      </c>
      <c r="E8" s="80">
        <f t="shared" si="0"/>
        <v>-5.98393846056101</v>
      </c>
      <c r="F8" s="80">
        <v>1.16</v>
      </c>
      <c r="G8" s="80">
        <f t="shared" si="10"/>
        <v>-4.82393846056101</v>
      </c>
      <c r="H8" s="80">
        <f>D8-'BC311电动外镜-右（极地白）-单曲'!M$24</f>
        <v>86.236488460561</v>
      </c>
      <c r="I8" s="80">
        <f t="shared" si="1"/>
        <v>-4.41648846056101</v>
      </c>
      <c r="J8" s="80">
        <f t="shared" si="11"/>
        <v>-3.25648846056101</v>
      </c>
      <c r="K8" s="75">
        <v>2.03</v>
      </c>
      <c r="L8" s="80">
        <v>1.925</v>
      </c>
      <c r="M8" s="80">
        <v>0.16</v>
      </c>
      <c r="N8" s="80">
        <f t="shared" si="12"/>
        <v>90.758938460561</v>
      </c>
      <c r="O8" s="80">
        <f t="shared" si="2"/>
        <v>-8.938938460561</v>
      </c>
      <c r="P8" s="80">
        <f t="shared" si="13"/>
        <v>89.191488460561</v>
      </c>
      <c r="Q8" s="80">
        <f t="shared" si="3"/>
        <v>-7.37148846056101</v>
      </c>
      <c r="R8" s="94">
        <f t="shared" si="14"/>
        <v>96.562976921122</v>
      </c>
      <c r="S8" s="80">
        <f t="shared" si="4"/>
        <v>90.7752510111169</v>
      </c>
      <c r="T8" s="80">
        <f t="shared" si="5"/>
        <v>8.95525101111686</v>
      </c>
      <c r="U8" s="95">
        <f t="shared" si="9"/>
        <v>0.109450635677302</v>
      </c>
      <c r="V8" s="80">
        <f t="shared" si="6"/>
        <v>95.8183205117345</v>
      </c>
      <c r="W8" s="80">
        <f t="shared" si="7"/>
        <v>13.9983205117345</v>
      </c>
      <c r="X8" s="95">
        <f t="shared" si="8"/>
        <v>0.171086782103819</v>
      </c>
      <c r="Y8" s="107"/>
      <c r="Z8" s="108"/>
      <c r="AA8" s="109"/>
    </row>
    <row r="9" ht="24" customHeight="1" spans="1:27">
      <c r="A9" s="79" t="s">
        <v>425</v>
      </c>
      <c r="B9" s="39" t="s">
        <v>426</v>
      </c>
      <c r="C9" s="39">
        <v>81.82</v>
      </c>
      <c r="D9" s="80">
        <f>'BC311电动外镜-右 （宝石蓝）-单曲'!E23</f>
        <v>88.5956603231262</v>
      </c>
      <c r="E9" s="80">
        <f t="shared" si="0"/>
        <v>-6.7756603231262</v>
      </c>
      <c r="F9" s="80">
        <v>1.16</v>
      </c>
      <c r="G9" s="80">
        <f t="shared" si="10"/>
        <v>-5.6156603231262</v>
      </c>
      <c r="H9" s="80">
        <f>D9-'BC311电动外镜-右（极地白）-单曲'!M$24</f>
        <v>87.0282103231262</v>
      </c>
      <c r="I9" s="80">
        <f t="shared" si="1"/>
        <v>-5.20821032312621</v>
      </c>
      <c r="J9" s="80">
        <f t="shared" si="11"/>
        <v>-4.04821032312621</v>
      </c>
      <c r="K9" s="75">
        <v>2.03</v>
      </c>
      <c r="L9" s="80">
        <v>1.925</v>
      </c>
      <c r="M9" s="80">
        <v>0.16</v>
      </c>
      <c r="N9" s="80">
        <f t="shared" si="12"/>
        <v>91.5506603231262</v>
      </c>
      <c r="O9" s="80">
        <f t="shared" si="2"/>
        <v>-9.7306603231262</v>
      </c>
      <c r="P9" s="80">
        <f t="shared" si="13"/>
        <v>89.9832103231262</v>
      </c>
      <c r="Q9" s="80">
        <f t="shared" si="3"/>
        <v>-8.16321032312621</v>
      </c>
      <c r="R9" s="94">
        <f t="shared" si="14"/>
        <v>98.1464206462524</v>
      </c>
      <c r="S9" s="80">
        <f t="shared" si="4"/>
        <v>91.608642445396</v>
      </c>
      <c r="T9" s="80">
        <f t="shared" si="5"/>
        <v>9.78864244539601</v>
      </c>
      <c r="U9" s="95">
        <f t="shared" si="9"/>
        <v>0.119636304636959</v>
      </c>
      <c r="V9" s="80">
        <f t="shared" si="6"/>
        <v>96.6980114701402</v>
      </c>
      <c r="W9" s="80">
        <f t="shared" si="7"/>
        <v>14.8780114701402</v>
      </c>
      <c r="X9" s="95">
        <f t="shared" si="8"/>
        <v>0.181838321561235</v>
      </c>
      <c r="Y9" s="107"/>
      <c r="Z9" s="108"/>
      <c r="AA9" s="109"/>
    </row>
    <row r="10" ht="24" customHeight="1" spans="1:27">
      <c r="A10" s="79" t="s">
        <v>427</v>
      </c>
      <c r="B10" s="39" t="s">
        <v>428</v>
      </c>
      <c r="C10" s="39">
        <v>81.82</v>
      </c>
      <c r="D10" s="80">
        <f>'BC311电动外镜-右（月光银）-单曲'!E23</f>
        <v>87.9328234149322</v>
      </c>
      <c r="E10" s="80">
        <f t="shared" si="0"/>
        <v>-6.11282341493221</v>
      </c>
      <c r="F10" s="80">
        <v>1.16</v>
      </c>
      <c r="G10" s="80">
        <f t="shared" si="10"/>
        <v>-4.95282341493221</v>
      </c>
      <c r="H10" s="80">
        <f>D10-'BC311电动外镜-右（极地白）-单曲'!M$24</f>
        <v>86.3653734149322</v>
      </c>
      <c r="I10" s="80">
        <f t="shared" si="1"/>
        <v>-4.5453734149322</v>
      </c>
      <c r="J10" s="80">
        <f t="shared" si="11"/>
        <v>-3.3853734149322</v>
      </c>
      <c r="K10" s="75">
        <v>2.03</v>
      </c>
      <c r="L10" s="80">
        <v>1.925</v>
      </c>
      <c r="M10" s="80">
        <v>0.16</v>
      </c>
      <c r="N10" s="80">
        <f t="shared" si="12"/>
        <v>90.8878234149322</v>
      </c>
      <c r="O10" s="80">
        <f t="shared" si="2"/>
        <v>-9.06782341493221</v>
      </c>
      <c r="P10" s="80">
        <f t="shared" si="13"/>
        <v>89.3203734149322</v>
      </c>
      <c r="Q10" s="80">
        <f t="shared" si="3"/>
        <v>-7.5003734149322</v>
      </c>
      <c r="R10" s="94">
        <f t="shared" si="14"/>
        <v>96.8207468298644</v>
      </c>
      <c r="S10" s="80">
        <f t="shared" si="4"/>
        <v>90.9109193841391</v>
      </c>
      <c r="T10" s="80">
        <f t="shared" si="5"/>
        <v>9.09091938413916</v>
      </c>
      <c r="U10" s="95">
        <f t="shared" si="9"/>
        <v>0.111108767833527</v>
      </c>
      <c r="V10" s="80">
        <f t="shared" si="6"/>
        <v>95.9615260165913</v>
      </c>
      <c r="W10" s="80">
        <f t="shared" si="7"/>
        <v>14.1415260165913</v>
      </c>
      <c r="X10" s="95">
        <f t="shared" si="8"/>
        <v>0.172837032713167</v>
      </c>
      <c r="Y10" s="107"/>
      <c r="Z10" s="108"/>
      <c r="AA10" s="109"/>
    </row>
    <row r="11" ht="24" customHeight="1" spans="1:27">
      <c r="A11" s="79" t="s">
        <v>429</v>
      </c>
      <c r="B11" s="39" t="s">
        <v>430</v>
      </c>
      <c r="C11" s="39">
        <v>81.82</v>
      </c>
      <c r="D11" s="80">
        <f>'BC311电动外镜-左（极地白）-单曲'!E23</f>
        <v>87.2423683022298</v>
      </c>
      <c r="E11" s="80">
        <f t="shared" si="0"/>
        <v>-5.42236830222981</v>
      </c>
      <c r="F11" s="80">
        <v>1.16</v>
      </c>
      <c r="G11" s="80">
        <f t="shared" si="10"/>
        <v>-4.26236830222981</v>
      </c>
      <c r="H11" s="80">
        <f>D11-'BC311电动外镜-右（极地白）-单曲'!M$24</f>
        <v>85.6749183022298</v>
      </c>
      <c r="I11" s="80">
        <f t="shared" si="1"/>
        <v>-3.85491830222981</v>
      </c>
      <c r="J11" s="80">
        <f t="shared" si="11"/>
        <v>-2.6949183022298</v>
      </c>
      <c r="K11" s="75">
        <v>2.03</v>
      </c>
      <c r="L11" s="80">
        <v>1.925</v>
      </c>
      <c r="M11" s="80">
        <v>0.16</v>
      </c>
      <c r="N11" s="80">
        <f t="shared" si="12"/>
        <v>90.1973683022298</v>
      </c>
      <c r="O11" s="80">
        <f t="shared" si="2"/>
        <v>-8.37736830222981</v>
      </c>
      <c r="P11" s="80">
        <f t="shared" si="13"/>
        <v>88.6299183022298</v>
      </c>
      <c r="Q11" s="80">
        <f t="shared" si="3"/>
        <v>-6.8099183022298</v>
      </c>
      <c r="R11" s="94">
        <f t="shared" si="14"/>
        <v>95.4398366044596</v>
      </c>
      <c r="S11" s="80">
        <f t="shared" si="4"/>
        <v>90.1841245286629</v>
      </c>
      <c r="T11" s="80">
        <f t="shared" si="5"/>
        <v>8.36412452866296</v>
      </c>
      <c r="U11" s="95">
        <f t="shared" si="9"/>
        <v>0.102225916996614</v>
      </c>
      <c r="V11" s="80">
        <f t="shared" si="6"/>
        <v>95.1943536691442</v>
      </c>
      <c r="W11" s="80">
        <f t="shared" si="7"/>
        <v>13.3743536691442</v>
      </c>
      <c r="X11" s="95">
        <f t="shared" si="8"/>
        <v>0.163460690163093</v>
      </c>
      <c r="Y11" s="107"/>
      <c r="Z11" s="108"/>
      <c r="AA11" s="109"/>
    </row>
    <row r="12" ht="24" customHeight="1" spans="1:27">
      <c r="A12" s="79" t="s">
        <v>431</v>
      </c>
      <c r="B12" s="39" t="s">
        <v>432</v>
      </c>
      <c r="C12" s="39">
        <v>81.82</v>
      </c>
      <c r="D12" s="80">
        <f>'BC311电动外镜-左（玛雅红）-单曲'!E23</f>
        <v>89.3965882538609</v>
      </c>
      <c r="E12" s="80">
        <f t="shared" si="0"/>
        <v>-7.5765882538609</v>
      </c>
      <c r="F12" s="80">
        <v>1.16</v>
      </c>
      <c r="G12" s="80">
        <f t="shared" si="10"/>
        <v>-6.4165882538609</v>
      </c>
      <c r="H12" s="80">
        <f>D12-'BC311电动外镜-右（极地白）-单曲'!M$24</f>
        <v>87.8291382538609</v>
      </c>
      <c r="I12" s="80">
        <f t="shared" si="1"/>
        <v>-6.00913825386091</v>
      </c>
      <c r="J12" s="80">
        <f t="shared" si="11"/>
        <v>-4.84913825386091</v>
      </c>
      <c r="K12" s="75">
        <v>2.03</v>
      </c>
      <c r="L12" s="80">
        <v>1.925</v>
      </c>
      <c r="M12" s="80">
        <v>0.16</v>
      </c>
      <c r="N12" s="80">
        <f t="shared" si="12"/>
        <v>92.3515882538609</v>
      </c>
      <c r="O12" s="80">
        <f t="shared" si="2"/>
        <v>-10.5315882538609</v>
      </c>
      <c r="P12" s="80">
        <f t="shared" si="13"/>
        <v>90.7841382538609</v>
      </c>
      <c r="Q12" s="80">
        <f t="shared" si="3"/>
        <v>-8.96413825386091</v>
      </c>
      <c r="R12" s="94">
        <f t="shared" si="14"/>
        <v>99.7482765077218</v>
      </c>
      <c r="S12" s="80">
        <f t="shared" si="4"/>
        <v>92.4517244777483</v>
      </c>
      <c r="T12" s="80">
        <f t="shared" si="5"/>
        <v>10.6317244777483</v>
      </c>
      <c r="U12" s="95">
        <f t="shared" si="9"/>
        <v>0.129940411607777</v>
      </c>
      <c r="V12" s="80">
        <f t="shared" si="6"/>
        <v>97.5879313931788</v>
      </c>
      <c r="W12" s="80">
        <f t="shared" si="7"/>
        <v>15.7679313931788</v>
      </c>
      <c r="X12" s="95">
        <f t="shared" si="8"/>
        <v>0.19271487891932</v>
      </c>
      <c r="Y12" s="107"/>
      <c r="Z12" s="108"/>
      <c r="AA12" s="109"/>
    </row>
    <row r="13" ht="24" customHeight="1" spans="1:27">
      <c r="A13" s="79" t="s">
        <v>433</v>
      </c>
      <c r="B13" s="39" t="s">
        <v>434</v>
      </c>
      <c r="C13" s="39">
        <v>81.82</v>
      </c>
      <c r="D13" s="80">
        <f>'BC311电动外镜-左（海贝金）-单曲'!E23</f>
        <v>87.803938460561</v>
      </c>
      <c r="E13" s="80">
        <f t="shared" si="0"/>
        <v>-5.98393846056101</v>
      </c>
      <c r="F13" s="80">
        <v>1.16</v>
      </c>
      <c r="G13" s="80">
        <f t="shared" si="10"/>
        <v>-4.82393846056101</v>
      </c>
      <c r="H13" s="80">
        <f>D13-'BC311电动外镜-右（极地白）-单曲'!M$24</f>
        <v>86.236488460561</v>
      </c>
      <c r="I13" s="80">
        <f t="shared" si="1"/>
        <v>-4.41648846056101</v>
      </c>
      <c r="J13" s="80">
        <f t="shared" si="11"/>
        <v>-3.25648846056101</v>
      </c>
      <c r="K13" s="75">
        <v>2.03</v>
      </c>
      <c r="L13" s="80">
        <v>1.925</v>
      </c>
      <c r="M13" s="80">
        <v>0.16</v>
      </c>
      <c r="N13" s="80">
        <f t="shared" si="12"/>
        <v>90.758938460561</v>
      </c>
      <c r="O13" s="80">
        <f t="shared" si="2"/>
        <v>-8.938938460561</v>
      </c>
      <c r="P13" s="80">
        <f t="shared" si="13"/>
        <v>89.191488460561</v>
      </c>
      <c r="Q13" s="80">
        <f t="shared" si="3"/>
        <v>-7.37148846056101</v>
      </c>
      <c r="R13" s="94">
        <f t="shared" si="14"/>
        <v>96.562976921122</v>
      </c>
      <c r="S13" s="80">
        <f t="shared" si="4"/>
        <v>90.7752510111169</v>
      </c>
      <c r="T13" s="80">
        <f t="shared" si="5"/>
        <v>8.95525101111686</v>
      </c>
      <c r="U13" s="95">
        <f t="shared" si="9"/>
        <v>0.109450635677302</v>
      </c>
      <c r="V13" s="80">
        <f t="shared" si="6"/>
        <v>95.8183205117345</v>
      </c>
      <c r="W13" s="80">
        <f t="shared" si="7"/>
        <v>13.9983205117345</v>
      </c>
      <c r="X13" s="95">
        <f t="shared" si="8"/>
        <v>0.171086782103819</v>
      </c>
      <c r="Y13" s="107"/>
      <c r="Z13" s="108"/>
      <c r="AA13" s="109"/>
    </row>
    <row r="14" ht="24" customHeight="1" spans="1:27">
      <c r="A14" s="79" t="s">
        <v>435</v>
      </c>
      <c r="B14" s="39" t="s">
        <v>436</v>
      </c>
      <c r="C14" s="39">
        <v>81.82</v>
      </c>
      <c r="D14" s="80">
        <f>'BC311电动外镜-左（月光银）-单曲'!E23</f>
        <v>87.9328234149321</v>
      </c>
      <c r="E14" s="80">
        <f t="shared" si="0"/>
        <v>-6.11282341493211</v>
      </c>
      <c r="F14" s="80">
        <v>1.16</v>
      </c>
      <c r="G14" s="80">
        <f t="shared" si="10"/>
        <v>-4.95282341493211</v>
      </c>
      <c r="H14" s="80">
        <f>D14-'BC311电动外镜-右（极地白）-单曲'!M$24</f>
        <v>86.3653734149321</v>
      </c>
      <c r="I14" s="80">
        <f t="shared" si="1"/>
        <v>-4.5453734149321</v>
      </c>
      <c r="J14" s="80">
        <f t="shared" si="11"/>
        <v>-3.3853734149321</v>
      </c>
      <c r="K14" s="75">
        <v>2.03</v>
      </c>
      <c r="L14" s="80">
        <v>1.925</v>
      </c>
      <c r="M14" s="80">
        <v>0.16</v>
      </c>
      <c r="N14" s="80">
        <f t="shared" si="12"/>
        <v>90.8878234149321</v>
      </c>
      <c r="O14" s="80">
        <f t="shared" si="2"/>
        <v>-9.06782341493211</v>
      </c>
      <c r="P14" s="80">
        <f t="shared" si="13"/>
        <v>89.3203734149321</v>
      </c>
      <c r="Q14" s="80">
        <f t="shared" si="3"/>
        <v>-7.5003734149321</v>
      </c>
      <c r="R14" s="94">
        <f t="shared" si="14"/>
        <v>96.8207468298642</v>
      </c>
      <c r="S14" s="80">
        <f t="shared" si="4"/>
        <v>90.910919384139</v>
      </c>
      <c r="T14" s="80">
        <f t="shared" si="5"/>
        <v>9.09091938413906</v>
      </c>
      <c r="U14" s="95">
        <f t="shared" si="9"/>
        <v>0.111108767833526</v>
      </c>
      <c r="V14" s="80">
        <f t="shared" si="6"/>
        <v>95.9615260165912</v>
      </c>
      <c r="W14" s="80">
        <f t="shared" si="7"/>
        <v>14.1415260165912</v>
      </c>
      <c r="X14" s="95">
        <f t="shared" si="8"/>
        <v>0.172837032713166</v>
      </c>
      <c r="Y14" s="107"/>
      <c r="Z14" s="108"/>
      <c r="AA14" s="109"/>
    </row>
    <row r="15" ht="24" customHeight="1" spans="1:27">
      <c r="A15" s="76" t="s">
        <v>437</v>
      </c>
      <c r="B15" s="77" t="s">
        <v>438</v>
      </c>
      <c r="C15" s="77">
        <v>81.82</v>
      </c>
      <c r="D15" s="78">
        <f>'BC311电动外镜-左（宝石蓝）-单曲'!E23</f>
        <v>88.5956603231262</v>
      </c>
      <c r="E15" s="78">
        <f t="shared" si="0"/>
        <v>-6.7756603231262</v>
      </c>
      <c r="F15" s="78">
        <v>1.16</v>
      </c>
      <c r="G15" s="78">
        <f t="shared" si="10"/>
        <v>-5.6156603231262</v>
      </c>
      <c r="H15" s="78">
        <f>D15-'BC311电动外镜-右（极地白）-单曲'!M$24</f>
        <v>87.0282103231262</v>
      </c>
      <c r="I15" s="78">
        <f t="shared" si="1"/>
        <v>-5.20821032312621</v>
      </c>
      <c r="J15" s="78">
        <f t="shared" si="11"/>
        <v>-4.04821032312621</v>
      </c>
      <c r="K15" s="75">
        <v>2.03</v>
      </c>
      <c r="L15" s="78">
        <v>1.925</v>
      </c>
      <c r="M15" s="78">
        <v>0.16</v>
      </c>
      <c r="N15" s="78">
        <f t="shared" si="12"/>
        <v>91.5506603231262</v>
      </c>
      <c r="O15" s="78">
        <f t="shared" si="2"/>
        <v>-9.7306603231262</v>
      </c>
      <c r="P15" s="78">
        <f t="shared" si="13"/>
        <v>89.9832103231262</v>
      </c>
      <c r="Q15" s="78">
        <f t="shared" si="3"/>
        <v>-8.16321032312621</v>
      </c>
      <c r="R15" s="90">
        <f t="shared" si="14"/>
        <v>98.1464206462524</v>
      </c>
      <c r="S15" s="78">
        <f t="shared" si="4"/>
        <v>91.608642445396</v>
      </c>
      <c r="T15" s="78">
        <f t="shared" si="5"/>
        <v>9.78864244539601</v>
      </c>
      <c r="U15" s="91">
        <f t="shared" si="9"/>
        <v>0.119636304636959</v>
      </c>
      <c r="V15" s="78">
        <f t="shared" si="6"/>
        <v>96.6980114701402</v>
      </c>
      <c r="W15" s="78">
        <f t="shared" si="7"/>
        <v>14.8780114701402</v>
      </c>
      <c r="X15" s="91">
        <f t="shared" si="8"/>
        <v>0.181838321561235</v>
      </c>
      <c r="Y15" s="110"/>
      <c r="Z15" s="111"/>
      <c r="AA15" s="112"/>
    </row>
    <row r="16" ht="24" customHeight="1" spans="1:27">
      <c r="A16" s="73" t="s">
        <v>439</v>
      </c>
      <c r="B16" s="74" t="s">
        <v>440</v>
      </c>
      <c r="C16" s="74">
        <v>274.63</v>
      </c>
      <c r="D16" s="75">
        <f>'316MP外镜顶右(极地白)'!F37</f>
        <v>279.306001593121</v>
      </c>
      <c r="E16" s="75">
        <f t="shared" si="0"/>
        <v>-4.67600159312099</v>
      </c>
      <c r="F16" s="75">
        <v>4.29</v>
      </c>
      <c r="G16" s="75">
        <f t="shared" si="10"/>
        <v>-0.38600159312099</v>
      </c>
      <c r="H16" s="75">
        <f>D16-'316MP外镜顶右(极地白)'!M$38</f>
        <v>276.476226593121</v>
      </c>
      <c r="I16" s="75">
        <f t="shared" si="1"/>
        <v>-1.846226593121</v>
      </c>
      <c r="J16" s="75">
        <f t="shared" ref="J16:J23" si="15">I16+F16</f>
        <v>2.443773406879</v>
      </c>
      <c r="K16" s="75">
        <v>4.5</v>
      </c>
      <c r="L16" s="75">
        <v>2.2</v>
      </c>
      <c r="M16" s="75">
        <v>0.16</v>
      </c>
      <c r="N16" s="75">
        <f t="shared" si="12"/>
        <v>281.876001593121</v>
      </c>
      <c r="O16" s="75">
        <f t="shared" si="2"/>
        <v>-7.24600159312098</v>
      </c>
      <c r="P16" s="75">
        <f t="shared" si="13"/>
        <v>279.046226593121</v>
      </c>
      <c r="Q16" s="75">
        <f t="shared" si="3"/>
        <v>-4.416226593121</v>
      </c>
      <c r="R16" s="88">
        <f t="shared" ref="R16:R23" si="16">P16-Q16</f>
        <v>283.462453186242</v>
      </c>
      <c r="S16" s="75">
        <f t="shared" si="4"/>
        <v>291.027606940127</v>
      </c>
      <c r="T16" s="75">
        <f t="shared" si="5"/>
        <v>16.3976069401274</v>
      </c>
      <c r="U16" s="89">
        <f t="shared" si="9"/>
        <v>0.0597079959950748</v>
      </c>
      <c r="V16" s="75">
        <f t="shared" si="6"/>
        <v>307.19580732569</v>
      </c>
      <c r="W16" s="75">
        <f t="shared" si="7"/>
        <v>32.56580732569</v>
      </c>
      <c r="X16" s="89">
        <f t="shared" si="8"/>
        <v>0.118580662439246</v>
      </c>
      <c r="Y16" s="105">
        <f>C16*1.05</f>
        <v>288.3615</v>
      </c>
      <c r="Z16" s="106" t="s">
        <v>471</v>
      </c>
      <c r="AA16" s="113" t="s">
        <v>442</v>
      </c>
    </row>
    <row r="17" ht="24" customHeight="1" spans="1:27">
      <c r="A17" s="79" t="s">
        <v>444</v>
      </c>
      <c r="B17" s="39" t="s">
        <v>445</v>
      </c>
      <c r="C17" s="39">
        <v>274.63</v>
      </c>
      <c r="D17" s="80">
        <f>'316MP外镜顶右(高亮黑)'!E37</f>
        <v>284.217863602209</v>
      </c>
      <c r="E17" s="80">
        <f t="shared" si="0"/>
        <v>-9.58786360220898</v>
      </c>
      <c r="F17" s="80">
        <v>4.29</v>
      </c>
      <c r="G17" s="80">
        <f t="shared" ref="G17:G23" si="17">E17+F17</f>
        <v>-5.29786360220898</v>
      </c>
      <c r="H17" s="80">
        <f>D17-'316MP外镜顶右(极地白)'!M$38</f>
        <v>281.388088602209</v>
      </c>
      <c r="I17" s="80">
        <f t="shared" si="1"/>
        <v>-6.758088602209</v>
      </c>
      <c r="J17" s="80">
        <f t="shared" si="15"/>
        <v>-2.468088602209</v>
      </c>
      <c r="K17" s="75">
        <v>4.5</v>
      </c>
      <c r="L17" s="80">
        <v>2.2</v>
      </c>
      <c r="M17" s="80">
        <v>0.16</v>
      </c>
      <c r="N17" s="80">
        <f t="shared" si="12"/>
        <v>286.787863602209</v>
      </c>
      <c r="O17" s="80">
        <f t="shared" si="2"/>
        <v>-12.157863602209</v>
      </c>
      <c r="P17" s="80">
        <f t="shared" si="13"/>
        <v>283.958088602209</v>
      </c>
      <c r="Q17" s="80">
        <f t="shared" si="3"/>
        <v>-9.32808860220899</v>
      </c>
      <c r="R17" s="94">
        <f t="shared" si="16"/>
        <v>293.286177204418</v>
      </c>
      <c r="S17" s="80">
        <f t="shared" si="4"/>
        <v>296.197988002325</v>
      </c>
      <c r="T17" s="80">
        <f t="shared" si="5"/>
        <v>21.5679880023253</v>
      </c>
      <c r="U17" s="95">
        <f t="shared" si="9"/>
        <v>0.0785347121666433</v>
      </c>
      <c r="V17" s="80">
        <f t="shared" si="6"/>
        <v>312.653431780232</v>
      </c>
      <c r="W17" s="80">
        <f t="shared" si="7"/>
        <v>38.0234317802322</v>
      </c>
      <c r="X17" s="95">
        <f t="shared" si="8"/>
        <v>0.138453307287012</v>
      </c>
      <c r="Y17" s="107"/>
      <c r="Z17" s="108"/>
      <c r="AA17" s="114"/>
    </row>
    <row r="18" ht="24" customHeight="1" spans="1:27">
      <c r="A18" s="79" t="s">
        <v>446</v>
      </c>
      <c r="B18" s="39" t="s">
        <v>447</v>
      </c>
      <c r="C18" s="39">
        <v>274.63</v>
      </c>
      <c r="D18" s="80">
        <f>'316MP外镜顶右(海贝金)'!E37</f>
        <v>263.737999740741</v>
      </c>
      <c r="E18" s="80">
        <f t="shared" si="0"/>
        <v>10.892000259259</v>
      </c>
      <c r="F18" s="80">
        <v>4.29</v>
      </c>
      <c r="G18" s="80">
        <f t="shared" si="17"/>
        <v>15.182000259259</v>
      </c>
      <c r="H18" s="80">
        <f>D18-'316MP外镜顶右(极地白)'!M$38</f>
        <v>260.908224740741</v>
      </c>
      <c r="I18" s="80">
        <f t="shared" si="1"/>
        <v>13.721775259259</v>
      </c>
      <c r="J18" s="80">
        <f t="shared" si="15"/>
        <v>18.011775259259</v>
      </c>
      <c r="K18" s="75">
        <v>4.5</v>
      </c>
      <c r="L18" s="80">
        <v>2.2</v>
      </c>
      <c r="M18" s="80">
        <v>0.16</v>
      </c>
      <c r="N18" s="80">
        <f t="shared" si="12"/>
        <v>266.307999740741</v>
      </c>
      <c r="O18" s="80">
        <f t="shared" si="2"/>
        <v>8.32200025925903</v>
      </c>
      <c r="P18" s="80">
        <f t="shared" si="13"/>
        <v>263.478224740741</v>
      </c>
      <c r="Q18" s="80">
        <f t="shared" si="3"/>
        <v>11.151775259259</v>
      </c>
      <c r="R18" s="94">
        <f t="shared" si="16"/>
        <v>252.326449481482</v>
      </c>
      <c r="S18" s="80">
        <f t="shared" si="4"/>
        <v>274.640236569201</v>
      </c>
      <c r="T18" s="80">
        <f t="shared" si="5"/>
        <v>0.0102365692010835</v>
      </c>
      <c r="U18" s="95">
        <f t="shared" si="9"/>
        <v>3.72740385285057e-5</v>
      </c>
      <c r="V18" s="80">
        <f t="shared" si="6"/>
        <v>289.898027489712</v>
      </c>
      <c r="W18" s="80">
        <f t="shared" si="7"/>
        <v>15.2680274897122</v>
      </c>
      <c r="X18" s="95">
        <f t="shared" si="8"/>
        <v>0.0555949003740022</v>
      </c>
      <c r="Y18" s="107"/>
      <c r="Z18" s="108"/>
      <c r="AA18" s="114"/>
    </row>
    <row r="19" ht="24" customHeight="1" spans="1:27">
      <c r="A19" s="79" t="s">
        <v>448</v>
      </c>
      <c r="B19" s="39" t="s">
        <v>449</v>
      </c>
      <c r="C19" s="39">
        <v>274.63</v>
      </c>
      <c r="D19" s="80">
        <f>'316MP外镜顶右(太平洋蓝)'!E37</f>
        <v>283.375196530673</v>
      </c>
      <c r="E19" s="80">
        <f t="shared" si="0"/>
        <v>-8.74519653067301</v>
      </c>
      <c r="F19" s="80">
        <v>4.29</v>
      </c>
      <c r="G19" s="80">
        <f t="shared" si="17"/>
        <v>-4.45519653067301</v>
      </c>
      <c r="H19" s="80">
        <f>D19-'316MP外镜顶右(极地白)'!M$38</f>
        <v>280.545421530673</v>
      </c>
      <c r="I19" s="80">
        <f t="shared" si="1"/>
        <v>-5.91542153067303</v>
      </c>
      <c r="J19" s="80">
        <f t="shared" si="15"/>
        <v>-1.62542153067303</v>
      </c>
      <c r="K19" s="75">
        <v>4.5</v>
      </c>
      <c r="L19" s="80">
        <v>2.2</v>
      </c>
      <c r="M19" s="80">
        <v>0.16</v>
      </c>
      <c r="N19" s="80">
        <f t="shared" si="12"/>
        <v>285.945196530673</v>
      </c>
      <c r="O19" s="80">
        <f t="shared" si="2"/>
        <v>-11.315196530673</v>
      </c>
      <c r="P19" s="80">
        <f t="shared" si="13"/>
        <v>283.115421530673</v>
      </c>
      <c r="Q19" s="80">
        <f t="shared" si="3"/>
        <v>-8.48542153067302</v>
      </c>
      <c r="R19" s="94">
        <f t="shared" si="16"/>
        <v>291.600843061346</v>
      </c>
      <c r="S19" s="80">
        <f t="shared" si="4"/>
        <v>295.310970032287</v>
      </c>
      <c r="T19" s="80">
        <f t="shared" si="5"/>
        <v>20.6809700322874</v>
      </c>
      <c r="U19" s="95">
        <f t="shared" si="9"/>
        <v>0.0753048466383403</v>
      </c>
      <c r="V19" s="80">
        <f t="shared" si="6"/>
        <v>311.717135034081</v>
      </c>
      <c r="W19" s="80">
        <f t="shared" si="7"/>
        <v>37.0871350340811</v>
      </c>
      <c r="X19" s="95">
        <f t="shared" si="8"/>
        <v>0.135044004784915</v>
      </c>
      <c r="Y19" s="107"/>
      <c r="Z19" s="108"/>
      <c r="AA19" s="114"/>
    </row>
    <row r="20" ht="24" customHeight="1" spans="1:27">
      <c r="A20" s="79" t="s">
        <v>450</v>
      </c>
      <c r="B20" s="39" t="s">
        <v>451</v>
      </c>
      <c r="C20" s="39">
        <v>274.63</v>
      </c>
      <c r="D20" s="80">
        <f>'316MP外镜顶左(极地白)'!E37</f>
        <v>279.522001593121</v>
      </c>
      <c r="E20" s="80">
        <f t="shared" si="0"/>
        <v>-4.89200159312099</v>
      </c>
      <c r="F20" s="80">
        <v>4.29</v>
      </c>
      <c r="G20" s="80">
        <f t="shared" si="17"/>
        <v>-0.60200159312099</v>
      </c>
      <c r="H20" s="80">
        <f>D20-'316MP外镜顶右(极地白)'!M$38</f>
        <v>276.692226593121</v>
      </c>
      <c r="I20" s="80">
        <f t="shared" si="1"/>
        <v>-2.06222659312101</v>
      </c>
      <c r="J20" s="80">
        <f t="shared" si="15"/>
        <v>2.22777340687899</v>
      </c>
      <c r="K20" s="75">
        <v>4.5</v>
      </c>
      <c r="L20" s="80">
        <v>2.2</v>
      </c>
      <c r="M20" s="80">
        <v>0.16</v>
      </c>
      <c r="N20" s="80">
        <f t="shared" si="12"/>
        <v>282.092001593121</v>
      </c>
      <c r="O20" s="80">
        <f t="shared" si="2"/>
        <v>-7.46200159312099</v>
      </c>
      <c r="P20" s="80">
        <f t="shared" si="13"/>
        <v>279.262226593121</v>
      </c>
      <c r="Q20" s="80">
        <f t="shared" si="3"/>
        <v>-4.632226593121</v>
      </c>
      <c r="R20" s="94">
        <f t="shared" si="16"/>
        <v>283.894453186242</v>
      </c>
      <c r="S20" s="80">
        <f t="shared" si="4"/>
        <v>291.25497536118</v>
      </c>
      <c r="T20" s="80">
        <f t="shared" si="5"/>
        <v>16.62497536118</v>
      </c>
      <c r="U20" s="95">
        <f t="shared" si="9"/>
        <v>0.0605359041662601</v>
      </c>
      <c r="V20" s="80">
        <f t="shared" si="6"/>
        <v>307.43580732569</v>
      </c>
      <c r="W20" s="80">
        <f t="shared" si="7"/>
        <v>32.80580732569</v>
      </c>
      <c r="X20" s="95">
        <f t="shared" si="8"/>
        <v>0.11945456550883</v>
      </c>
      <c r="Y20" s="107"/>
      <c r="Z20" s="108"/>
      <c r="AA20" s="114"/>
    </row>
    <row r="21" ht="24" customHeight="1" spans="1:27">
      <c r="A21" s="79" t="s">
        <v>452</v>
      </c>
      <c r="B21" s="39" t="s">
        <v>453</v>
      </c>
      <c r="C21" s="39">
        <v>274.63</v>
      </c>
      <c r="D21" s="80">
        <f>'316MP外镜顶左(高亮黑)'!E37</f>
        <v>284.433863602209</v>
      </c>
      <c r="E21" s="80">
        <f t="shared" si="0"/>
        <v>-9.80386360220899</v>
      </c>
      <c r="F21" s="80">
        <v>4.29</v>
      </c>
      <c r="G21" s="80">
        <f t="shared" si="17"/>
        <v>-5.51386360220899</v>
      </c>
      <c r="H21" s="80">
        <f>D21-'316MP外镜顶右(极地白)'!M$38</f>
        <v>281.604088602209</v>
      </c>
      <c r="I21" s="80">
        <f t="shared" si="1"/>
        <v>-6.97408860220901</v>
      </c>
      <c r="J21" s="80">
        <f t="shared" si="15"/>
        <v>-2.68408860220901</v>
      </c>
      <c r="K21" s="75">
        <v>4.5</v>
      </c>
      <c r="L21" s="80">
        <v>2.2</v>
      </c>
      <c r="M21" s="80">
        <v>0.16</v>
      </c>
      <c r="N21" s="80">
        <f t="shared" si="12"/>
        <v>287.003863602209</v>
      </c>
      <c r="O21" s="80">
        <f t="shared" si="2"/>
        <v>-12.373863602209</v>
      </c>
      <c r="P21" s="80">
        <f t="shared" si="13"/>
        <v>284.174088602209</v>
      </c>
      <c r="Q21" s="80">
        <f t="shared" si="3"/>
        <v>-9.544088602209</v>
      </c>
      <c r="R21" s="94">
        <f t="shared" si="16"/>
        <v>293.718177204418</v>
      </c>
      <c r="S21" s="80">
        <f t="shared" si="4"/>
        <v>296.425356423378</v>
      </c>
      <c r="T21" s="80">
        <f t="shared" si="5"/>
        <v>21.7953564233779</v>
      </c>
      <c r="U21" s="95">
        <f t="shared" si="9"/>
        <v>0.0793626203378289</v>
      </c>
      <c r="V21" s="80">
        <f t="shared" si="6"/>
        <v>312.893431780232</v>
      </c>
      <c r="W21" s="80">
        <f t="shared" si="7"/>
        <v>38.2634317802322</v>
      </c>
      <c r="X21" s="95">
        <f t="shared" si="8"/>
        <v>0.139327210356597</v>
      </c>
      <c r="Y21" s="107"/>
      <c r="Z21" s="108"/>
      <c r="AA21" s="114"/>
    </row>
    <row r="22" ht="24" customHeight="1" spans="1:27">
      <c r="A22" s="79" t="s">
        <v>454</v>
      </c>
      <c r="B22" s="39" t="s">
        <v>455</v>
      </c>
      <c r="C22" s="39">
        <v>274.63</v>
      </c>
      <c r="D22" s="80">
        <f>'316MP外镜顶左(海贝金)'!E37</f>
        <v>263.953999740741</v>
      </c>
      <c r="E22" s="80">
        <f t="shared" si="0"/>
        <v>10.676000259259</v>
      </c>
      <c r="F22" s="80">
        <v>4.29</v>
      </c>
      <c r="G22" s="80">
        <f t="shared" si="17"/>
        <v>14.966000259259</v>
      </c>
      <c r="H22" s="80">
        <f>D22-'316MP外镜顶右(极地白)'!M$38</f>
        <v>261.124224740741</v>
      </c>
      <c r="I22" s="80">
        <f t="shared" si="1"/>
        <v>13.505775259259</v>
      </c>
      <c r="J22" s="80">
        <f t="shared" si="15"/>
        <v>17.795775259259</v>
      </c>
      <c r="K22" s="75">
        <v>4.5</v>
      </c>
      <c r="L22" s="80">
        <v>2.2</v>
      </c>
      <c r="M22" s="80">
        <v>0.16</v>
      </c>
      <c r="N22" s="80">
        <f t="shared" si="12"/>
        <v>266.523999740741</v>
      </c>
      <c r="O22" s="80">
        <f t="shared" si="2"/>
        <v>8.10600025925902</v>
      </c>
      <c r="P22" s="80">
        <f t="shared" si="13"/>
        <v>263.694224740741</v>
      </c>
      <c r="Q22" s="80">
        <f t="shared" si="3"/>
        <v>10.935775259259</v>
      </c>
      <c r="R22" s="94">
        <f t="shared" si="16"/>
        <v>252.758449481482</v>
      </c>
      <c r="S22" s="80">
        <f t="shared" si="4"/>
        <v>274.867604990254</v>
      </c>
      <c r="T22" s="80">
        <f t="shared" si="5"/>
        <v>0.237604990253715</v>
      </c>
      <c r="U22" s="95">
        <f t="shared" si="9"/>
        <v>0.00086518220971385</v>
      </c>
      <c r="V22" s="80">
        <f t="shared" si="6"/>
        <v>290.138027489712</v>
      </c>
      <c r="W22" s="80">
        <f t="shared" si="7"/>
        <v>15.5080274897122</v>
      </c>
      <c r="X22" s="95">
        <f t="shared" si="8"/>
        <v>0.0564688034435867</v>
      </c>
      <c r="Y22" s="107"/>
      <c r="Z22" s="108"/>
      <c r="AA22" s="114"/>
    </row>
    <row r="23" ht="24" customHeight="1" spans="1:27">
      <c r="A23" s="76" t="s">
        <v>456</v>
      </c>
      <c r="B23" s="77" t="s">
        <v>457</v>
      </c>
      <c r="C23" s="77">
        <v>274.63</v>
      </c>
      <c r="D23" s="78">
        <f>'316MP外镜顶左(太平洋蓝)'!E37</f>
        <v>283.591196530673</v>
      </c>
      <c r="E23" s="78">
        <f t="shared" si="0"/>
        <v>-8.96119653067302</v>
      </c>
      <c r="F23" s="78">
        <v>4.29</v>
      </c>
      <c r="G23" s="78">
        <f t="shared" si="17"/>
        <v>-4.67119653067302</v>
      </c>
      <c r="H23" s="78">
        <f>D23-'316MP外镜顶右(极地白)'!M$38</f>
        <v>280.761421530673</v>
      </c>
      <c r="I23" s="78">
        <f t="shared" si="1"/>
        <v>-6.13142153067298</v>
      </c>
      <c r="J23" s="78">
        <f t="shared" si="15"/>
        <v>-1.84142153067298</v>
      </c>
      <c r="K23" s="75">
        <v>4.5</v>
      </c>
      <c r="L23" s="78">
        <v>2.2</v>
      </c>
      <c r="M23" s="78">
        <v>0.16</v>
      </c>
      <c r="N23" s="78">
        <f t="shared" si="12"/>
        <v>286.161196530673</v>
      </c>
      <c r="O23" s="78">
        <f t="shared" si="2"/>
        <v>-11.531196530673</v>
      </c>
      <c r="P23" s="78">
        <f t="shared" si="13"/>
        <v>283.331421530673</v>
      </c>
      <c r="Q23" s="78">
        <f t="shared" si="3"/>
        <v>-8.70142153067297</v>
      </c>
      <c r="R23" s="90">
        <f t="shared" si="16"/>
        <v>292.032843061346</v>
      </c>
      <c r="S23" s="78">
        <f t="shared" si="4"/>
        <v>295.53833845334</v>
      </c>
      <c r="T23" s="78">
        <f t="shared" si="5"/>
        <v>20.90833845334</v>
      </c>
      <c r="U23" s="91">
        <f t="shared" si="9"/>
        <v>0.0761327548095255</v>
      </c>
      <c r="V23" s="78">
        <f t="shared" si="6"/>
        <v>311.957135034081</v>
      </c>
      <c r="W23" s="78">
        <f t="shared" si="7"/>
        <v>37.3271350340811</v>
      </c>
      <c r="X23" s="91">
        <f t="shared" si="8"/>
        <v>0.135917907854499</v>
      </c>
      <c r="Y23" s="110"/>
      <c r="Z23" s="111"/>
      <c r="AA23" s="115"/>
    </row>
    <row r="24" ht="35" customHeight="1" spans="1:1">
      <c r="A24" t="s">
        <v>458</v>
      </c>
    </row>
  </sheetData>
  <mergeCells count="22">
    <mergeCell ref="A1:O1"/>
    <mergeCell ref="D2:E2"/>
    <mergeCell ref="F2:G2"/>
    <mergeCell ref="H2:J2"/>
    <mergeCell ref="K2:M2"/>
    <mergeCell ref="N2:O2"/>
    <mergeCell ref="P2:Q2"/>
    <mergeCell ref="S2:U2"/>
    <mergeCell ref="V2:X2"/>
    <mergeCell ref="A2:A3"/>
    <mergeCell ref="B2:B3"/>
    <mergeCell ref="C2:C3"/>
    <mergeCell ref="Y2:Y3"/>
    <mergeCell ref="Y6:Y15"/>
    <mergeCell ref="Y16:Y23"/>
    <mergeCell ref="Z2:Z3"/>
    <mergeCell ref="Z4:Z5"/>
    <mergeCell ref="Z6:Z15"/>
    <mergeCell ref="Z16:Z23"/>
    <mergeCell ref="AA2:AA3"/>
    <mergeCell ref="AA6:AA15"/>
    <mergeCell ref="AA16:AA2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16"/>
  <sheetViews>
    <sheetView zoomScale="120" zoomScaleNormal="120" workbookViewId="0">
      <pane ySplit="2" topLeftCell="A3" activePane="bottomLeft" state="frozen"/>
      <selection/>
      <selection pane="bottomLeft" activeCell="J4" sqref="J4:J8"/>
    </sheetView>
  </sheetViews>
  <sheetFormatPr defaultColWidth="9" defaultRowHeight="14.4"/>
  <cols>
    <col min="1" max="1" width="11.4444444444444" customWidth="1"/>
    <col min="2" max="2" width="12.9074074074074" customWidth="1"/>
    <col min="5" max="5" width="5.90740740740741" customWidth="1"/>
    <col min="6" max="6" width="12.6388888888889"/>
    <col min="7" max="7" width="14.3333333333333"/>
    <col min="8" max="8" width="16.8148148148148" customWidth="1"/>
    <col min="9" max="9" width="14.9074074074074" customWidth="1"/>
    <col min="10" max="10" width="13.5185185185185" style="53" customWidth="1"/>
    <col min="11" max="11" width="10.462962962963" style="43" customWidth="1"/>
  </cols>
  <sheetData>
    <row r="1" s="52" customFormat="1" ht="25" customHeight="1" spans="1:11">
      <c r="A1" s="52" t="s">
        <v>408</v>
      </c>
      <c r="B1" s="52" t="s">
        <v>409</v>
      </c>
      <c r="J1" s="54"/>
      <c r="K1" s="55"/>
    </row>
    <row r="2" ht="25" customHeight="1" spans="1:12">
      <c r="A2" s="38" t="s">
        <v>143</v>
      </c>
      <c r="B2" s="38" t="s">
        <v>144</v>
      </c>
      <c r="C2" s="38" t="s">
        <v>472</v>
      </c>
      <c r="D2" s="38" t="s">
        <v>473</v>
      </c>
      <c r="E2" s="38" t="s">
        <v>474</v>
      </c>
      <c r="F2" s="39" t="s">
        <v>19</v>
      </c>
      <c r="G2" s="39" t="s">
        <v>475</v>
      </c>
      <c r="H2" s="44" t="s">
        <v>476</v>
      </c>
      <c r="I2" s="44" t="s">
        <v>477</v>
      </c>
      <c r="J2" s="56" t="s">
        <v>478</v>
      </c>
      <c r="K2" s="49"/>
      <c r="L2" s="39" t="s">
        <v>479</v>
      </c>
    </row>
    <row r="3" ht="25" customHeight="1" spans="1:12">
      <c r="A3" s="39" t="s">
        <v>152</v>
      </c>
      <c r="B3" s="39" t="s">
        <v>153</v>
      </c>
      <c r="C3" s="39">
        <v>1</v>
      </c>
      <c r="D3" s="39" t="s">
        <v>480</v>
      </c>
      <c r="E3" s="39" t="s">
        <v>481</v>
      </c>
      <c r="F3" s="39">
        <f>VLOOKUP(A3,材料价格!A:D,3,FALSE)</f>
        <v>0.03</v>
      </c>
      <c r="G3" s="39">
        <f>VLOOKUP(A3,材料价格!A:F,4,FALSE)</f>
        <v>0.03</v>
      </c>
      <c r="H3" s="39"/>
      <c r="I3" s="39"/>
      <c r="J3" s="49"/>
      <c r="K3" s="49"/>
      <c r="L3" s="39"/>
    </row>
    <row r="4" ht="25" customHeight="1" spans="1:12">
      <c r="A4" s="39" t="s">
        <v>134</v>
      </c>
      <c r="B4" s="39" t="s">
        <v>156</v>
      </c>
      <c r="C4" s="39">
        <v>1</v>
      </c>
      <c r="D4" s="39" t="s">
        <v>482</v>
      </c>
      <c r="E4" s="39" t="s">
        <v>481</v>
      </c>
      <c r="F4" s="39">
        <f>VLOOKUP(A4,材料价格!A:D,3,FALSE)</f>
        <v>1.68551592987407</v>
      </c>
      <c r="G4" s="39">
        <f>VLOOKUP(A4,材料价格!A:F,4,FALSE)</f>
        <v>1.68551592987407</v>
      </c>
      <c r="H4" s="44" t="s">
        <v>483</v>
      </c>
      <c r="I4" s="44" t="s">
        <v>483</v>
      </c>
      <c r="J4" s="56">
        <v>0.0306</v>
      </c>
      <c r="K4" s="48" t="s">
        <v>484</v>
      </c>
      <c r="L4" s="39"/>
    </row>
    <row r="5" ht="25" customHeight="1" spans="1:12">
      <c r="A5" s="39" t="s">
        <v>158</v>
      </c>
      <c r="B5" s="39" t="s">
        <v>159</v>
      </c>
      <c r="C5" s="39">
        <v>1</v>
      </c>
      <c r="D5" s="39" t="s">
        <v>485</v>
      </c>
      <c r="E5" s="39" t="s">
        <v>481</v>
      </c>
      <c r="F5" s="39">
        <f>VLOOKUP(A5,材料价格!A:D,3,FALSE)</f>
        <v>0.3</v>
      </c>
      <c r="G5" s="39">
        <f>VLOOKUP(A5,材料价格!A:F,4,FALSE)</f>
        <v>0.3</v>
      </c>
      <c r="H5" s="39"/>
      <c r="I5" s="39"/>
      <c r="J5" s="49"/>
      <c r="K5" s="49"/>
      <c r="L5" s="39"/>
    </row>
    <row r="6" ht="25" customHeight="1" spans="1:12">
      <c r="A6" s="39" t="s">
        <v>132</v>
      </c>
      <c r="B6" s="39" t="s">
        <v>133</v>
      </c>
      <c r="C6" s="39">
        <v>1</v>
      </c>
      <c r="D6" s="39" t="s">
        <v>482</v>
      </c>
      <c r="E6" s="39" t="s">
        <v>481</v>
      </c>
      <c r="F6" s="39">
        <f>VLOOKUP(A6,材料价格!A:D,3,FALSE)</f>
        <v>3.12247400133333</v>
      </c>
      <c r="G6" s="39">
        <f>VLOOKUP(A6,材料价格!A:F,4,FALSE)</f>
        <v>3.12247400133333</v>
      </c>
      <c r="H6" s="44" t="s">
        <v>483</v>
      </c>
      <c r="I6" s="44" t="s">
        <v>483</v>
      </c>
      <c r="J6" s="56">
        <v>0.076</v>
      </c>
      <c r="K6" s="48" t="s">
        <v>484</v>
      </c>
      <c r="L6" s="39"/>
    </row>
    <row r="7" ht="25" customHeight="1" spans="1:12">
      <c r="A7" s="39" t="s">
        <v>140</v>
      </c>
      <c r="B7" s="39" t="s">
        <v>141</v>
      </c>
      <c r="C7" s="39">
        <v>1</v>
      </c>
      <c r="D7" s="39" t="s">
        <v>482</v>
      </c>
      <c r="E7" s="39" t="s">
        <v>481</v>
      </c>
      <c r="F7" s="39">
        <f>VLOOKUP(A7,材料价格!A:D,3,FALSE)</f>
        <v>0.731881996622222</v>
      </c>
      <c r="G7" s="39">
        <f>VLOOKUP(A7,材料价格!A:F,4,FALSE)</f>
        <v>0.731881996622222</v>
      </c>
      <c r="H7" s="44" t="s">
        <v>130</v>
      </c>
      <c r="I7" s="44" t="s">
        <v>486</v>
      </c>
      <c r="J7" s="56">
        <v>0.0192</v>
      </c>
      <c r="K7" s="49"/>
      <c r="L7" s="39"/>
    </row>
    <row r="8" ht="25" customHeight="1" spans="1:12">
      <c r="A8" s="39" t="s">
        <v>138</v>
      </c>
      <c r="B8" s="39" t="s">
        <v>139</v>
      </c>
      <c r="C8" s="39">
        <v>1</v>
      </c>
      <c r="D8" s="39" t="s">
        <v>482</v>
      </c>
      <c r="E8" s="39" t="s">
        <v>481</v>
      </c>
      <c r="F8" s="39">
        <f>VLOOKUP(A8,材料价格!A:D,3,FALSE)</f>
        <v>0.291909888682222</v>
      </c>
      <c r="G8" s="39">
        <f>VLOOKUP(A8,材料价格!A:F,4,FALSE)</f>
        <v>0.291909888682222</v>
      </c>
      <c r="H8" s="44" t="s">
        <v>130</v>
      </c>
      <c r="I8" s="44" t="s">
        <v>486</v>
      </c>
      <c r="J8" s="57">
        <v>0.00708</v>
      </c>
      <c r="K8" s="49"/>
      <c r="L8" s="39"/>
    </row>
    <row r="9" ht="25" customHeight="1" spans="1:12">
      <c r="A9" s="39" t="s">
        <v>161</v>
      </c>
      <c r="B9" s="39" t="s">
        <v>162</v>
      </c>
      <c r="C9" s="39">
        <v>1</v>
      </c>
      <c r="D9" s="39" t="s">
        <v>487</v>
      </c>
      <c r="E9" s="39" t="s">
        <v>481</v>
      </c>
      <c r="F9" s="39">
        <f>VLOOKUP(A9,材料价格!A:D,3,FALSE)</f>
        <v>5.81</v>
      </c>
      <c r="G9" s="39">
        <f>VLOOKUP(A9,材料价格!A:F,4,FALSE)</f>
        <v>4.74336283185841</v>
      </c>
      <c r="H9" s="39"/>
      <c r="I9" s="39"/>
      <c r="J9" s="49"/>
      <c r="K9" s="49"/>
      <c r="L9" s="39"/>
    </row>
    <row r="10" ht="25" customHeight="1" spans="1:12">
      <c r="A10" s="39" t="s">
        <v>165</v>
      </c>
      <c r="B10" s="39" t="s">
        <v>166</v>
      </c>
      <c r="C10" s="39">
        <v>2</v>
      </c>
      <c r="D10" s="39" t="s">
        <v>488</v>
      </c>
      <c r="E10" s="39" t="s">
        <v>481</v>
      </c>
      <c r="F10" s="39">
        <f>VLOOKUP(A10,材料价格!A:D,3,FALSE)</f>
        <v>0.18</v>
      </c>
      <c r="G10" s="39">
        <f>VLOOKUP(A10,材料价格!A:F,4,FALSE)</f>
        <v>0.18</v>
      </c>
      <c r="H10" s="39"/>
      <c r="I10" s="39"/>
      <c r="J10" s="49"/>
      <c r="K10" s="49"/>
      <c r="L10" s="39"/>
    </row>
    <row r="11" ht="25" customHeight="1" spans="1:12">
      <c r="A11" s="39" t="s">
        <v>168</v>
      </c>
      <c r="B11" s="39" t="s">
        <v>169</v>
      </c>
      <c r="C11" s="39">
        <v>1</v>
      </c>
      <c r="D11" s="39" t="s">
        <v>485</v>
      </c>
      <c r="E11" s="39" t="s">
        <v>481</v>
      </c>
      <c r="F11" s="39">
        <f>VLOOKUP(A11,材料价格!A:D,3,FALSE)</f>
        <v>0.4</v>
      </c>
      <c r="G11" s="39">
        <f>VLOOKUP(A11,材料价格!A:F,4,FALSE)</f>
        <v>0.4</v>
      </c>
      <c r="H11" s="39"/>
      <c r="I11" s="39"/>
      <c r="J11" s="49"/>
      <c r="K11" s="49"/>
      <c r="L11" s="39"/>
    </row>
    <row r="12" ht="25" customHeight="1" spans="1:12">
      <c r="A12" s="39" t="s">
        <v>170</v>
      </c>
      <c r="B12" s="39" t="s">
        <v>171</v>
      </c>
      <c r="C12" s="39">
        <v>1</v>
      </c>
      <c r="D12" s="39" t="s">
        <v>485</v>
      </c>
      <c r="E12" s="39" t="s">
        <v>481</v>
      </c>
      <c r="F12" s="39">
        <f>VLOOKUP(A12,材料价格!A:D,3,FALSE)</f>
        <v>0.3</v>
      </c>
      <c r="G12" s="39">
        <f>VLOOKUP(A12,材料价格!A:F,4,FALSE)</f>
        <v>0.3</v>
      </c>
      <c r="H12" s="39"/>
      <c r="I12" s="39"/>
      <c r="J12" s="49"/>
      <c r="K12" s="49"/>
      <c r="L12" s="39"/>
    </row>
    <row r="13" ht="25" customHeight="1" spans="1:12">
      <c r="A13" s="39" t="s">
        <v>173</v>
      </c>
      <c r="B13" s="39" t="s">
        <v>174</v>
      </c>
      <c r="C13" s="39">
        <v>1</v>
      </c>
      <c r="D13" s="39" t="s">
        <v>489</v>
      </c>
      <c r="E13" s="39" t="s">
        <v>481</v>
      </c>
      <c r="F13" s="39">
        <f>VLOOKUP(A13,材料价格!A:D,3,FALSE)</f>
        <v>4.2</v>
      </c>
      <c r="G13" s="39">
        <f>VLOOKUP(A13,材料价格!A:F,4,FALSE)</f>
        <v>4.2</v>
      </c>
      <c r="H13" s="39"/>
      <c r="I13" s="39"/>
      <c r="J13" s="49"/>
      <c r="K13" s="49"/>
      <c r="L13" s="39">
        <v>0.2</v>
      </c>
    </row>
    <row r="14" ht="25" customHeight="1" spans="1:12">
      <c r="A14" s="39" t="s">
        <v>25</v>
      </c>
      <c r="B14" s="39"/>
      <c r="C14" s="39"/>
      <c r="D14" s="39"/>
      <c r="E14" s="39"/>
      <c r="F14" s="39">
        <f>SUMPRODUCT($C3:$C13,F3:F13)</f>
        <v>17.2317818165118</v>
      </c>
      <c r="G14" s="39">
        <f>SUMPRODUCT($C3:$C13,G3:G13)</f>
        <v>16.1651446483703</v>
      </c>
      <c r="H14" s="39"/>
      <c r="I14" s="39"/>
      <c r="J14" s="49"/>
      <c r="K14" s="49"/>
      <c r="L14" s="39"/>
    </row>
    <row r="16" spans="7:7">
      <c r="G16" s="52">
        <f>G14-L13</f>
        <v>15.9651446483703</v>
      </c>
    </row>
  </sheetData>
  <autoFilter ref="A2:K14">
    <extLst/>
  </autoFilter>
  <conditionalFormatting sqref="A2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16"/>
  <sheetViews>
    <sheetView workbookViewId="0">
      <selection activeCell="G7" sqref="G7"/>
    </sheetView>
  </sheetViews>
  <sheetFormatPr defaultColWidth="9" defaultRowHeight="14.4"/>
  <cols>
    <col min="1" max="1" width="12.9074074074074" customWidth="1"/>
    <col min="2" max="2" width="12.0925925925926" customWidth="1"/>
    <col min="3" max="4" width="8.63888888888889" customWidth="1"/>
    <col min="6" max="6" width="9.44444444444444" customWidth="1"/>
    <col min="7" max="7" width="17.0925925925926" customWidth="1"/>
    <col min="8" max="8" width="16.8148148148148" customWidth="1"/>
    <col min="9" max="9" width="17.2685185185185" customWidth="1"/>
    <col min="10" max="10" width="18.1851851851852" customWidth="1"/>
    <col min="11" max="11" width="18.3611111111111" customWidth="1"/>
  </cols>
  <sheetData>
    <row r="1" ht="31" customHeight="1" spans="1:2">
      <c r="A1" s="52" t="s">
        <v>413</v>
      </c>
      <c r="B1" s="52" t="s">
        <v>414</v>
      </c>
    </row>
    <row r="2" ht="31" customHeight="1" spans="1:12">
      <c r="A2" s="38" t="s">
        <v>143</v>
      </c>
      <c r="B2" s="38" t="s">
        <v>144</v>
      </c>
      <c r="C2" s="38" t="s">
        <v>472</v>
      </c>
      <c r="D2" s="38" t="s">
        <v>473</v>
      </c>
      <c r="E2" s="38" t="s">
        <v>474</v>
      </c>
      <c r="F2" s="39" t="s">
        <v>19</v>
      </c>
      <c r="G2" s="39" t="s">
        <v>475</v>
      </c>
      <c r="H2" s="44" t="s">
        <v>476</v>
      </c>
      <c r="I2" s="44" t="s">
        <v>477</v>
      </c>
      <c r="J2" s="44" t="s">
        <v>478</v>
      </c>
      <c r="K2" s="39"/>
      <c r="L2" t="s">
        <v>479</v>
      </c>
    </row>
    <row r="3" ht="31" customHeight="1" spans="1:11">
      <c r="A3" s="38" t="s">
        <v>363</v>
      </c>
      <c r="B3" s="38" t="s">
        <v>153</v>
      </c>
      <c r="C3" s="38">
        <v>2</v>
      </c>
      <c r="D3" s="38" t="s">
        <v>480</v>
      </c>
      <c r="E3" s="38" t="s">
        <v>490</v>
      </c>
      <c r="F3" s="39">
        <f>VLOOKUP(A3,材料价格!A:D,3,FALSE)</f>
        <v>0.0885</v>
      </c>
      <c r="G3" s="39">
        <f>VLOOKUP(A3,材料价格!A:F,4,FALSE)</f>
        <v>0.0885</v>
      </c>
      <c r="H3" s="39"/>
      <c r="I3" s="39"/>
      <c r="J3" s="39"/>
      <c r="K3" s="39"/>
    </row>
    <row r="4" ht="31" customHeight="1" spans="1:11">
      <c r="A4" s="38" t="s">
        <v>121</v>
      </c>
      <c r="B4" s="38" t="s">
        <v>365</v>
      </c>
      <c r="C4" s="38">
        <v>1</v>
      </c>
      <c r="D4" s="38" t="s">
        <v>482</v>
      </c>
      <c r="E4" s="38" t="s">
        <v>490</v>
      </c>
      <c r="F4" s="39">
        <f>VLOOKUP(A4,材料价格!A:D,3,FALSE)</f>
        <v>1.61418953507407</v>
      </c>
      <c r="G4" s="39">
        <f>VLOOKUP(A4,材料价格!A:F,4,FALSE)</f>
        <v>1.61418953507407</v>
      </c>
      <c r="H4" s="44" t="s">
        <v>483</v>
      </c>
      <c r="I4" s="44" t="s">
        <v>483</v>
      </c>
      <c r="J4" s="44">
        <v>0.027</v>
      </c>
      <c r="K4" s="44" t="s">
        <v>484</v>
      </c>
    </row>
    <row r="5" ht="31" customHeight="1" spans="1:11">
      <c r="A5" s="38" t="s">
        <v>126</v>
      </c>
      <c r="B5" s="38" t="s">
        <v>127</v>
      </c>
      <c r="C5" s="38">
        <v>1</v>
      </c>
      <c r="D5" s="38" t="s">
        <v>482</v>
      </c>
      <c r="E5" s="38" t="s">
        <v>490</v>
      </c>
      <c r="F5" s="39">
        <f>VLOOKUP(A5,材料价格!A:D,3,FALSE)</f>
        <v>3.20569998833333</v>
      </c>
      <c r="G5" s="39">
        <f>VLOOKUP(A5,材料价格!A:F,4,FALSE)</f>
        <v>3.20569998833333</v>
      </c>
      <c r="H5" s="44" t="s">
        <v>483</v>
      </c>
      <c r="I5" s="44" t="s">
        <v>483</v>
      </c>
      <c r="J5" s="44">
        <v>0.085</v>
      </c>
      <c r="K5" s="44" t="s">
        <v>484</v>
      </c>
    </row>
    <row r="6" ht="31" customHeight="1" spans="1:11">
      <c r="A6" s="38" t="s">
        <v>366</v>
      </c>
      <c r="B6" s="38" t="s">
        <v>367</v>
      </c>
      <c r="C6" s="38">
        <v>4</v>
      </c>
      <c r="D6" s="38" t="s">
        <v>488</v>
      </c>
      <c r="E6" s="38" t="s">
        <v>490</v>
      </c>
      <c r="F6" s="39">
        <f>VLOOKUP(A6,材料价格!A:D,3,FALSE)</f>
        <v>0.05</v>
      </c>
      <c r="G6" s="39">
        <f>VLOOKUP(A6,材料价格!A:F,4,FALSE)</f>
        <v>0.05</v>
      </c>
      <c r="H6" s="39"/>
      <c r="I6" s="39"/>
      <c r="J6" s="39"/>
      <c r="K6" s="39"/>
    </row>
    <row r="7" ht="31" customHeight="1" spans="1:11">
      <c r="A7" s="38" t="s">
        <v>368</v>
      </c>
      <c r="B7" s="38" t="s">
        <v>369</v>
      </c>
      <c r="C7" s="38">
        <v>1</v>
      </c>
      <c r="D7" s="38" t="s">
        <v>487</v>
      </c>
      <c r="E7" s="38" t="s">
        <v>490</v>
      </c>
      <c r="F7" s="39">
        <f>VLOOKUP(A7,材料价格!A:D,3,FALSE)</f>
        <v>6.44</v>
      </c>
      <c r="G7" s="39">
        <f>VLOOKUP(A7,材料价格!A:F,4,FALSE)</f>
        <v>3.92035398230088</v>
      </c>
      <c r="H7" s="39"/>
      <c r="I7" s="39"/>
      <c r="J7" s="39"/>
      <c r="K7" s="39"/>
    </row>
    <row r="8" ht="31" customHeight="1" spans="1:11">
      <c r="A8" s="38" t="s">
        <v>371</v>
      </c>
      <c r="B8" s="38" t="s">
        <v>372</v>
      </c>
      <c r="C8" s="38">
        <v>1</v>
      </c>
      <c r="D8" s="38" t="s">
        <v>485</v>
      </c>
      <c r="E8" s="38" t="s">
        <v>490</v>
      </c>
      <c r="F8" s="39">
        <f>VLOOKUP(A8,材料价格!A:D,3,FALSE)</f>
        <v>0.34</v>
      </c>
      <c r="G8" s="39">
        <f>VLOOKUP(A8,材料价格!A:F,4,FALSE)</f>
        <v>0.34</v>
      </c>
      <c r="H8" s="39"/>
      <c r="I8" s="39"/>
      <c r="J8" s="39"/>
      <c r="K8" s="39"/>
    </row>
    <row r="9" ht="31" customHeight="1" spans="1:11">
      <c r="A9" s="38" t="s">
        <v>136</v>
      </c>
      <c r="B9" s="38" t="s">
        <v>137</v>
      </c>
      <c r="C9" s="38">
        <v>1</v>
      </c>
      <c r="D9" s="38" t="s">
        <v>482</v>
      </c>
      <c r="E9" s="38" t="s">
        <v>490</v>
      </c>
      <c r="F9" s="39">
        <f>VLOOKUP(A9,材料价格!A:D,3,FALSE)</f>
        <v>0.328942607782222</v>
      </c>
      <c r="G9" s="39">
        <f>VLOOKUP(A9,材料价格!A:F,4,FALSE)</f>
        <v>0.328942607782222</v>
      </c>
      <c r="H9" s="44" t="s">
        <v>130</v>
      </c>
      <c r="I9" s="44" t="s">
        <v>486</v>
      </c>
      <c r="J9" s="39">
        <v>0.00708</v>
      </c>
      <c r="K9" s="39"/>
    </row>
    <row r="10" ht="31" customHeight="1" spans="1:11">
      <c r="A10" s="38" t="s">
        <v>128</v>
      </c>
      <c r="B10" s="38" t="s">
        <v>129</v>
      </c>
      <c r="C10" s="38">
        <v>1</v>
      </c>
      <c r="D10" s="38" t="s">
        <v>482</v>
      </c>
      <c r="E10" s="38" t="s">
        <v>490</v>
      </c>
      <c r="F10" s="39">
        <f>VLOOKUP(A10,材料价格!A:D,3,FALSE)</f>
        <v>0.670635576572222</v>
      </c>
      <c r="G10" s="39">
        <f>VLOOKUP(A10,材料价格!A:F,4,FALSE)</f>
        <v>0.670635576572222</v>
      </c>
      <c r="H10" s="44" t="s">
        <v>130</v>
      </c>
      <c r="I10" s="44" t="s">
        <v>486</v>
      </c>
      <c r="J10" s="44">
        <v>0.01705</v>
      </c>
      <c r="K10" s="39"/>
    </row>
    <row r="11" ht="31" customHeight="1" spans="1:11">
      <c r="A11" s="38" t="s">
        <v>158</v>
      </c>
      <c r="B11" s="38" t="s">
        <v>159</v>
      </c>
      <c r="C11" s="38">
        <v>1</v>
      </c>
      <c r="D11" s="38" t="s">
        <v>485</v>
      </c>
      <c r="E11" s="38" t="s">
        <v>490</v>
      </c>
      <c r="F11" s="39">
        <f>VLOOKUP(A11,材料价格!A:D,3,FALSE)</f>
        <v>0.3</v>
      </c>
      <c r="G11" s="39">
        <f>VLOOKUP(A11,材料价格!A:F,4,FALSE)</f>
        <v>0.3</v>
      </c>
      <c r="H11" s="39"/>
      <c r="I11" s="39"/>
      <c r="J11" s="39"/>
      <c r="K11" s="39"/>
    </row>
    <row r="12" ht="31" customHeight="1" spans="1:11">
      <c r="A12" s="39" t="s">
        <v>374</v>
      </c>
      <c r="B12" s="39" t="s">
        <v>375</v>
      </c>
      <c r="C12" s="39">
        <v>1</v>
      </c>
      <c r="D12" s="39" t="s">
        <v>485</v>
      </c>
      <c r="E12" s="38" t="s">
        <v>490</v>
      </c>
      <c r="F12" s="39">
        <f>VLOOKUP(A12,材料价格!A:D,3,FALSE)</f>
        <v>0.13</v>
      </c>
      <c r="G12" s="39">
        <f>VLOOKUP(A12,材料价格!A:F,4,FALSE)</f>
        <v>0.13</v>
      </c>
      <c r="H12" s="39"/>
      <c r="I12" s="39"/>
      <c r="J12" s="39"/>
      <c r="K12" s="39"/>
    </row>
    <row r="13" ht="31" customHeight="1" spans="1:12">
      <c r="A13" s="39" t="s">
        <v>376</v>
      </c>
      <c r="B13" s="39" t="s">
        <v>377</v>
      </c>
      <c r="C13" s="39">
        <v>1</v>
      </c>
      <c r="D13" s="39" t="s">
        <v>489</v>
      </c>
      <c r="E13" s="38" t="s">
        <v>490</v>
      </c>
      <c r="F13" s="39">
        <f>VLOOKUP(A13,材料价格!A:D,3,FALSE)</f>
        <v>4.2</v>
      </c>
      <c r="G13" s="39">
        <f>VLOOKUP(A13,材料价格!A:F,4,FALSE)</f>
        <v>4.2</v>
      </c>
      <c r="H13" s="39"/>
      <c r="I13" s="39"/>
      <c r="J13" s="39"/>
      <c r="K13" s="39"/>
      <c r="L13">
        <v>0.2</v>
      </c>
    </row>
    <row r="14" ht="31" customHeight="1" spans="1:11">
      <c r="A14" s="39" t="s">
        <v>25</v>
      </c>
      <c r="B14" s="39"/>
      <c r="C14" s="39"/>
      <c r="D14" s="39"/>
      <c r="E14" s="39"/>
      <c r="F14" s="39">
        <f>SUMPRODUCT($C3:$C13,F3:F13)</f>
        <v>17.6064677077618</v>
      </c>
      <c r="G14" s="39">
        <f>SUMPRODUCT($C3:$C13,G3:G13)</f>
        <v>15.0868216900627</v>
      </c>
      <c r="H14" s="39"/>
      <c r="I14" s="39"/>
      <c r="J14" s="39"/>
      <c r="K14" s="39"/>
    </row>
    <row r="15" ht="21" customHeight="1"/>
    <row r="16" spans="7:7">
      <c r="G16" s="52">
        <f>G14-L13</f>
        <v>14.8868216900627</v>
      </c>
    </row>
  </sheetData>
  <autoFilter ref="A2:K14">
    <extLst/>
  </autoFilter>
  <conditionalFormatting sqref="A2:A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M26"/>
  <sheetViews>
    <sheetView workbookViewId="0">
      <pane ySplit="2" topLeftCell="A3" activePane="bottomLeft" state="frozen"/>
      <selection/>
      <selection pane="bottomLeft" activeCell="O14" sqref="O14"/>
    </sheetView>
  </sheetViews>
  <sheetFormatPr defaultColWidth="9" defaultRowHeight="14.4"/>
  <cols>
    <col min="1" max="1" width="11.4444444444444" customWidth="1"/>
    <col min="2" max="2" width="24.7314814814815" customWidth="1"/>
    <col min="5" max="5" width="12.6388888888889"/>
    <col min="6" max="6" width="17"/>
    <col min="7" max="7" width="15.0925925925926" customWidth="1"/>
    <col min="8" max="8" width="20.9074074074074" customWidth="1"/>
    <col min="9" max="9" width="19.6388888888889" customWidth="1"/>
    <col min="10" max="12" width="9" style="43"/>
  </cols>
  <sheetData>
    <row r="1" ht="29" customHeight="1" spans="1:2">
      <c r="A1" t="s">
        <v>416</v>
      </c>
      <c r="B1" t="s">
        <v>417</v>
      </c>
    </row>
    <row r="2" ht="37" customHeight="1" spans="1:13">
      <c r="A2" s="38" t="s">
        <v>143</v>
      </c>
      <c r="B2" s="38" t="s">
        <v>144</v>
      </c>
      <c r="C2" s="38" t="s">
        <v>472</v>
      </c>
      <c r="D2" s="38" t="s">
        <v>473</v>
      </c>
      <c r="E2" s="39" t="s">
        <v>474</v>
      </c>
      <c r="F2" s="39" t="s">
        <v>19</v>
      </c>
      <c r="G2" s="44" t="s">
        <v>476</v>
      </c>
      <c r="H2" s="44" t="s">
        <v>477</v>
      </c>
      <c r="I2" s="48" t="s">
        <v>491</v>
      </c>
      <c r="J2" s="49"/>
      <c r="K2" s="49" t="s">
        <v>492</v>
      </c>
      <c r="L2" s="49" t="s">
        <v>493</v>
      </c>
      <c r="M2" s="39" t="s">
        <v>494</v>
      </c>
    </row>
    <row r="3" ht="21" customHeight="1" spans="1:13">
      <c r="A3" s="41" t="s">
        <v>177</v>
      </c>
      <c r="B3" s="41" t="s">
        <v>178</v>
      </c>
      <c r="C3" s="38">
        <v>3</v>
      </c>
      <c r="D3" s="38" t="s">
        <v>480</v>
      </c>
      <c r="E3" s="39" t="s">
        <v>481</v>
      </c>
      <c r="F3" s="39">
        <f>VLOOKUP(A3,材料价格!A:D,3,FALSE)</f>
        <v>0.0874</v>
      </c>
      <c r="G3" s="39"/>
      <c r="H3" s="39"/>
      <c r="I3" s="39"/>
      <c r="J3" s="39"/>
      <c r="K3" s="39"/>
      <c r="L3" s="39"/>
      <c r="M3" s="39"/>
    </row>
    <row r="4" ht="21" customHeight="1" spans="1:13">
      <c r="A4" s="41" t="s">
        <v>180</v>
      </c>
      <c r="B4" s="41" t="s">
        <v>181</v>
      </c>
      <c r="C4" s="38">
        <v>3</v>
      </c>
      <c r="D4" s="38" t="s">
        <v>480</v>
      </c>
      <c r="E4" s="39" t="s">
        <v>481</v>
      </c>
      <c r="F4" s="39">
        <f>VLOOKUP(A4,材料价格!A:D,3,FALSE)</f>
        <v>0.1074</v>
      </c>
      <c r="G4" s="39"/>
      <c r="H4" s="39"/>
      <c r="I4" s="39"/>
      <c r="J4" s="39"/>
      <c r="K4" s="39"/>
      <c r="L4" s="39"/>
      <c r="M4" s="39"/>
    </row>
    <row r="5" ht="21" customHeight="1" spans="1:13">
      <c r="A5" s="41" t="s">
        <v>182</v>
      </c>
      <c r="B5" s="41" t="s">
        <v>181</v>
      </c>
      <c r="C5" s="38">
        <v>3</v>
      </c>
      <c r="D5" s="38" t="s">
        <v>480</v>
      </c>
      <c r="E5" s="39" t="s">
        <v>481</v>
      </c>
      <c r="F5" s="39">
        <f>VLOOKUP(A5,材料价格!A:D,3,FALSE)</f>
        <v>0.1482</v>
      </c>
      <c r="G5" s="39"/>
      <c r="H5" s="39"/>
      <c r="I5" s="39"/>
      <c r="J5" s="39"/>
      <c r="K5" s="39"/>
      <c r="L5" s="39"/>
      <c r="M5" s="39"/>
    </row>
    <row r="6" ht="21" customHeight="1" spans="1:13">
      <c r="A6" s="41" t="s">
        <v>183</v>
      </c>
      <c r="B6" s="41" t="s">
        <v>184</v>
      </c>
      <c r="C6" s="38">
        <v>1</v>
      </c>
      <c r="D6" s="38" t="s">
        <v>495</v>
      </c>
      <c r="E6" s="39" t="s">
        <v>481</v>
      </c>
      <c r="F6" s="39">
        <f>VLOOKUP(A6,材料价格!A:D,3,FALSE)</f>
        <v>11.26</v>
      </c>
      <c r="G6" s="39"/>
      <c r="H6" s="39"/>
      <c r="I6" s="39"/>
      <c r="J6" s="39"/>
      <c r="K6" s="39"/>
      <c r="L6" s="39"/>
      <c r="M6" s="39"/>
    </row>
    <row r="7" ht="21" customHeight="1" spans="1:13">
      <c r="A7" s="41" t="s">
        <v>186</v>
      </c>
      <c r="B7" s="41" t="s">
        <v>187</v>
      </c>
      <c r="C7" s="38">
        <v>1</v>
      </c>
      <c r="D7" s="38" t="s">
        <v>485</v>
      </c>
      <c r="E7" s="39" t="s">
        <v>481</v>
      </c>
      <c r="F7" s="39">
        <f>VLOOKUP(A7,材料价格!A:D,3,FALSE)</f>
        <v>1.5</v>
      </c>
      <c r="G7" s="39"/>
      <c r="H7" s="39"/>
      <c r="I7" s="39"/>
      <c r="J7" s="39"/>
      <c r="K7" s="39"/>
      <c r="L7" s="39"/>
      <c r="M7" s="39"/>
    </row>
    <row r="8" ht="10" customHeight="1" spans="1:13">
      <c r="A8" s="41" t="s">
        <v>189</v>
      </c>
      <c r="B8" s="41" t="s">
        <v>190</v>
      </c>
      <c r="C8" s="38">
        <v>1</v>
      </c>
      <c r="D8" s="38" t="s">
        <v>487</v>
      </c>
      <c r="E8" s="39" t="s">
        <v>481</v>
      </c>
      <c r="F8" s="39">
        <f>VLOOKUP(A8,材料价格!A:D,3,FALSE)</f>
        <v>1.84</v>
      </c>
      <c r="G8" s="39"/>
      <c r="H8" s="39"/>
      <c r="I8" s="39"/>
      <c r="J8" s="39"/>
      <c r="K8" s="39"/>
      <c r="L8" s="39"/>
      <c r="M8" s="39"/>
    </row>
    <row r="9" ht="21" customHeight="1" spans="1:13">
      <c r="A9" s="41" t="s">
        <v>192</v>
      </c>
      <c r="B9" s="41" t="s">
        <v>193</v>
      </c>
      <c r="C9" s="38">
        <v>1</v>
      </c>
      <c r="D9" s="38" t="s">
        <v>482</v>
      </c>
      <c r="E9" s="39" t="s">
        <v>481</v>
      </c>
      <c r="F9" s="39">
        <f>VLOOKUP(A9,材料价格!A:D,3,FALSE)</f>
        <v>0.135</v>
      </c>
      <c r="G9" s="39" t="s">
        <v>496</v>
      </c>
      <c r="H9" s="39" t="s">
        <v>497</v>
      </c>
      <c r="I9" s="51">
        <v>0.001415</v>
      </c>
      <c r="J9" s="49" t="s">
        <v>498</v>
      </c>
      <c r="K9" s="49"/>
      <c r="L9" s="49"/>
      <c r="M9" s="39"/>
    </row>
    <row r="10" ht="21" customHeight="1" spans="1:13">
      <c r="A10" s="41" t="s">
        <v>195</v>
      </c>
      <c r="B10" s="41" t="s">
        <v>196</v>
      </c>
      <c r="C10" s="38">
        <v>1</v>
      </c>
      <c r="D10" s="38" t="s">
        <v>499</v>
      </c>
      <c r="E10" s="39" t="s">
        <v>481</v>
      </c>
      <c r="F10" s="39">
        <f>VLOOKUP(A10,材料价格!A:D,3,FALSE)</f>
        <v>10.8</v>
      </c>
      <c r="G10" s="39"/>
      <c r="H10" s="39"/>
      <c r="I10" s="39"/>
      <c r="J10" s="39"/>
      <c r="K10" s="39"/>
      <c r="L10" s="39"/>
      <c r="M10" s="39"/>
    </row>
    <row r="11" ht="21" customHeight="1" spans="1:13">
      <c r="A11" s="41" t="s">
        <v>198</v>
      </c>
      <c r="B11" s="41" t="s">
        <v>199</v>
      </c>
      <c r="C11" s="38">
        <v>1</v>
      </c>
      <c r="D11" s="38" t="s">
        <v>480</v>
      </c>
      <c r="E11" s="39" t="s">
        <v>481</v>
      </c>
      <c r="F11" s="39">
        <f>VLOOKUP(A11,材料价格!A:D,3,FALSE)</f>
        <v>0</v>
      </c>
      <c r="G11" s="39"/>
      <c r="H11" s="39"/>
      <c r="I11" s="39"/>
      <c r="J11" s="39"/>
      <c r="K11" s="39"/>
      <c r="L11" s="39"/>
      <c r="M11" s="39"/>
    </row>
    <row r="12" ht="27" customHeight="1" spans="1:13">
      <c r="A12" s="41" t="s">
        <v>200</v>
      </c>
      <c r="B12" s="41" t="s">
        <v>201</v>
      </c>
      <c r="C12" s="38">
        <v>1</v>
      </c>
      <c r="D12" s="38" t="s">
        <v>482</v>
      </c>
      <c r="E12" s="39" t="s">
        <v>481</v>
      </c>
      <c r="F12" s="39">
        <f>VLOOKUP(A12,材料价格!A:D,3,FALSE)</f>
        <v>2.97</v>
      </c>
      <c r="G12" s="39" t="s">
        <v>500</v>
      </c>
      <c r="H12" s="39" t="s">
        <v>501</v>
      </c>
      <c r="I12" s="39" t="s">
        <v>502</v>
      </c>
      <c r="J12" s="49" t="s">
        <v>503</v>
      </c>
      <c r="K12" s="49">
        <v>23.5</v>
      </c>
      <c r="L12" s="49">
        <v>19</v>
      </c>
      <c r="M12" s="39">
        <f>(K12-L12)*0.0785</f>
        <v>0.35325</v>
      </c>
    </row>
    <row r="13" ht="21" customHeight="1" spans="1:13">
      <c r="A13" s="41" t="s">
        <v>203</v>
      </c>
      <c r="B13" s="41" t="s">
        <v>204</v>
      </c>
      <c r="C13" s="38">
        <v>1</v>
      </c>
      <c r="D13" s="38" t="s">
        <v>111</v>
      </c>
      <c r="E13" s="39" t="s">
        <v>481</v>
      </c>
      <c r="F13" s="39">
        <f>VLOOKUP(A13,材料价格!A:D,3,FALSE)</f>
        <v>17.1</v>
      </c>
      <c r="G13" s="39"/>
      <c r="H13" s="39"/>
      <c r="I13" s="39"/>
      <c r="J13" s="39"/>
      <c r="K13" s="39"/>
      <c r="L13" s="39"/>
      <c r="M13" s="39"/>
    </row>
    <row r="14" ht="21" customHeight="1" spans="1:13">
      <c r="A14" s="41" t="s">
        <v>206</v>
      </c>
      <c r="B14" s="41" t="s">
        <v>207</v>
      </c>
      <c r="C14" s="38">
        <v>1</v>
      </c>
      <c r="D14" s="38" t="s">
        <v>482</v>
      </c>
      <c r="E14" s="39" t="s">
        <v>481</v>
      </c>
      <c r="F14" s="39">
        <f>VLOOKUP(A14,材料价格!A:D,3,FALSE)</f>
        <v>4.015</v>
      </c>
      <c r="G14" s="44" t="s">
        <v>504</v>
      </c>
      <c r="H14" s="44" t="s">
        <v>505</v>
      </c>
      <c r="I14" s="44" t="s">
        <v>506</v>
      </c>
      <c r="J14" s="49"/>
      <c r="K14" s="49">
        <v>14</v>
      </c>
      <c r="L14" s="49">
        <v>14</v>
      </c>
      <c r="M14" s="39"/>
    </row>
    <row r="15" ht="21" customHeight="1" spans="1:13">
      <c r="A15" s="41" t="s">
        <v>208</v>
      </c>
      <c r="B15" s="41" t="s">
        <v>209</v>
      </c>
      <c r="C15" s="38">
        <v>1</v>
      </c>
      <c r="D15" s="38" t="s">
        <v>482</v>
      </c>
      <c r="E15" s="39" t="s">
        <v>481</v>
      </c>
      <c r="F15" s="39">
        <f>VLOOKUP(A15,材料价格!A:D,3,FALSE)</f>
        <v>4.528</v>
      </c>
      <c r="G15" s="39" t="s">
        <v>500</v>
      </c>
      <c r="H15" s="39" t="s">
        <v>501</v>
      </c>
      <c r="I15" s="39" t="s">
        <v>507</v>
      </c>
      <c r="J15" s="49" t="s">
        <v>503</v>
      </c>
      <c r="K15" s="49">
        <v>23.5</v>
      </c>
      <c r="L15" s="49">
        <v>19</v>
      </c>
      <c r="M15" s="39">
        <f>(K15-L15)*0.1096</f>
        <v>0.4932</v>
      </c>
    </row>
    <row r="16" ht="21" customHeight="1" spans="1:13">
      <c r="A16" s="41" t="s">
        <v>210</v>
      </c>
      <c r="B16" s="41" t="s">
        <v>211</v>
      </c>
      <c r="C16" s="38">
        <v>1</v>
      </c>
      <c r="D16" s="38" t="s">
        <v>482</v>
      </c>
      <c r="E16" s="39" t="s">
        <v>481</v>
      </c>
      <c r="F16" s="39">
        <f>VLOOKUP(A16,材料价格!A:D,3,FALSE)</f>
        <v>6.5</v>
      </c>
      <c r="G16" s="44" t="s">
        <v>504</v>
      </c>
      <c r="H16" s="44" t="s">
        <v>505</v>
      </c>
      <c r="I16" s="44" t="s">
        <v>508</v>
      </c>
      <c r="J16" s="49"/>
      <c r="K16" s="49">
        <v>14</v>
      </c>
      <c r="L16" s="49">
        <v>14</v>
      </c>
      <c r="M16" s="39"/>
    </row>
    <row r="17" ht="21" customHeight="1" spans="1:13">
      <c r="A17" s="41" t="s">
        <v>212</v>
      </c>
      <c r="B17" s="41" t="s">
        <v>213</v>
      </c>
      <c r="C17" s="38">
        <v>1</v>
      </c>
      <c r="D17" s="38" t="s">
        <v>482</v>
      </c>
      <c r="E17" s="39" t="s">
        <v>481</v>
      </c>
      <c r="F17" s="39">
        <f>VLOOKUP(A17,材料价格!A:D,3,FALSE)</f>
        <v>1.01351982962963</v>
      </c>
      <c r="G17" s="39" t="s">
        <v>509</v>
      </c>
      <c r="H17" s="39" t="s">
        <v>509</v>
      </c>
      <c r="I17" s="39" t="s">
        <v>510</v>
      </c>
      <c r="J17" s="49"/>
      <c r="K17" s="49"/>
      <c r="L17" s="49"/>
      <c r="M17" s="39"/>
    </row>
    <row r="18" ht="21" customHeight="1" spans="1:13">
      <c r="A18" s="41" t="s">
        <v>214</v>
      </c>
      <c r="B18" s="41" t="s">
        <v>215</v>
      </c>
      <c r="C18" s="38">
        <v>1</v>
      </c>
      <c r="D18" s="38" t="s">
        <v>488</v>
      </c>
      <c r="E18" s="39" t="s">
        <v>481</v>
      </c>
      <c r="F18" s="39">
        <f>VLOOKUP(A18,材料价格!A:D,3,FALSE)</f>
        <v>0.67</v>
      </c>
      <c r="G18" s="39"/>
      <c r="H18" s="39"/>
      <c r="I18" s="39"/>
      <c r="J18" s="39"/>
      <c r="K18" s="39"/>
      <c r="L18" s="39"/>
      <c r="M18" s="39"/>
    </row>
    <row r="19" ht="21" customHeight="1" spans="1:13">
      <c r="A19" s="41" t="s">
        <v>217</v>
      </c>
      <c r="B19" s="41" t="s">
        <v>218</v>
      </c>
      <c r="C19" s="38">
        <v>1</v>
      </c>
      <c r="D19" s="38" t="s">
        <v>489</v>
      </c>
      <c r="E19" s="39" t="s">
        <v>481</v>
      </c>
      <c r="F19" s="39">
        <f>VLOOKUP(A19,材料价格!A:D,3,FALSE)</f>
        <v>3.7</v>
      </c>
      <c r="G19" s="39"/>
      <c r="H19" s="39"/>
      <c r="I19" s="39"/>
      <c r="J19" s="39"/>
      <c r="K19" s="39"/>
      <c r="L19" s="39"/>
      <c r="M19" s="39"/>
    </row>
    <row r="20" ht="21" customHeight="1" spans="1:13">
      <c r="A20" s="41" t="s">
        <v>220</v>
      </c>
      <c r="B20" s="41" t="s">
        <v>221</v>
      </c>
      <c r="C20" s="38">
        <v>1</v>
      </c>
      <c r="D20" s="38" t="s">
        <v>480</v>
      </c>
      <c r="E20" s="39" t="s">
        <v>481</v>
      </c>
      <c r="F20" s="39">
        <f>VLOOKUP(A20,材料价格!A:D,3,FALSE)</f>
        <v>2.4</v>
      </c>
      <c r="G20" s="39"/>
      <c r="H20" s="39"/>
      <c r="I20" s="39"/>
      <c r="J20" s="39"/>
      <c r="K20" s="39"/>
      <c r="L20" s="39"/>
      <c r="M20" s="39"/>
    </row>
    <row r="21" ht="21" customHeight="1" spans="1:13">
      <c r="A21" s="41" t="s">
        <v>223</v>
      </c>
      <c r="B21" s="41" t="s">
        <v>224</v>
      </c>
      <c r="C21" s="38">
        <v>1</v>
      </c>
      <c r="D21" s="38" t="s">
        <v>482</v>
      </c>
      <c r="E21" s="39" t="s">
        <v>481</v>
      </c>
      <c r="F21" s="39">
        <f>VLOOKUP(A21,材料价格!A:D,3,FALSE)</f>
        <v>0.861</v>
      </c>
      <c r="G21" s="39" t="s">
        <v>511</v>
      </c>
      <c r="H21" s="39" t="s">
        <v>512</v>
      </c>
      <c r="I21" s="39" t="s">
        <v>513</v>
      </c>
      <c r="J21" s="49" t="s">
        <v>503</v>
      </c>
      <c r="K21" s="49"/>
      <c r="L21" s="49"/>
      <c r="M21" s="39"/>
    </row>
    <row r="22" s="42" customFormat="1" ht="21" customHeight="1" spans="1:13">
      <c r="A22" s="45" t="s">
        <v>49</v>
      </c>
      <c r="B22" s="45" t="s">
        <v>228</v>
      </c>
      <c r="C22" s="45">
        <v>1</v>
      </c>
      <c r="D22" s="45" t="s">
        <v>482</v>
      </c>
      <c r="E22" s="46" t="s">
        <v>481</v>
      </c>
      <c r="F22" s="46">
        <f>VLOOKUP(A22,材料价格!A:D,3,FALSE)</f>
        <v>16.9208484726002</v>
      </c>
      <c r="G22" s="46" t="s">
        <v>514</v>
      </c>
      <c r="H22" s="46" t="s">
        <v>514</v>
      </c>
      <c r="I22" s="46">
        <v>0.103</v>
      </c>
      <c r="J22" s="50"/>
      <c r="K22" s="50">
        <v>18</v>
      </c>
      <c r="L22" s="50">
        <v>11</v>
      </c>
      <c r="M22" s="39">
        <f>(K22-L22)*0.103</f>
        <v>0.721</v>
      </c>
    </row>
    <row r="23" ht="21" customHeight="1" spans="1:13">
      <c r="A23" s="38" t="s">
        <v>25</v>
      </c>
      <c r="B23" s="38"/>
      <c r="C23" s="38"/>
      <c r="D23" s="38"/>
      <c r="E23" s="39"/>
      <c r="F23" s="39">
        <f>SUMPRODUCT(C3:C22,F3:F22)</f>
        <v>87.2423683022298</v>
      </c>
      <c r="G23" s="39"/>
      <c r="H23" s="39"/>
      <c r="I23" s="39"/>
      <c r="J23" s="39"/>
      <c r="K23" s="39"/>
      <c r="L23" s="39"/>
      <c r="M23" s="39"/>
    </row>
    <row r="24" ht="21" customHeight="1" spans="13:13">
      <c r="M24">
        <f>SUBTOTAL(9,M12:M23)</f>
        <v>1.56745</v>
      </c>
    </row>
    <row r="26" ht="17.4" spans="6:6">
      <c r="F26" s="47">
        <f>F23-M24</f>
        <v>85.6749183022298</v>
      </c>
    </row>
  </sheetData>
  <autoFilter ref="A2:J23">
    <extLst/>
  </autoFilter>
  <conditionalFormatting sqref="A2">
    <cfRule type="duplicateValues" dxfId="0" priority="3"/>
  </conditionalFormatting>
  <conditionalFormatting sqref="A23">
    <cfRule type="duplicateValues" dxfId="1" priority="1"/>
    <cfRule type="duplicateValues" dxfId="1" priority="2"/>
  </conditionalFormatting>
  <conditionalFormatting sqref="A3:A22">
    <cfRule type="duplicateValues" dxfId="1" priority="5"/>
    <cfRule type="duplicateValues" dxfId="1" priority="6"/>
  </conditionalFormatting>
  <pageMargins left="0.75" right="0.75" top="1" bottom="1" header="0.5" footer="0.5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M40"/>
  <sheetViews>
    <sheetView workbookViewId="0">
      <pane ySplit="2" topLeftCell="A17" activePane="bottomLeft" state="frozen"/>
      <selection/>
      <selection pane="bottomLeft" activeCell="F22" sqref="F22"/>
    </sheetView>
  </sheetViews>
  <sheetFormatPr defaultColWidth="9" defaultRowHeight="14.4"/>
  <cols>
    <col min="1" max="1" width="11.4444444444444" customWidth="1"/>
    <col min="2" max="2" width="25.7314814814815" customWidth="1"/>
    <col min="4" max="4" width="10.712962962963" customWidth="1"/>
    <col min="6" max="6" width="18.6666666666667"/>
    <col min="7" max="7" width="14.8148148148148" customWidth="1"/>
    <col min="8" max="8" width="22.037037037037" customWidth="1"/>
    <col min="9" max="9" width="18.6388888888889" customWidth="1"/>
    <col min="10" max="10" width="14" style="43" customWidth="1"/>
    <col min="13" max="13" width="9.66666666666667"/>
  </cols>
  <sheetData>
    <row r="1" spans="1:2">
      <c r="A1" s="40" t="s">
        <v>439</v>
      </c>
      <c r="B1" t="s">
        <v>440</v>
      </c>
    </row>
    <row r="2" ht="31" customHeight="1" spans="1:13">
      <c r="A2" s="38" t="s">
        <v>143</v>
      </c>
      <c r="B2" s="38" t="s">
        <v>144</v>
      </c>
      <c r="C2" s="39" t="s">
        <v>472</v>
      </c>
      <c r="D2" s="39" t="s">
        <v>473</v>
      </c>
      <c r="E2" s="39" t="s">
        <v>474</v>
      </c>
      <c r="F2" s="39" t="s">
        <v>19</v>
      </c>
      <c r="G2" s="44" t="s">
        <v>476</v>
      </c>
      <c r="H2" s="44" t="s">
        <v>477</v>
      </c>
      <c r="I2" s="48" t="s">
        <v>491</v>
      </c>
      <c r="J2" s="49"/>
      <c r="K2" s="39" t="s">
        <v>492</v>
      </c>
      <c r="L2" s="39" t="s">
        <v>493</v>
      </c>
      <c r="M2" s="39" t="s">
        <v>494</v>
      </c>
    </row>
    <row r="3" ht="18" customHeight="1" spans="1:13">
      <c r="A3" s="38" t="s">
        <v>254</v>
      </c>
      <c r="B3" s="38" t="s">
        <v>255</v>
      </c>
      <c r="C3" s="38">
        <v>1</v>
      </c>
      <c r="D3" s="38" t="s">
        <v>480</v>
      </c>
      <c r="E3" s="39" t="s">
        <v>481</v>
      </c>
      <c r="F3" s="39">
        <f>VLOOKUP(A3,材料价格!A:D,3,FALSE)</f>
        <v>0</v>
      </c>
      <c r="G3" s="39"/>
      <c r="H3" s="39"/>
      <c r="I3" s="39"/>
      <c r="J3" s="39"/>
      <c r="K3" s="39"/>
      <c r="L3" s="39"/>
      <c r="M3" s="39"/>
    </row>
    <row r="4" ht="18" customHeight="1" spans="1:13">
      <c r="A4" s="38" t="s">
        <v>257</v>
      </c>
      <c r="B4" s="38" t="s">
        <v>258</v>
      </c>
      <c r="C4" s="38">
        <v>1</v>
      </c>
      <c r="D4" s="38" t="s">
        <v>480</v>
      </c>
      <c r="E4" s="39" t="s">
        <v>481</v>
      </c>
      <c r="F4" s="39">
        <f>VLOOKUP(A4,材料价格!A:D,3,FALSE)</f>
        <v>0</v>
      </c>
      <c r="G4" s="39"/>
      <c r="H4" s="39"/>
      <c r="I4" s="39"/>
      <c r="J4" s="39"/>
      <c r="K4" s="39"/>
      <c r="L4" s="39"/>
      <c r="M4" s="39"/>
    </row>
    <row r="5" ht="18" customHeight="1" spans="1:13">
      <c r="A5" s="38" t="s">
        <v>259</v>
      </c>
      <c r="B5" s="38" t="s">
        <v>260</v>
      </c>
      <c r="C5" s="38">
        <v>1</v>
      </c>
      <c r="D5" s="38" t="s">
        <v>499</v>
      </c>
      <c r="E5" s="39" t="s">
        <v>481</v>
      </c>
      <c r="F5" s="39">
        <f>VLOOKUP(A5,材料价格!A:D,3,FALSE)</f>
        <v>47.69</v>
      </c>
      <c r="G5" s="39"/>
      <c r="H5" s="39"/>
      <c r="I5" s="39"/>
      <c r="J5" s="39"/>
      <c r="K5" s="39"/>
      <c r="L5" s="39"/>
      <c r="M5" s="39"/>
    </row>
    <row r="6" ht="18" customHeight="1" spans="1:13">
      <c r="A6" s="38" t="s">
        <v>177</v>
      </c>
      <c r="B6" s="38" t="s">
        <v>178</v>
      </c>
      <c r="C6" s="38">
        <v>3</v>
      </c>
      <c r="D6" s="38" t="s">
        <v>480</v>
      </c>
      <c r="E6" s="39" t="s">
        <v>481</v>
      </c>
      <c r="F6" s="39">
        <f>VLOOKUP(A6,材料价格!A:D,3,FALSE)</f>
        <v>0.0874</v>
      </c>
      <c r="G6" s="39"/>
      <c r="H6" s="39"/>
      <c r="I6" s="39"/>
      <c r="J6" s="39"/>
      <c r="K6" s="39"/>
      <c r="L6" s="39"/>
      <c r="M6" s="39"/>
    </row>
    <row r="7" ht="18" customHeight="1" spans="1:13">
      <c r="A7" s="38" t="s">
        <v>180</v>
      </c>
      <c r="B7" s="38" t="s">
        <v>181</v>
      </c>
      <c r="C7" s="38">
        <v>3</v>
      </c>
      <c r="D7" s="38" t="s">
        <v>480</v>
      </c>
      <c r="E7" s="39" t="s">
        <v>481</v>
      </c>
      <c r="F7" s="39">
        <f>VLOOKUP(A7,材料价格!A:D,3,FALSE)</f>
        <v>0.1074</v>
      </c>
      <c r="G7" s="39"/>
      <c r="H7" s="39"/>
      <c r="I7" s="39"/>
      <c r="J7" s="39"/>
      <c r="K7" s="39"/>
      <c r="L7" s="39"/>
      <c r="M7" s="39"/>
    </row>
    <row r="8" ht="18" customHeight="1" spans="1:13">
      <c r="A8" s="38" t="s">
        <v>182</v>
      </c>
      <c r="B8" s="38" t="s">
        <v>181</v>
      </c>
      <c r="C8" s="38">
        <v>3</v>
      </c>
      <c r="D8" s="38" t="s">
        <v>480</v>
      </c>
      <c r="E8" s="39" t="s">
        <v>481</v>
      </c>
      <c r="F8" s="39">
        <f>VLOOKUP(A8,材料价格!A:D,3,FALSE)</f>
        <v>0.1482</v>
      </c>
      <c r="G8" s="39"/>
      <c r="H8" s="39"/>
      <c r="I8" s="39"/>
      <c r="J8" s="39"/>
      <c r="K8" s="39"/>
      <c r="L8" s="39"/>
      <c r="M8" s="39"/>
    </row>
    <row r="9" ht="18" customHeight="1" spans="1:13">
      <c r="A9" s="38" t="s">
        <v>183</v>
      </c>
      <c r="B9" s="38" t="s">
        <v>184</v>
      </c>
      <c r="C9" s="38">
        <v>1</v>
      </c>
      <c r="D9" s="38" t="s">
        <v>495</v>
      </c>
      <c r="E9" s="39" t="s">
        <v>481</v>
      </c>
      <c r="F9" s="39">
        <f>VLOOKUP(A9,材料价格!A:D,3,FALSE)</f>
        <v>11.26</v>
      </c>
      <c r="G9" s="39"/>
      <c r="H9" s="39"/>
      <c r="I9" s="39"/>
      <c r="J9" s="39"/>
      <c r="K9" s="39"/>
      <c r="L9" s="39"/>
      <c r="M9" s="39"/>
    </row>
    <row r="10" ht="18" customHeight="1" spans="1:13">
      <c r="A10" s="38" t="s">
        <v>261</v>
      </c>
      <c r="B10" s="38" t="s">
        <v>262</v>
      </c>
      <c r="C10" s="38">
        <v>1</v>
      </c>
      <c r="D10" s="38" t="s">
        <v>485</v>
      </c>
      <c r="E10" s="39" t="s">
        <v>481</v>
      </c>
      <c r="F10" s="39">
        <f>VLOOKUP(A10,材料价格!A:D,3,FALSE)</f>
        <v>1.21</v>
      </c>
      <c r="G10" s="39"/>
      <c r="H10" s="39"/>
      <c r="I10" s="39"/>
      <c r="J10" s="39"/>
      <c r="K10" s="39"/>
      <c r="L10" s="39"/>
      <c r="M10" s="39"/>
    </row>
    <row r="11" ht="18" customHeight="1" spans="1:13">
      <c r="A11" s="38" t="s">
        <v>264</v>
      </c>
      <c r="B11" s="38" t="s">
        <v>265</v>
      </c>
      <c r="C11" s="38">
        <v>1</v>
      </c>
      <c r="D11" s="38" t="s">
        <v>482</v>
      </c>
      <c r="E11" s="39" t="s">
        <v>481</v>
      </c>
      <c r="F11" s="39">
        <f>VLOOKUP(A11,材料价格!A:D,3,FALSE)</f>
        <v>0.127</v>
      </c>
      <c r="G11" s="39" t="s">
        <v>496</v>
      </c>
      <c r="H11" s="39" t="s">
        <v>497</v>
      </c>
      <c r="I11" s="39">
        <v>0.00092751</v>
      </c>
      <c r="J11" s="49" t="s">
        <v>498</v>
      </c>
      <c r="K11" s="39"/>
      <c r="L11" s="39"/>
      <c r="M11" s="39"/>
    </row>
    <row r="12" ht="18" customHeight="1" spans="1:13">
      <c r="A12" s="38" t="s">
        <v>266</v>
      </c>
      <c r="B12" s="38" t="s">
        <v>267</v>
      </c>
      <c r="C12" s="38">
        <v>1</v>
      </c>
      <c r="D12" s="38" t="s">
        <v>482</v>
      </c>
      <c r="E12" s="39" t="s">
        <v>481</v>
      </c>
      <c r="F12" s="39">
        <f>VLOOKUP(A12,材料价格!A:D,3,FALSE)</f>
        <v>4.319</v>
      </c>
      <c r="G12" s="39" t="s">
        <v>500</v>
      </c>
      <c r="H12" s="39" t="s">
        <v>501</v>
      </c>
      <c r="I12" s="39" t="s">
        <v>515</v>
      </c>
      <c r="J12" s="49" t="s">
        <v>503</v>
      </c>
      <c r="K12" s="39">
        <v>23.5</v>
      </c>
      <c r="L12" s="39">
        <v>19</v>
      </c>
      <c r="M12" s="39">
        <f>(K12-L12)*0.11765</f>
        <v>0.529425</v>
      </c>
    </row>
    <row r="13" ht="18" customHeight="1" spans="1:13">
      <c r="A13" s="38" t="s">
        <v>268</v>
      </c>
      <c r="B13" s="38" t="s">
        <v>269</v>
      </c>
      <c r="C13" s="38">
        <v>1</v>
      </c>
      <c r="D13" s="38" t="s">
        <v>482</v>
      </c>
      <c r="E13" s="39" t="s">
        <v>481</v>
      </c>
      <c r="F13" s="39">
        <f>VLOOKUP(A13,材料价格!A:D,3,FALSE)</f>
        <v>4.576</v>
      </c>
      <c r="G13" s="39" t="s">
        <v>500</v>
      </c>
      <c r="H13" s="39" t="s">
        <v>501</v>
      </c>
      <c r="I13" s="39" t="s">
        <v>516</v>
      </c>
      <c r="J13" s="49" t="s">
        <v>503</v>
      </c>
      <c r="K13" s="39">
        <v>23.5</v>
      </c>
      <c r="L13" s="39">
        <v>19</v>
      </c>
      <c r="M13" s="39">
        <f>(K13-L13)*0.1183</f>
        <v>0.53235</v>
      </c>
    </row>
    <row r="14" ht="18" customHeight="1" spans="1:13">
      <c r="A14" s="38" t="s">
        <v>270</v>
      </c>
      <c r="B14" s="38" t="s">
        <v>271</v>
      </c>
      <c r="C14" s="38">
        <v>1</v>
      </c>
      <c r="D14" s="38" t="s">
        <v>482</v>
      </c>
      <c r="E14" s="39" t="s">
        <v>481</v>
      </c>
      <c r="F14" s="39">
        <f>VLOOKUP(A14,材料价格!A:D,3,FALSE)</f>
        <v>1.07799974074074</v>
      </c>
      <c r="G14" s="39" t="s">
        <v>509</v>
      </c>
      <c r="H14" s="39" t="s">
        <v>509</v>
      </c>
      <c r="I14" s="39" t="s">
        <v>517</v>
      </c>
      <c r="J14" s="49"/>
      <c r="K14" s="39"/>
      <c r="L14" s="39"/>
      <c r="M14" s="39"/>
    </row>
    <row r="15" ht="18" customHeight="1" spans="1:13">
      <c r="A15" s="38" t="s">
        <v>272</v>
      </c>
      <c r="B15" s="38" t="s">
        <v>273</v>
      </c>
      <c r="C15" s="38">
        <v>2</v>
      </c>
      <c r="D15" s="38" t="s">
        <v>485</v>
      </c>
      <c r="E15" s="39" t="s">
        <v>481</v>
      </c>
      <c r="F15" s="39">
        <f>VLOOKUP(A15,材料价格!A:D,3,FALSE)</f>
        <v>0.21</v>
      </c>
      <c r="G15" s="39"/>
      <c r="H15" s="39"/>
      <c r="I15" s="39"/>
      <c r="J15" s="39"/>
      <c r="K15" s="39"/>
      <c r="L15" s="39"/>
      <c r="M15" s="39"/>
    </row>
    <row r="16" ht="18" customHeight="1" spans="1:13">
      <c r="A16" s="38" t="s">
        <v>274</v>
      </c>
      <c r="B16" s="38" t="s">
        <v>275</v>
      </c>
      <c r="C16" s="38">
        <v>1</v>
      </c>
      <c r="D16" s="38" t="s">
        <v>489</v>
      </c>
      <c r="E16" s="39" t="s">
        <v>481</v>
      </c>
      <c r="F16" s="39">
        <f>VLOOKUP(A16,材料价格!A:D,3,FALSE)</f>
        <v>3.7</v>
      </c>
      <c r="G16" s="39"/>
      <c r="H16" s="39"/>
      <c r="I16" s="39"/>
      <c r="J16" s="39"/>
      <c r="K16" s="39"/>
      <c r="L16" s="39"/>
      <c r="M16" s="39"/>
    </row>
    <row r="17" ht="18" customHeight="1" spans="1:13">
      <c r="A17" s="38" t="s">
        <v>276</v>
      </c>
      <c r="B17" s="38" t="s">
        <v>277</v>
      </c>
      <c r="C17" s="38">
        <v>1</v>
      </c>
      <c r="D17" s="38" t="s">
        <v>482</v>
      </c>
      <c r="E17" s="39" t="s">
        <v>481</v>
      </c>
      <c r="F17" s="39">
        <f>VLOOKUP(A17,材料价格!A:D,3,FALSE)</f>
        <v>1.028</v>
      </c>
      <c r="G17" s="39" t="s">
        <v>511</v>
      </c>
      <c r="H17" s="39" t="s">
        <v>512</v>
      </c>
      <c r="I17" s="39" t="s">
        <v>518</v>
      </c>
      <c r="J17" s="49" t="s">
        <v>503</v>
      </c>
      <c r="K17" s="39"/>
      <c r="L17" s="39"/>
      <c r="M17" s="39"/>
    </row>
    <row r="18" ht="18" customHeight="1" spans="1:13">
      <c r="A18" s="38" t="s">
        <v>278</v>
      </c>
      <c r="B18" s="38" t="s">
        <v>279</v>
      </c>
      <c r="C18" s="38">
        <v>1</v>
      </c>
      <c r="D18" s="38" t="s">
        <v>495</v>
      </c>
      <c r="E18" s="39" t="s">
        <v>481</v>
      </c>
      <c r="F18" s="39">
        <f>VLOOKUP(A18,材料价格!A:D,3,FALSE)</f>
        <v>2.5</v>
      </c>
      <c r="G18" s="39"/>
      <c r="H18" s="39"/>
      <c r="I18" s="39"/>
      <c r="J18" s="39"/>
      <c r="K18" s="39"/>
      <c r="L18" s="39"/>
      <c r="M18" s="39"/>
    </row>
    <row r="19" ht="18" customHeight="1" spans="1:13">
      <c r="A19" s="38" t="s">
        <v>280</v>
      </c>
      <c r="B19" s="38" t="s">
        <v>281</v>
      </c>
      <c r="C19" s="38">
        <v>1</v>
      </c>
      <c r="D19" s="38" t="s">
        <v>487</v>
      </c>
      <c r="E19" s="39" t="s">
        <v>481</v>
      </c>
      <c r="F19" s="39">
        <f>VLOOKUP(A19,材料价格!A:D,3,FALSE)</f>
        <v>10.53</v>
      </c>
      <c r="G19" s="39"/>
      <c r="H19" s="39"/>
      <c r="I19" s="39"/>
      <c r="J19" s="39"/>
      <c r="K19" s="39"/>
      <c r="L19" s="39"/>
      <c r="M19" s="39"/>
    </row>
    <row r="20" ht="18" customHeight="1" spans="1:13">
      <c r="A20" s="38" t="s">
        <v>283</v>
      </c>
      <c r="B20" s="38" t="s">
        <v>284</v>
      </c>
      <c r="C20" s="38">
        <v>1</v>
      </c>
      <c r="D20" s="38" t="s">
        <v>487</v>
      </c>
      <c r="E20" s="39" t="s">
        <v>481</v>
      </c>
      <c r="F20" s="39">
        <f>VLOOKUP(A20,材料价格!A:D,3,FALSE)</f>
        <v>1.68</v>
      </c>
      <c r="G20" s="39"/>
      <c r="H20" s="39"/>
      <c r="I20" s="39"/>
      <c r="J20" s="39"/>
      <c r="K20" s="39"/>
      <c r="L20" s="39"/>
      <c r="M20" s="39"/>
    </row>
    <row r="21" ht="18" customHeight="1" spans="1:13">
      <c r="A21" s="38" t="s">
        <v>285</v>
      </c>
      <c r="B21" s="38" t="s">
        <v>286</v>
      </c>
      <c r="C21" s="38">
        <v>1</v>
      </c>
      <c r="D21" s="38" t="s">
        <v>488</v>
      </c>
      <c r="E21" s="39" t="s">
        <v>481</v>
      </c>
      <c r="F21" s="39">
        <f>VLOOKUP(A21,材料价格!A:D,3,FALSE)</f>
        <v>0</v>
      </c>
      <c r="G21" s="39"/>
      <c r="H21" s="39"/>
      <c r="I21" s="39"/>
      <c r="J21" s="39"/>
      <c r="K21" s="39"/>
      <c r="L21" s="39"/>
      <c r="M21" s="39"/>
    </row>
    <row r="22" s="42" customFormat="1" ht="18" customHeight="1" spans="1:13">
      <c r="A22" s="45" t="s">
        <v>37</v>
      </c>
      <c r="B22" s="45" t="s">
        <v>287</v>
      </c>
      <c r="C22" s="45">
        <v>1</v>
      </c>
      <c r="D22" s="45" t="s">
        <v>482</v>
      </c>
      <c r="E22" s="46" t="s">
        <v>481</v>
      </c>
      <c r="F22" s="46">
        <f>VLOOKUP(A22,材料价格!A:D,3,FALSE)</f>
        <v>25.5680018523806</v>
      </c>
      <c r="G22" s="46" t="s">
        <v>511</v>
      </c>
      <c r="H22" s="46" t="s">
        <v>511</v>
      </c>
      <c r="I22" s="46">
        <v>0.178</v>
      </c>
      <c r="J22" s="50"/>
      <c r="K22" s="46">
        <v>18</v>
      </c>
      <c r="L22" s="46">
        <v>11</v>
      </c>
      <c r="M22" s="39">
        <f>(K22-L22)*0.178</f>
        <v>1.246</v>
      </c>
    </row>
    <row r="23" ht="18" customHeight="1" spans="1:13">
      <c r="A23" s="38" t="s">
        <v>288</v>
      </c>
      <c r="B23" s="38" t="s">
        <v>289</v>
      </c>
      <c r="C23" s="38">
        <v>1</v>
      </c>
      <c r="D23" s="38" t="s">
        <v>495</v>
      </c>
      <c r="E23" s="39" t="s">
        <v>481</v>
      </c>
      <c r="F23" s="39">
        <f>VLOOKUP(A23,材料价格!A:D,3,FALSE)</f>
        <v>10.39</v>
      </c>
      <c r="G23" s="39"/>
      <c r="H23" s="39"/>
      <c r="I23" s="39"/>
      <c r="J23" s="39"/>
      <c r="K23" s="39"/>
      <c r="L23" s="39"/>
      <c r="M23" s="39"/>
    </row>
    <row r="24" ht="18" customHeight="1" spans="1:13">
      <c r="A24" s="38" t="s">
        <v>291</v>
      </c>
      <c r="B24" s="38" t="s">
        <v>178</v>
      </c>
      <c r="C24" s="38">
        <v>4</v>
      </c>
      <c r="D24" s="38" t="s">
        <v>480</v>
      </c>
      <c r="E24" s="39" t="s">
        <v>481</v>
      </c>
      <c r="F24" s="39">
        <f>VLOOKUP(A24,材料价格!A:D,3,FALSE)</f>
        <v>0.1425</v>
      </c>
      <c r="G24" s="39"/>
      <c r="H24" s="39"/>
      <c r="I24" s="39"/>
      <c r="J24" s="39"/>
      <c r="K24" s="39"/>
      <c r="L24" s="39"/>
      <c r="M24" s="39"/>
    </row>
    <row r="25" ht="18" customHeight="1" spans="1:13">
      <c r="A25" s="38" t="s">
        <v>292</v>
      </c>
      <c r="B25" s="38" t="s">
        <v>293</v>
      </c>
      <c r="C25" s="38">
        <v>1</v>
      </c>
      <c r="D25" s="38" t="s">
        <v>495</v>
      </c>
      <c r="E25" s="39" t="s">
        <v>481</v>
      </c>
      <c r="F25" s="39">
        <f>VLOOKUP(A25,材料价格!A:D,3,FALSE)</f>
        <v>32.23</v>
      </c>
      <c r="G25" s="39"/>
      <c r="H25" s="39"/>
      <c r="I25" s="39"/>
      <c r="J25" s="39"/>
      <c r="K25" s="39"/>
      <c r="L25" s="39"/>
      <c r="M25" s="39"/>
    </row>
    <row r="26" ht="18" customHeight="1" spans="1:13">
      <c r="A26" s="38" t="s">
        <v>295</v>
      </c>
      <c r="B26" s="38" t="s">
        <v>296</v>
      </c>
      <c r="C26" s="38">
        <v>1</v>
      </c>
      <c r="D26" s="38" t="s">
        <v>495</v>
      </c>
      <c r="E26" s="39" t="s">
        <v>481</v>
      </c>
      <c r="F26" s="39">
        <f>VLOOKUP(A26,材料价格!A:D,3,FALSE)</f>
        <v>2.12</v>
      </c>
      <c r="G26" s="39"/>
      <c r="H26" s="39"/>
      <c r="I26" s="39"/>
      <c r="J26" s="39"/>
      <c r="K26" s="39"/>
      <c r="L26" s="39"/>
      <c r="M26" s="39"/>
    </row>
    <row r="27" ht="18" customHeight="1" spans="1:13">
      <c r="A27" s="38" t="s">
        <v>297</v>
      </c>
      <c r="B27" s="38" t="s">
        <v>298</v>
      </c>
      <c r="C27" s="38">
        <v>1</v>
      </c>
      <c r="D27" s="38" t="s">
        <v>482</v>
      </c>
      <c r="E27" s="39" t="s">
        <v>481</v>
      </c>
      <c r="F27" s="39">
        <f>VLOOKUP(A27,材料价格!A:D,3,FALSE)</f>
        <v>4.839</v>
      </c>
      <c r="G27" s="44" t="s">
        <v>504</v>
      </c>
      <c r="H27" s="44" t="s">
        <v>519</v>
      </c>
      <c r="I27" s="44" t="s">
        <v>520</v>
      </c>
      <c r="J27" s="49"/>
      <c r="K27" s="39">
        <v>14</v>
      </c>
      <c r="L27" s="39">
        <v>14</v>
      </c>
      <c r="M27" s="39"/>
    </row>
    <row r="28" ht="18" customHeight="1" spans="1:13">
      <c r="A28" s="38" t="s">
        <v>299</v>
      </c>
      <c r="B28" s="38" t="s">
        <v>300</v>
      </c>
      <c r="C28" s="38">
        <v>1</v>
      </c>
      <c r="D28" s="38" t="s">
        <v>499</v>
      </c>
      <c r="E28" s="39" t="s">
        <v>481</v>
      </c>
      <c r="F28" s="39">
        <f>VLOOKUP(A28,材料价格!A:D,3,FALSE)</f>
        <v>0</v>
      </c>
      <c r="G28" s="39"/>
      <c r="H28" s="39"/>
      <c r="I28" s="39"/>
      <c r="J28" s="39"/>
      <c r="K28" s="39"/>
      <c r="L28" s="39"/>
      <c r="M28" s="39"/>
    </row>
    <row r="29" ht="18" customHeight="1" spans="1:13">
      <c r="A29" s="38" t="s">
        <v>301</v>
      </c>
      <c r="B29" s="38" t="s">
        <v>302</v>
      </c>
      <c r="C29" s="38">
        <v>1</v>
      </c>
      <c r="D29" s="38" t="s">
        <v>480</v>
      </c>
      <c r="E29" s="39" t="s">
        <v>481</v>
      </c>
      <c r="F29" s="39">
        <f>VLOOKUP(A29,材料价格!A:D,3,FALSE)</f>
        <v>0</v>
      </c>
      <c r="G29" s="39"/>
      <c r="H29" s="39"/>
      <c r="I29" s="39"/>
      <c r="J29" s="39"/>
      <c r="K29" s="39"/>
      <c r="L29" s="39"/>
      <c r="M29" s="39"/>
    </row>
    <row r="30" ht="18" customHeight="1" spans="1:13">
      <c r="A30" s="38" t="s">
        <v>303</v>
      </c>
      <c r="B30" s="38" t="s">
        <v>304</v>
      </c>
      <c r="C30" s="38">
        <v>1</v>
      </c>
      <c r="D30" s="38" t="s">
        <v>488</v>
      </c>
      <c r="E30" s="39" t="s">
        <v>481</v>
      </c>
      <c r="F30" s="39">
        <f>VLOOKUP(A30,材料价格!A:D,3,FALSE)</f>
        <v>2.1</v>
      </c>
      <c r="G30" s="39"/>
      <c r="H30" s="39"/>
      <c r="I30" s="39"/>
      <c r="J30" s="39"/>
      <c r="K30" s="39"/>
      <c r="L30" s="39"/>
      <c r="M30" s="39"/>
    </row>
    <row r="31" ht="18" customHeight="1" spans="1:13">
      <c r="A31" s="38" t="s">
        <v>306</v>
      </c>
      <c r="B31" s="38" t="s">
        <v>307</v>
      </c>
      <c r="C31" s="38">
        <v>1</v>
      </c>
      <c r="D31" s="38" t="s">
        <v>495</v>
      </c>
      <c r="E31" s="39" t="s">
        <v>481</v>
      </c>
      <c r="F31" s="39">
        <f>VLOOKUP(A31,材料价格!A:D,3,FALSE)</f>
        <v>12.75</v>
      </c>
      <c r="G31" s="39"/>
      <c r="H31" s="39"/>
      <c r="I31" s="39"/>
      <c r="J31" s="39"/>
      <c r="K31" s="39"/>
      <c r="L31" s="39"/>
      <c r="M31" s="39"/>
    </row>
    <row r="32" ht="18" customHeight="1" spans="1:13">
      <c r="A32" s="38" t="s">
        <v>308</v>
      </c>
      <c r="B32" s="38" t="s">
        <v>309</v>
      </c>
      <c r="C32" s="38">
        <v>1</v>
      </c>
      <c r="D32" s="38" t="s">
        <v>495</v>
      </c>
      <c r="E32" s="39" t="s">
        <v>481</v>
      </c>
      <c r="F32" s="39">
        <f>VLOOKUP(A32,材料价格!A:D,3,FALSE)</f>
        <v>90.75</v>
      </c>
      <c r="G32" s="39"/>
      <c r="H32" s="39"/>
      <c r="I32" s="39"/>
      <c r="J32" s="39"/>
      <c r="K32" s="39"/>
      <c r="L32" s="39"/>
      <c r="M32" s="39"/>
    </row>
    <row r="33" ht="18" customHeight="1" spans="1:13">
      <c r="A33" s="38" t="s">
        <v>311</v>
      </c>
      <c r="B33" s="38" t="s">
        <v>178</v>
      </c>
      <c r="C33" s="38">
        <v>5</v>
      </c>
      <c r="D33" s="38" t="s">
        <v>480</v>
      </c>
      <c r="E33" s="39" t="s">
        <v>481</v>
      </c>
      <c r="F33" s="39">
        <f>VLOOKUP(A33,材料价格!A:D,3,FALSE)</f>
        <v>0.2</v>
      </c>
      <c r="G33" s="39"/>
      <c r="H33" s="39"/>
      <c r="I33" s="39"/>
      <c r="J33" s="39"/>
      <c r="K33" s="39"/>
      <c r="L33" s="39"/>
      <c r="M33" s="39"/>
    </row>
    <row r="34" ht="18" customHeight="1" spans="1:13">
      <c r="A34" s="38" t="s">
        <v>312</v>
      </c>
      <c r="B34" s="38" t="s">
        <v>313</v>
      </c>
      <c r="C34" s="38">
        <v>1</v>
      </c>
      <c r="D34" s="38" t="s">
        <v>482</v>
      </c>
      <c r="E34" s="39" t="s">
        <v>481</v>
      </c>
      <c r="F34" s="39">
        <f>VLOOKUP(A34,材料价格!A:D,3,FALSE)</f>
        <v>0.552</v>
      </c>
      <c r="G34" s="39"/>
      <c r="H34" s="39"/>
      <c r="I34" s="39" t="s">
        <v>521</v>
      </c>
      <c r="J34" s="49"/>
      <c r="K34" s="39"/>
      <c r="L34" s="39"/>
      <c r="M34" s="39"/>
    </row>
    <row r="35" ht="18" customHeight="1" spans="1:13">
      <c r="A35" s="38" t="s">
        <v>314</v>
      </c>
      <c r="B35" s="38" t="s">
        <v>315</v>
      </c>
      <c r="C35" s="38">
        <v>1</v>
      </c>
      <c r="D35" s="38" t="s">
        <v>482</v>
      </c>
      <c r="E35" s="39" t="s">
        <v>481</v>
      </c>
      <c r="F35" s="39">
        <f>VLOOKUP(A35,材料价格!A:D,3,FALSE)</f>
        <v>4.5</v>
      </c>
      <c r="G35" s="39" t="s">
        <v>500</v>
      </c>
      <c r="H35" s="39" t="s">
        <v>501</v>
      </c>
      <c r="I35" s="39" t="s">
        <v>522</v>
      </c>
      <c r="J35" s="49" t="s">
        <v>503</v>
      </c>
      <c r="K35" s="39">
        <v>23.5</v>
      </c>
      <c r="L35" s="39">
        <v>19</v>
      </c>
      <c r="M35" s="39">
        <f>(K35-L35)*0.116</f>
        <v>0.522</v>
      </c>
    </row>
    <row r="36" ht="18" customHeight="1" spans="1:13">
      <c r="A36" s="38" t="s">
        <v>316</v>
      </c>
      <c r="B36" s="38" t="s">
        <v>317</v>
      </c>
      <c r="C36" s="38">
        <v>1</v>
      </c>
      <c r="D36" s="38" t="s">
        <v>482</v>
      </c>
      <c r="E36" s="39" t="s">
        <v>481</v>
      </c>
      <c r="F36" s="39">
        <f>VLOOKUP(A36,材料价格!A:D,3,FALSE)</f>
        <v>0.79</v>
      </c>
      <c r="G36" s="39"/>
      <c r="H36" s="39"/>
      <c r="I36" s="39" t="s">
        <v>523</v>
      </c>
      <c r="J36" s="49"/>
      <c r="K36" s="39"/>
      <c r="L36" s="39"/>
      <c r="M36" s="39"/>
    </row>
    <row r="37" spans="1:10">
      <c r="A37" s="38"/>
      <c r="B37" s="38"/>
      <c r="C37" s="38"/>
      <c r="D37" s="38"/>
      <c r="E37" s="39"/>
      <c r="F37" s="39">
        <f>SUMPRODUCT(C3:C36,F3:F36)</f>
        <v>279.306001593121</v>
      </c>
      <c r="G37" s="39"/>
      <c r="H37" s="39"/>
      <c r="I37" s="39"/>
      <c r="J37" s="39"/>
    </row>
    <row r="38" spans="13:13">
      <c r="M38">
        <f>SUBTOTAL(9,M12:M37)</f>
        <v>2.829775</v>
      </c>
    </row>
    <row r="40" ht="17.4" spans="6:6">
      <c r="F40" s="47">
        <f>F37-M38</f>
        <v>276.476226593121</v>
      </c>
    </row>
  </sheetData>
  <autoFilter ref="A2:J37">
    <extLst/>
  </autoFilter>
  <conditionalFormatting sqref="A37">
    <cfRule type="duplicateValues" dxfId="0" priority="1"/>
  </conditionalFormatting>
  <conditionalFormatting sqref="A2:A36">
    <cfRule type="duplicateValues" dxfId="0" priority="2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面罩价格核算</vt:lpstr>
      <vt:lpstr>河北核算内镜注塑价格表</vt:lpstr>
      <vt:lpstr>材料价格</vt:lpstr>
      <vt:lpstr>成本描述</vt:lpstr>
      <vt:lpstr>汇总表</vt:lpstr>
      <vt:lpstr>18D后视镜</vt:lpstr>
      <vt:lpstr>3GD后视镜</vt:lpstr>
      <vt:lpstr>BC311电动外镜-右（极地白）-单曲</vt:lpstr>
      <vt:lpstr>316MP外镜顶右(极地白)</vt:lpstr>
      <vt:lpstr>BC311电动外镜-右 （玛雅红）-单曲</vt:lpstr>
      <vt:lpstr>BC311电动外镜-右 （海贝金）-单曲</vt:lpstr>
      <vt:lpstr>BC311电动外镜-右 （宝石蓝）-单曲</vt:lpstr>
      <vt:lpstr>BC311电动外镜-右（月光银）-单曲</vt:lpstr>
      <vt:lpstr>BC311电动外镜-左（极地白）-单曲</vt:lpstr>
      <vt:lpstr>BC311电动外镜-左（玛雅红）-单曲</vt:lpstr>
      <vt:lpstr>BC311电动外镜-左（海贝金）-单曲</vt:lpstr>
      <vt:lpstr>BC311电动外镜-左（宝石蓝）-单曲</vt:lpstr>
      <vt:lpstr>BC311电动外镜-左（月光银）-单曲</vt:lpstr>
      <vt:lpstr>316MP外镜顶右(高亮黑)</vt:lpstr>
      <vt:lpstr>316MP外镜顶右(海贝金)</vt:lpstr>
      <vt:lpstr>316MP外镜顶右(太平洋蓝)</vt:lpstr>
      <vt:lpstr>316MP外镜顶左(极地白)</vt:lpstr>
      <vt:lpstr>316MP外镜顶左(高亮黑)</vt:lpstr>
      <vt:lpstr>316MP外镜顶左(海贝金)</vt:lpstr>
      <vt:lpstr>316MP外镜顶左(太平洋蓝)</vt:lpstr>
      <vt:lpstr>河北重新核算成本10-12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</cp:lastModifiedBy>
  <dcterms:created xsi:type="dcterms:W3CDTF">2023-09-26T02:05:00Z</dcterms:created>
  <dcterms:modified xsi:type="dcterms:W3CDTF">2023-10-31T11:37:37Z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339EEBAB3DB6422FA662D6EB55D12D73_13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